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绿地启航\P06结果\"/>
    </mc:Choice>
  </mc:AlternateContent>
  <xr:revisionPtr revIDLastSave="0" documentId="13_ncr:1_{115A7475-9E85-481D-8AFC-8F6853A9502E}" xr6:coauthVersionLast="47" xr6:coauthVersionMax="47" xr10:uidLastSave="{00000000-0000-0000-0000-000000000000}"/>
  <bookViews>
    <workbookView xWindow="-120" yWindow="-120" windowWidth="19440" windowHeight="15000" tabRatio="885" firstSheet="8"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信息" sheetId="74"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 i="4" l="1"/>
  <c r="C8" i="4"/>
  <c r="O9" i="74"/>
  <c r="D14" i="9"/>
  <c r="F20" i="1"/>
  <c r="F9" i="74"/>
  <c r="I5" i="34"/>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233"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319" i="31"/>
  <c r="T287" i="31"/>
  <c r="T265" i="31"/>
  <c r="S105" i="31"/>
  <c r="S457" i="31"/>
  <c r="S445" i="31"/>
  <c r="S155" i="31"/>
  <c r="S187" i="31"/>
  <c r="S219"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473" i="31"/>
  <c r="T75" i="31"/>
  <c r="T67" i="31"/>
  <c r="T59" i="31"/>
  <c r="T45" i="31"/>
  <c r="S221" i="31"/>
  <c r="S201" i="31"/>
  <c r="S185" i="31"/>
  <c r="S169" i="31"/>
  <c r="S153" i="31"/>
  <c r="S137" i="31"/>
  <c r="S443" i="31"/>
  <c r="S501" i="31"/>
  <c r="S455" i="31"/>
  <c r="S87" i="31"/>
  <c r="S111" i="31"/>
  <c r="S329" i="31"/>
  <c r="S345" i="31"/>
  <c r="S361" i="31"/>
  <c r="S377" i="31"/>
  <c r="S393" i="31"/>
  <c r="S409" i="31"/>
  <c r="S425" i="31"/>
  <c r="S55" i="31"/>
  <c r="S121"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S442" i="31"/>
  <c r="C116" i="9"/>
  <c r="H114" i="9" s="1"/>
  <c r="T76"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E2" i="11"/>
  <c r="F7" i="61"/>
  <c r="D7" i="61"/>
  <c r="F3" i="61"/>
  <c r="E2" i="33"/>
  <c r="F4" i="61"/>
  <c r="D4" i="61"/>
  <c r="F6" i="61"/>
  <c r="E2" i="21"/>
  <c r="E2" i="36"/>
  <c r="E2" i="37"/>
  <c r="F5" i="61"/>
  <c r="D5" i="61"/>
  <c r="E2" i="35"/>
  <c r="H23" i="31"/>
  <c r="E2" i="34"/>
  <c r="T42" i="31" l="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L60" i="15"/>
  <c r="Q72" i="15" s="1"/>
  <c r="C10" i="1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3" i="61"/>
  <c r="G1" i="61"/>
  <c r="J18" i="15" l="1"/>
  <c r="F51" i="15"/>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68" i="39" l="1"/>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C50" i="65"/>
  <c r="B3" i="65" s="1"/>
  <c r="C14" i="59"/>
  <c r="D15" i="59"/>
  <c r="J7" i="21"/>
  <c r="AC7" i="21" s="1"/>
  <c r="V48" i="21" s="1"/>
  <c r="I48" i="21" s="1"/>
  <c r="C65" i="15"/>
  <c r="J63" i="40"/>
  <c r="I65" i="40"/>
  <c r="AB7" i="21"/>
  <c r="T48" i="21" s="1"/>
  <c r="G48" i="21" s="1"/>
  <c r="U7" i="21"/>
  <c r="W7" i="21"/>
  <c r="J59" i="34"/>
  <c r="S7" i="21"/>
  <c r="AA7" i="21"/>
  <c r="R48" i="21" s="1"/>
  <c r="Q46" i="15"/>
  <c r="C60" i="15"/>
  <c r="C57" i="15"/>
  <c r="C66" i="15" s="1"/>
  <c r="C37" i="15"/>
  <c r="C30" i="15" s="1"/>
  <c r="C39" i="15" s="1"/>
  <c r="Q68" i="15"/>
  <c r="J16" i="15"/>
  <c r="J25" i="15" s="1"/>
  <c r="C56" i="11"/>
  <c r="C57" i="11" s="1"/>
  <c r="B2" i="11"/>
  <c r="B3" i="11"/>
  <c r="J68" i="39" l="1"/>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20" i="9"/>
  <c r="D19"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N7" i="74" s="1"/>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M2" i="74" s="1"/>
  <c r="M3" i="74" s="1"/>
  <c r="B2" i="31"/>
  <c r="B24" i="31"/>
  <c r="B3" i="31" s="1"/>
  <c r="F14" i="62"/>
  <c r="B5" i="62"/>
  <c r="D5" i="62" s="1"/>
  <c r="I103" i="9"/>
  <c r="I115" i="9"/>
  <c r="N48" i="9"/>
  <c r="D45" i="9"/>
  <c r="C78" i="9" s="1"/>
  <c r="C73" i="9" s="1"/>
  <c r="D107" i="9"/>
  <c r="D113" i="9" s="1"/>
  <c r="N49" i="9"/>
  <c r="D125" i="9"/>
  <c r="D20" i="57"/>
  <c r="D19" i="57"/>
  <c r="C20" i="57"/>
  <c r="C19" i="57"/>
  <c r="M4" i="74" l="1"/>
  <c r="C5" i="62"/>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M5" i="74" l="1"/>
  <c r="C107" i="57"/>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M6" i="74" l="1"/>
  <c r="D30" i="50"/>
  <c r="D9" i="50"/>
  <c r="B21" i="60" s="1"/>
  <c r="D121" i="57"/>
  <c r="D116" i="57"/>
  <c r="D117" i="57" s="1"/>
  <c r="N50" i="57"/>
  <c r="I112" i="57"/>
  <c r="D47" i="57"/>
  <c r="D28" i="50"/>
  <c r="D29" i="50" s="1"/>
  <c r="D7" i="50"/>
  <c r="O61" i="9"/>
  <c r="C97" i="9"/>
  <c r="D58" i="9" s="1"/>
  <c r="C81" i="9"/>
  <c r="M7" i="74" l="1"/>
  <c r="B19" i="60"/>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M8" i="74" l="1"/>
  <c r="C81" i="57"/>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<sst xmlns="http://schemas.openxmlformats.org/spreadsheetml/2006/main" count="7426" uniqueCount="3151">
  <si>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</si>
  <si>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</si>
  <si>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</si>
  <si>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</si>
  <si>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</si>
  <si>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</si>
  <si>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</si>
  <si>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</si>
  <si>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</si>
  <si>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</si>
  <si>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</si>
  <si>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</si>
  <si>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</si>
  <si>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</si>
  <si>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</si>
  <si>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</si>
  <si>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</si>
  <si>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</si>
  <si>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</si>
  <si>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</si>
  <si>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</si>
  <si>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</si>
  <si>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</si>
  <si>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</si>
  <si>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</si>
  <si>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</si>
  <si>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</si>
  <si>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</si>
  <si>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</si>
  <si>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</si>
  <si>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</si>
  <si>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</si>
  <si>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</si>
  <si>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</si>
  <si>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</si>
  <si>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</si>
  <si>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</si>
  <si>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</si>
  <si>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</si>
  <si>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</si>
  <si>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</si>
  <si>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</si>
  <si>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</si>
  <si>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</si>
  <si>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</si>
  <si>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</si>
  <si>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</si>
  <si>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</si>
  <si>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</si>
  <si>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</si>
  <si>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</si>
  <si>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</si>
  <si>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</si>
  <si>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</si>
  <si>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</si>
  <si>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</si>
  <si>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</si>
  <si>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</si>
  <si>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</si>
  <si>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</si>
  <si>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</si>
  <si>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</si>
  <si>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</si>
  <si>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</si>
  <si>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</si>
  <si>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</si>
  <si>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</si>
  <si>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</si>
  <si>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</si>
  <si>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</si>
  <si>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</si>
  <si>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</si>
  <si>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</si>
  <si>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</si>
  <si>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</si>
  <si>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</si>
  <si>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</si>
  <si>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</si>
  <si>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</si>
  <si>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</si>
  <si>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</si>
  <si>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</si>
  <si>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</si>
  <si>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</si>
  <si>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</si>
  <si>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</si>
  <si>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</si>
  <si>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</si>
  <si>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</si>
  <si>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</si>
  <si>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</si>
  <si>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</si>
  <si>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</si>
  <si>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</si>
  <si>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</si>
  <si>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</si>
  <si>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</si>
  <si>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</si>
  <si>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</si>
  <si>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</si>
  <si>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</si>
  <si>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</si>
  <si>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</si>
  <si>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</si>
  <si>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</si>
  <si>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</si>
  <si>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</si>
  <si>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</si>
  <si>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</si>
  <si>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</si>
  <si>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</si>
  <si>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</si>
  <si>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</si>
  <si>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</si>
  <si>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</si>
  <si>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</si>
  <si>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</si>
  <si>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</si>
  <si>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</si>
  <si>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</si>
  <si>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</si>
  <si>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</si>
  <si>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</si>
  <si>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</si>
  <si>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</si>
  <si>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</si>
  <si>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</si>
  <si>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</si>
  <si>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</si>
  <si>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</si>
  <si>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</si>
  <si>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</si>
  <si>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</si>
  <si>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</si>
  <si>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</si>
  <si>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</si>
  <si>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</si>
  <si>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</si>
  <si>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</si>
  <si>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</si>
  <si>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</si>
  <si>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</si>
  <si>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</si>
  <si>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</si>
  <si>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</si>
  <si>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</si>
  <si>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</si>
  <si>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</si>
  <si>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</si>
  <si>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</si>
  <si>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</si>
  <si>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</si>
  <si>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</si>
  <si>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</si>
  <si>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</si>
  <si>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</si>
  <si>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</si>
  <si>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</si>
  <si>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</si>
  <si>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</si>
  <si>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</si>
  <si>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</si>
  <si>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</si>
  <si>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</si>
  <si>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</si>
  <si>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</si>
  <si>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</si>
  <si>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</si>
  <si>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</si>
  <si>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</si>
  <si>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</si>
  <si>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</si>
  <si>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</si>
  <si>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</si>
  <si>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</si>
  <si>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</si>
  <si>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</si>
  <si>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</si>
  <si>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</si>
  <si>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</si>
  <si>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</si>
  <si>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</si>
  <si>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</si>
  <si>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</si>
  <si>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</si>
  <si>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</si>
  <si>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</si>
  <si>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</si>
  <si>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</si>
  <si>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</si>
  <si>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</si>
  <si>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</si>
  <si>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</si>
  <si>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</si>
  <si>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</si>
  <si>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</si>
  <si>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</si>
  <si>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</si>
  <si>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</si>
  <si>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</si>
  <si>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</si>
  <si>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</si>
  <si>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</si>
  <si>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</si>
  <si>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</si>
  <si>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</si>
  <si>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</si>
  <si>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</si>
  <si>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</si>
  <si>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</si>
  <si>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</si>
  <si>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</si>
  <si>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</si>
  <si>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</si>
  <si>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</si>
  <si>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</si>
  <si>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</si>
  <si>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</si>
  <si>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</si>
  <si>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</si>
  <si>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</si>
  <si>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</si>
  <si>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</si>
  <si>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</si>
  <si>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</si>
  <si>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</si>
  <si>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</si>
  <si>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</si>
  <si>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</si>
  <si>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</si>
  <si>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</si>
  <si>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</si>
  <si>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</si>
  <si>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</si>
  <si>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</si>
  <si>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</si>
  <si>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</si>
  <si>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</si>
  <si>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</si>
  <si>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</si>
  <si>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</si>
  <si>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</si>
  <si>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</si>
  <si>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</si>
  <si>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</si>
  <si>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</si>
  <si>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</si>
  <si>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</si>
  <si>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</si>
  <si>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</si>
  <si>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</si>
  <si>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</si>
  <si>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</si>
  <si>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</si>
  <si>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</si>
  <si>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</si>
  <si>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</si>
  <si>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</si>
  <si>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</si>
  <si>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</si>
  <si>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</si>
  <si>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</si>
  <si>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</si>
  <si>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</si>
  <si>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</si>
  <si>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</si>
  <si>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</si>
  <si>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</si>
  <si>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</si>
  <si>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</si>
  <si>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</si>
  <si>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</si>
  <si>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</si>
  <si>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</si>
  <si>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</si>
  <si>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</si>
  <si>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</si>
  <si>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</si>
  <si>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</si>
  <si>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</si>
  <si>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</si>
  <si>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</si>
  <si>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</si>
  <si>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</si>
  <si>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</si>
  <si>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</si>
  <si>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</si>
  <si>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</si>
  <si>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</si>
  <si>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</si>
  <si>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</si>
  <si>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</si>
  <si>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</si>
  <si>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</si>
  <si>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</si>
  <si>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</si>
  <si>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</si>
  <si>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</si>
  <si>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</si>
  <si>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</si>
  <si>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</si>
  <si>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</si>
  <si>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</si>
  <si>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</si>
  <si>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</si>
  <si>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</si>
  <si>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</si>
  <si>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</si>
  <si>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</si>
  <si>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</si>
  <si>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</si>
  <si>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</si>
  <si>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</si>
  <si>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</si>
  <si>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</si>
  <si>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</si>
  <si>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</si>
  <si>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</si>
  <si>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</si>
  <si>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</si>
  <si>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</si>
  <si>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</si>
  <si>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</si>
  <si>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</si>
  <si>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</si>
  <si>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</si>
  <si>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</si>
  <si>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</si>
  <si>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</si>
  <si>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</si>
  <si>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</si>
  <si>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</si>
  <si>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</si>
  <si>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</si>
  <si>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</si>
  <si>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</si>
  <si>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</si>
  <si>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</si>
  <si>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</si>
  <si>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</si>
  <si>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</si>
  <si>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</si>
  <si>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</si>
  <si>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</si>
  <si>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</si>
  <si>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</si>
  <si>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</si>
  <si>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</si>
  <si>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</si>
  <si>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</si>
  <si>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</si>
  <si>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</si>
  <si>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</si>
  <si>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</si>
  <si>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</si>
  <si>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</si>
  <si>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</si>
  <si>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</si>
  <si>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</si>
  <si>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</si>
  <si>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</si>
  <si>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</si>
  <si>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</si>
  <si>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</si>
  <si>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</si>
  <si>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</si>
  <si>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</si>
  <si>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</si>
  <si>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</si>
  <si>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</si>
  <si>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</si>
  <si>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</si>
  <si>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</si>
  <si>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</si>
  <si>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</si>
  <si>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</si>
  <si>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</si>
  <si>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</si>
  <si>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</si>
  <si>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</si>
  <si>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</si>
  <si>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</si>
  <si>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</si>
  <si>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</si>
  <si>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</si>
  <si>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</si>
  <si>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</si>
  <si>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</si>
  <si>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</si>
  <si>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</si>
  <si>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</si>
  <si>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</si>
  <si>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</si>
  <si>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</si>
  <si>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</si>
  <si>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</si>
  <si>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</si>
  <si>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</si>
  <si>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</si>
  <si>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</si>
  <si>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</si>
  <si>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</si>
  <si>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</si>
  <si>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</si>
  <si>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</si>
  <si>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</si>
  <si>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</si>
  <si>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</si>
  <si>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</si>
  <si>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</si>
  <si>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</si>
  <si>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</si>
  <si>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</si>
  <si>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</si>
  <si>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</si>
  <si>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</si>
  <si>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</si>
  <si>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</si>
  <si>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</si>
  <si>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</si>
  <si>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</si>
  <si>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</si>
  <si>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</si>
  <si>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</si>
  <si>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</si>
  <si>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</si>
  <si>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</si>
  <si>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</si>
  <si>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</si>
  <si>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</si>
  <si>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</si>
  <si>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</si>
  <si>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</si>
  <si>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</si>
  <si>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</si>
  <si>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</si>
  <si>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</si>
  <si>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</si>
  <si>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</si>
  <si>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</si>
  <si>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</si>
  <si>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</si>
  <si>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</si>
  <si>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</si>
  <si>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</si>
  <si>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</si>
  <si>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</si>
  <si>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</si>
  <si>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</si>
  <si>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</si>
  <si>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</si>
  <si>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</si>
  <si>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</si>
  <si>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</si>
  <si>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</si>
  <si>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</si>
  <si>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</si>
  <si>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</si>
  <si>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</si>
  <si>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</si>
  <si>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</si>
  <si>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</si>
  <si>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</si>
  <si>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</si>
  <si>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</si>
  <si>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</si>
  <si>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</si>
  <si>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</si>
  <si>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</si>
  <si>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</si>
  <si>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</si>
  <si>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</si>
  <si>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</si>
  <si>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</si>
  <si>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</si>
  <si>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</si>
  <si>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</si>
  <si>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</si>
  <si>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</si>
  <si>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</si>
  <si>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</si>
  <si>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</si>
  <si>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</si>
  <si>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</si>
  <si>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</si>
  <si>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</si>
  <si>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</si>
  <si>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</si>
  <si>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</si>
  <si>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</si>
  <si>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</si>
  <si>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</si>
  <si>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</si>
  <si>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</si>
  <si>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</si>
  <si>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</si>
  <si>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</si>
  <si>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</si>
  <si>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</si>
  <si>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</si>
  <si>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</si>
  <si>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</si>
  <si>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</si>
  <si>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</si>
  <si>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</si>
  <si>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</si>
  <si>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</si>
  <si>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</si>
  <si>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</si>
  <si>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</si>
  <si>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</si>
  <si>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</si>
  <si>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</si>
  <si>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</si>
  <si>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</si>
  <si>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</si>
  <si>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</si>
  <si>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</si>
  <si>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</si>
  <si>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</si>
  <si>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</si>
  <si>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</si>
  <si>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</si>
  <si>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</si>
  <si>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</si>
  <si>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</si>
  <si>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</si>
  <si>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</si>
  <si>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</si>
  <si>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</si>
  <si>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</si>
  <si>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</si>
  <si>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</si>
  <si>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</si>
  <si>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</si>
  <si>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</si>
  <si>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</si>
  <si>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</si>
  <si>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</si>
  <si>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</si>
  <si>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</si>
  <si>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</si>
  <si>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</si>
  <si>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</si>
  <si>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</si>
  <si>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</si>
  <si>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</si>
  <si>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</si>
  <si>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</si>
  <si>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</si>
  <si>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</si>
  <si>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</si>
  <si>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</si>
  <si>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</si>
  <si>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</si>
  <si>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</si>
  <si>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</si>
  <si>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</si>
  <si>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</si>
  <si>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</si>
  <si>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</si>
  <si>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</si>
  <si>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</si>
  <si>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</si>
  <si>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</si>
  <si>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</si>
  <si>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</si>
  <si>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</si>
  <si>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</si>
  <si>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</si>
  <si>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</si>
  <si>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</si>
  <si>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</si>
  <si>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</si>
  <si>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</si>
  <si>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</si>
  <si>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</si>
  <si>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</si>
  <si>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</si>
  <si>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</si>
  <si>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</si>
  <si>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</si>
  <si>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</si>
  <si>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</si>
  <si>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</si>
  <si>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</si>
  <si>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</si>
  <si>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</si>
  <si>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</si>
  <si>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</si>
  <si>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</si>
  <si>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</si>
  <si>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</si>
  <si>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</si>
  <si>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</si>
  <si>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</si>
  <si>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</si>
  <si>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</si>
  <si>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</si>
  <si>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</si>
  <si>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</si>
  <si>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</si>
  <si>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</si>
  <si>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</si>
  <si>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</si>
  <si>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</si>
  <si>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</si>
  <si>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</si>
  <si>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</si>
  <si>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</si>
  <si>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</si>
  <si>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</si>
  <si>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</si>
  <si>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</si>
  <si>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</si>
  <si>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</si>
  <si>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</si>
  <si>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</si>
  <si>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</si>
  <si>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</si>
  <si>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</si>
  <si>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</si>
  <si>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</si>
  <si>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</si>
  <si>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</si>
  <si>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</si>
  <si>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</si>
  <si>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</si>
  <si>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</si>
  <si>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</si>
  <si>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</si>
  <si>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</si>
  <si>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</si>
  <si>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</si>
  <si>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</si>
  <si>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</si>
  <si>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</si>
  <si>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</si>
  <si>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</si>
  <si>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</si>
  <si>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</si>
  <si>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</si>
  <si>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</si>
  <si>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</si>
  <si>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</si>
  <si>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</si>
  <si>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</si>
  <si>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</si>
  <si>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</si>
  <si>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</si>
  <si>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</si>
  <si>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</si>
  <si>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</si>
  <si>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</si>
  <si>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</si>
  <si>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</si>
  <si>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</si>
  <si>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</si>
  <si>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</si>
  <si>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</si>
  <si>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</si>
  <si>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</si>
  <si>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</si>
  <si>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</si>
  <si>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</si>
  <si>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</si>
  <si>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</si>
  <si>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</si>
  <si>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</si>
  <si>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</si>
  <si>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</si>
  <si>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</si>
  <si>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</si>
  <si>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</si>
  <si>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</si>
  <si>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</si>
  <si>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</si>
  <si>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</si>
  <si>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</si>
  <si>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</si>
  <si>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</si>
  <si>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</si>
  <si>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</si>
  <si>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</si>
  <si>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</si>
  <si>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</si>
  <si>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</si>
  <si>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</si>
  <si>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</si>
  <si>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</si>
  <si>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</si>
  <si>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</si>
  <si>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</si>
  <si>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</si>
  <si>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</si>
  <si>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</si>
  <si>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</si>
  <si>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</si>
  <si>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</si>
  <si>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</si>
  <si>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</si>
  <si>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</si>
  <si>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</si>
  <si>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</si>
  <si>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</si>
  <si>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</si>
  <si>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</si>
  <si>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</si>
  <si>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</si>
  <si>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</si>
  <si>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</si>
  <si>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</si>
  <si>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</si>
  <si>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</si>
  <si>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</si>
  <si>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</si>
  <si>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</si>
  <si>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</si>
  <si>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</si>
  <si>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</si>
  <si>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</si>
  <si>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</si>
  <si>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</si>
  <si>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</si>
  <si>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</si>
  <si>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</si>
  <si>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</si>
  <si>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</si>
  <si>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</si>
  <si>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</si>
  <si>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</si>
  <si>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</si>
  <si>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</si>
  <si>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</si>
  <si>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</si>
  <si>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</si>
  <si>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</si>
  <si>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</si>
  <si>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</si>
  <si>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</si>
  <si>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</si>
  <si>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</si>
  <si>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</si>
  <si>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</si>
  <si>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</si>
  <si>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</si>
  <si>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</si>
  <si>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</si>
  <si>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</si>
  <si>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</si>
  <si>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</si>
  <si>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</si>
  <si>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</si>
  <si>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</si>
  <si>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</si>
  <si>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</si>
  <si>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</si>
  <si>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</si>
  <si>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</si>
  <si>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</si>
  <si>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</si>
  <si>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</si>
  <si>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</si>
  <si>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</si>
  <si>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</si>
  <si>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</si>
  <si>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</si>
  <si>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</si>
  <si>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</si>
  <si>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</si>
  <si>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</si>
  <si>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</si>
  <si>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</si>
  <si>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</si>
  <si>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</si>
  <si>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</si>
  <si>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</si>
  <si>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</si>
  <si>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</si>
  <si>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</si>
  <si>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</si>
  <si>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</si>
  <si>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</si>
  <si>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</si>
  <si>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</si>
  <si>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</si>
  <si>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</si>
  <si>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</si>
  <si>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</si>
  <si>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</si>
  <si>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</si>
  <si>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</si>
  <si>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</si>
  <si>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</si>
  <si>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</si>
  <si>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</si>
  <si>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</si>
  <si>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</si>
  <si>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</si>
  <si>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</si>
  <si>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</si>
  <si>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</si>
  <si>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</si>
  <si>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</si>
  <si>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</si>
  <si>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</si>
  <si>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</si>
  <si>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</si>
  <si>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</si>
  <si>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</si>
  <si>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</si>
  <si>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</si>
  <si>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</si>
  <si>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</si>
  <si>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</si>
  <si>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</si>
  <si>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</si>
  <si>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</si>
  <si>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</si>
  <si>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</si>
  <si>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</si>
  <si>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</si>
  <si>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</si>
  <si>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</si>
  <si>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</si>
  <si>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</si>
  <si>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</si>
  <si>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</si>
  <si>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</si>
  <si>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</si>
  <si>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</si>
  <si>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</si>
  <si>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</si>
  <si>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</si>
  <si>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</si>
  <si>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</si>
  <si>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</si>
  <si>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</si>
  <si>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</si>
  <si>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</si>
  <si>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</si>
  <si>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</si>
  <si>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</si>
  <si>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</si>
  <si>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</si>
  <si>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</si>
  <si>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</si>
  <si>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</si>
  <si>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</si>
  <si>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</si>
  <si>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</si>
  <si>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</si>
  <si>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</si>
  <si>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</si>
  <si>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</si>
  <si>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</si>
  <si>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</si>
  <si>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</si>
  <si>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</si>
  <si>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</si>
  <si>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</si>
  <si>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</si>
  <si>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</si>
  <si>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</si>
  <si>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</si>
  <si>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</si>
  <si>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</si>
  <si>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</si>
  <si>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</si>
  <si>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</si>
  <si>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</si>
  <si>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</si>
  <si>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</si>
  <si>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</si>
  <si>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</si>
  <si>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</si>
  <si>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</si>
  <si>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</si>
  <si>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</si>
  <si>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</si>
  <si>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</si>
  <si>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</si>
  <si>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</si>
  <si>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</si>
  <si>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</si>
  <si>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</si>
  <si>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</si>
  <si>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</si>
  <si>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</si>
  <si>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</si>
  <si>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</si>
  <si>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</si>
  <si>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</si>
  <si>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</si>
  <si>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</si>
  <si>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</si>
  <si>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</si>
  <si>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</si>
  <si>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</si>
  <si>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</si>
  <si>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</si>
  <si>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</si>
  <si>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</si>
  <si>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</si>
  <si>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</si>
  <si>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</si>
  <si>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</si>
  <si>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</si>
  <si>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</si>
  <si>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</si>
  <si>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</si>
  <si>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</si>
  <si>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</si>
  <si>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</si>
  <si>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</si>
  <si>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</si>
  <si>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</si>
  <si>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</si>
  <si>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</si>
  <si>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</si>
  <si>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</si>
  <si>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</si>
  <si>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</si>
  <si>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</si>
  <si>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</si>
  <si>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</si>
  <si>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</si>
  <si>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</si>
  <si>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</si>
  <si>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</si>
  <si>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</si>
  <si>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</si>
  <si>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</si>
  <si>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</si>
  <si>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</si>
  <si>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</si>
  <si>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</si>
  <si>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</si>
  <si>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</si>
  <si>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</si>
  <si>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</si>
  <si>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</si>
  <si>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</si>
  <si>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</si>
  <si>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</si>
  <si>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</si>
  <si>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</si>
  <si>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</si>
  <si>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</si>
  <si>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</si>
  <si>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</si>
  <si>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</si>
  <si>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</si>
  <si>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</si>
  <si>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</si>
  <si>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</si>
  <si>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</si>
  <si>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</si>
  <si>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</si>
  <si>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</si>
  <si>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</si>
  <si>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</si>
  <si>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</si>
  <si>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</si>
  <si>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</si>
  <si>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</si>
  <si>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</si>
  <si>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</si>
  <si>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</si>
  <si>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</si>
  <si>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</si>
  <si>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</si>
  <si>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</si>
  <si>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</si>
  <si>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</si>
  <si>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</si>
  <si>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</si>
  <si>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</si>
  <si>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</si>
  <si>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</si>
  <si>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</si>
  <si>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</si>
  <si>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</si>
  <si>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</si>
  <si>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</si>
  <si>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</si>
  <si>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</si>
  <si>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</si>
  <si>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</si>
  <si>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</si>
  <si>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</si>
  <si>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</si>
  <si>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</si>
  <si>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</si>
  <si>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</si>
  <si>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</si>
  <si>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</si>
  <si>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</si>
  <si>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</si>
  <si>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</si>
  <si>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</si>
  <si>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</si>
  <si>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</si>
  <si>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</si>
  <si>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</si>
  <si>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</si>
  <si>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</si>
  <si>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</si>
  <si>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</si>
  <si>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</si>
  <si>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</si>
  <si>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</si>
  <si>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</si>
  <si>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</si>
  <si>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</si>
  <si>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</si>
  <si>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</si>
  <si>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</si>
  <si>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</si>
  <si>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</si>
  <si>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</si>
  <si>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</si>
  <si>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</si>
  <si>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</si>
  <si>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</si>
  <si>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</si>
  <si>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</si>
  <si>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</si>
  <si>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</si>
  <si>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</si>
  <si>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</si>
  <si>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</si>
  <si>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</si>
  <si>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</si>
  <si>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</si>
  <si>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</si>
  <si>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</si>
  <si>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</si>
  <si>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</si>
  <si>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</si>
  <si>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</si>
  <si>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</si>
  <si>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</si>
  <si>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</si>
  <si>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</si>
  <si>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</si>
  <si>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</si>
  <si>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</si>
  <si>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</si>
  <si>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</si>
  <si>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</si>
  <si>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</si>
  <si>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</si>
  <si>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</si>
  <si>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</si>
  <si>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</si>
  <si>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</si>
  <si>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</si>
  <si>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</si>
  <si>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</si>
  <si>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</si>
  <si>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</si>
  <si>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</si>
  <si>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</si>
  <si>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</si>
  <si>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</si>
  <si>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</si>
  <si>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</si>
  <si>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</si>
  <si>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</si>
  <si>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</si>
  <si>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</si>
  <si>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</si>
  <si>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</si>
  <si>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</si>
  <si>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</si>
  <si>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</si>
  <si>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</si>
  <si>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</si>
  <si>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</si>
  <si>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</si>
  <si>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</si>
  <si>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</si>
  <si>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</si>
  <si>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</si>
  <si>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</si>
  <si>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</si>
  <si>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</si>
  <si>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</si>
  <si>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</si>
  <si>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</si>
  <si>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</si>
  <si>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</si>
  <si>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</si>
  <si>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</si>
  <si>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</si>
  <si>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</si>
  <si>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</si>
  <si>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</si>
  <si>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</si>
  <si>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</si>
  <si>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</si>
  <si>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</si>
  <si>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</si>
  <si>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</si>
  <si>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</si>
  <si>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</si>
  <si>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</si>
  <si>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</si>
  <si>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</si>
  <si>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</si>
  <si>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</si>
  <si>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</si>
  <si>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</si>
  <si>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</si>
  <si>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</si>
  <si>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</si>
  <si>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</si>
  <si>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</si>
  <si>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</si>
  <si>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</si>
  <si>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</si>
  <si>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</si>
  <si>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</si>
  <si>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</si>
  <si>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</si>
  <si>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</si>
  <si>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</si>
  <si>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</si>
  <si>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</si>
  <si>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</si>
  <si>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</si>
  <si>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</si>
  <si>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</si>
  <si>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</si>
  <si>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</si>
  <si>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</si>
  <si>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</si>
  <si>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</si>
  <si>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</si>
  <si>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</si>
  <si>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</si>
  <si>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</si>
  <si>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</si>
  <si>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</si>
  <si>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</si>
  <si>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</si>
  <si>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</si>
  <si>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</si>
  <si>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</si>
  <si>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</si>
  <si>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</si>
  <si>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</si>
  <si>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</si>
  <si>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</si>
  <si>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</si>
  <si>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</si>
  <si>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</si>
  <si>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</si>
  <si>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</si>
  <si>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</si>
  <si>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</si>
  <si>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</si>
  <si>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</si>
  <si>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</si>
  <si>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</si>
  <si>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</si>
  <si>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</si>
  <si>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</si>
  <si>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</si>
  <si>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</si>
  <si>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</si>
  <si>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</si>
  <si>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</si>
  <si>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</si>
  <si>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</si>
  <si>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</si>
  <si>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</si>
  <si>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</si>
  <si>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</si>
  <si>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</si>
  <si>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</si>
  <si>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</si>
  <si>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</si>
  <si>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</si>
  <si>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</si>
  <si>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</si>
  <si>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</si>
  <si>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</si>
  <si>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</si>
  <si>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</si>
  <si>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</si>
  <si>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</si>
  <si>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</si>
  <si>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</si>
  <si>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</si>
  <si>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</si>
  <si>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</si>
  <si>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</si>
  <si>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</si>
  <si>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</si>
  <si>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</si>
  <si>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</si>
  <si>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</si>
  <si>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</si>
  <si>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</si>
  <si>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</si>
  <si>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</si>
  <si>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</si>
  <si>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</si>
  <si>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</si>
  <si>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</si>
  <si>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</si>
  <si>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</si>
  <si>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</si>
  <si>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</si>
  <si>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</si>
  <si>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</si>
  <si>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</si>
  <si>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</si>
  <si>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</si>
  <si>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</si>
  <si>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</si>
  <si>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</si>
  <si>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</si>
  <si>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</si>
  <si>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</si>
  <si>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</si>
  <si>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</si>
  <si>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</si>
  <si>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</si>
  <si>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</si>
  <si>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</si>
  <si>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</si>
  <si>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</si>
  <si>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</si>
  <si>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</si>
  <si>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</si>
  <si>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</si>
  <si>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</si>
  <si>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</si>
  <si>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</si>
  <si>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</si>
  <si>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</si>
  <si>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</si>
  <si>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</si>
  <si>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</si>
  <si>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</si>
  <si>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</si>
  <si>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</si>
  <si>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</si>
  <si>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</si>
  <si>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</si>
  <si>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</si>
  <si>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</si>
  <si>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</si>
  <si>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</si>
  <si>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</si>
  <si>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</si>
  <si>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</si>
  <si>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</si>
  <si>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</si>
  <si>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</si>
  <si>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</si>
  <si>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</si>
  <si>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</si>
  <si>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</si>
  <si>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</si>
  <si>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</si>
  <si>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</si>
  <si>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</si>
  <si>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</si>
  <si>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</si>
  <si>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</si>
  <si>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</si>
  <si>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</si>
  <si>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</si>
  <si>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</si>
  <si>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</si>
  <si>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</si>
  <si>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</si>
  <si>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</si>
  <si>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</si>
  <si>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</si>
  <si>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</si>
  <si>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</si>
  <si>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</si>
  <si>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</si>
  <si>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</si>
  <si>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</si>
  <si>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</si>
  <si>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</si>
  <si>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</si>
  <si>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</si>
  <si>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</si>
  <si>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</si>
  <si>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</si>
  <si>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</si>
  <si>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</si>
  <si>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</si>
  <si>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</si>
  <si>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</si>
  <si>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</si>
  <si>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</si>
  <si>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</si>
  <si>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</si>
  <si>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</si>
  <si>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</si>
  <si>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</si>
  <si>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</si>
  <si>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</si>
  <si>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</si>
  <si>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</si>
  <si>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</si>
  <si>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</si>
  <si>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</si>
  <si>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</si>
  <si>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</si>
  <si>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</si>
  <si>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</si>
  <si>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</si>
  <si>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</si>
  <si>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</si>
  <si>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</si>
  <si>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</si>
  <si>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</si>
  <si>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</si>
  <si>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</si>
  <si>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</si>
  <si>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</si>
  <si>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</si>
  <si>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</si>
  <si>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</si>
  <si>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</si>
  <si>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</si>
  <si>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</si>
  <si>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</si>
  <si>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</si>
  <si>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</si>
  <si>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</si>
  <si>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</si>
  <si>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</si>
  <si>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</si>
  <si>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</si>
  <si>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</si>
  <si>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</si>
  <si>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</si>
  <si>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</si>
  <si>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</si>
  <si>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</si>
  <si>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</si>
  <si>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</si>
  <si>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</si>
  <si>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</si>
  <si>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</si>
  <si>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</si>
  <si>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</si>
  <si>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</si>
  <si>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</si>
  <si>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</si>
  <si>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</si>
  <si>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</si>
  <si>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</si>
  <si>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</si>
  <si>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</si>
  <si>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</si>
  <si>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</si>
  <si>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</si>
  <si>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</si>
  <si>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</si>
  <si>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</si>
  <si>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</si>
  <si>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</si>
  <si>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</si>
  <si>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</si>
  <si>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</si>
  <si>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</si>
  <si>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</si>
  <si>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</si>
  <si>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</si>
  <si>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</si>
  <si>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</si>
  <si>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</si>
  <si>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</si>
  <si>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</si>
  <si>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</si>
  <si>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</si>
  <si>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</si>
  <si>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</si>
  <si>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</si>
  <si>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</si>
  <si>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</si>
  <si>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</si>
  <si>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</si>
  <si>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</si>
  <si>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</si>
  <si>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</si>
  <si>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</si>
  <si>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</si>
  <si>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</si>
  <si>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</si>
  <si>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</si>
  <si>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</si>
  <si>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</si>
  <si>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</si>
  <si>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</si>
  <si>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</si>
  <si>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</si>
  <si>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</si>
  <si>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</si>
  <si>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</si>
  <si>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</si>
  <si>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</si>
  <si>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</si>
  <si>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</si>
  <si>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</si>
  <si>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</si>
  <si>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</si>
  <si>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</si>
  <si>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</si>
  <si>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</si>
  <si>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</si>
  <si>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</si>
  <si>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</si>
  <si>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</si>
  <si>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</si>
  <si>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</si>
  <si>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</si>
  <si>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</si>
  <si>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</si>
  <si>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</si>
  <si>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</si>
  <si>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</si>
  <si>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</si>
  <si>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</si>
  <si>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</si>
  <si>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</si>
  <si>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</si>
  <si>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</si>
  <si>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</si>
  <si>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</si>
  <si>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</si>
  <si>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</si>
  <si>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</si>
  <si>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</si>
  <si>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</si>
  <si>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</si>
  <si>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</si>
  <si>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</si>
  <si>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</si>
  <si>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</si>
  <si>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</si>
  <si>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</si>
  <si>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</si>
  <si>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</si>
  <si>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</si>
  <si>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</si>
  <si>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</si>
  <si>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</si>
  <si>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</si>
  <si>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</si>
  <si>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</si>
  <si>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</si>
  <si>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</si>
  <si>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</si>
  <si>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</si>
  <si>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</si>
  <si>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</si>
  <si>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</si>
  <si>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</si>
  <si>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</si>
  <si>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</si>
  <si>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</si>
  <si>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</si>
  <si>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</si>
  <si>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</si>
  <si>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</si>
  <si>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</si>
  <si>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</si>
  <si>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</si>
  <si>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</si>
  <si>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</si>
  <si>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</si>
  <si>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</si>
  <si>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</si>
  <si>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</si>
  <si>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</si>
  <si>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</si>
  <si>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</si>
  <si>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</si>
  <si>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</si>
  <si>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</si>
  <si>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</si>
  <si>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</si>
  <si>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</si>
  <si>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</si>
  <si>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</si>
  <si>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</si>
  <si>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</si>
  <si>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</si>
  <si>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</si>
  <si>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</si>
  <si>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</si>
  <si>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</si>
  <si>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</si>
  <si>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</si>
  <si>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</si>
  <si>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</si>
  <si>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</si>
  <si>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</si>
  <si>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</si>
  <si>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</si>
  <si>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</si>
  <si>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</si>
  <si>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</si>
  <si>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</si>
  <si>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</si>
  <si>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</si>
  <si>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</si>
  <si>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</si>
  <si>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</si>
  <si>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</si>
  <si>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</si>
  <si>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</si>
  <si>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</si>
  <si>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</si>
  <si>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</si>
  <si>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</si>
  <si>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</si>
  <si>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</si>
  <si>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</si>
  <si>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</si>
  <si>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</si>
  <si>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</si>
  <si>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</si>
  <si>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</si>
  <si>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</si>
  <si>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</si>
  <si>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</si>
  <si>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</si>
  <si>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</si>
  <si>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</si>
  <si>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</si>
  <si>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</si>
  <si>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</si>
  <si>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</si>
  <si>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</si>
  <si>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</si>
  <si>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</si>
  <si>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</si>
  <si>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</si>
  <si>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</si>
  <si>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</si>
  <si>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</si>
  <si>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</si>
  <si>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</si>
  <si>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</si>
  <si>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</si>
  <si>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</si>
  <si>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</si>
  <si>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</si>
  <si>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</si>
  <si>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</si>
  <si>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</si>
  <si>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</si>
  <si>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</si>
  <si>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</si>
  <si>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</si>
  <si>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</si>
  <si>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</si>
  <si>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</si>
  <si>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</si>
  <si>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</si>
  <si>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</si>
  <si>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</si>
  <si>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</si>
  <si>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</si>
  <si>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</si>
  <si>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</si>
  <si>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</si>
  <si>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</si>
  <si>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</si>
  <si>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</si>
  <si>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</si>
  <si>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</si>
  <si>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</si>
  <si>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</si>
  <si>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</si>
  <si>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</si>
  <si>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</si>
  <si>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</si>
  <si>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</si>
  <si>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</si>
  <si>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</si>
  <si>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</si>
  <si>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</si>
  <si>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</si>
  <si>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</si>
  <si>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</si>
  <si>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</si>
  <si>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</si>
  <si>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</si>
  <si>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</si>
  <si>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</si>
  <si>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</si>
  <si>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</si>
  <si>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</si>
  <si>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</si>
  <si>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</si>
  <si>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</si>
  <si>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</si>
  <si>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</si>
  <si>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</si>
  <si>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</si>
  <si>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</si>
  <si>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</si>
  <si>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</si>
  <si>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</si>
  <si>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</si>
  <si>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</si>
  <si>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</si>
  <si>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</si>
  <si>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</si>
  <si>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</si>
  <si>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</si>
  <si>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</si>
  <si>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</si>
  <si>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</si>
  <si>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</si>
  <si>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</si>
  <si>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</si>
  <si>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</si>
  <si>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</si>
  <si>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</si>
  <si>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</si>
  <si>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</si>
  <si>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</si>
  <si>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</si>
  <si>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</si>
  <si>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</si>
  <si>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</si>
  <si>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</si>
  <si>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</si>
  <si>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</si>
  <si>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</si>
  <si>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</si>
  <si>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</si>
  <si>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</si>
  <si>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</si>
  <si>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</si>
  <si>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</si>
  <si>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</si>
  <si>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</si>
  <si>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</si>
  <si>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</si>
  <si>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</si>
  <si>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</si>
  <si>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</si>
  <si>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</si>
  <si>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</si>
  <si>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</si>
  <si>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</si>
  <si>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</si>
  <si>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</si>
  <si>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</si>
  <si>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</si>
  <si>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</si>
  <si>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</si>
  <si>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</si>
  <si>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</si>
  <si>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</si>
  <si>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</si>
  <si>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</si>
  <si>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</si>
  <si>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</si>
  <si>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</si>
  <si>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</si>
  <si>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</si>
  <si>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</si>
  <si>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</si>
  <si>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</si>
  <si>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</si>
  <si>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</si>
  <si>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</si>
  <si>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</si>
  <si>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</si>
  <si>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</si>
  <si>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</si>
  <si>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</si>
  <si>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</si>
  <si>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</si>
  <si>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</si>
  <si>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</si>
  <si>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</si>
  <si>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</si>
  <si>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</si>
  <si>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</si>
  <si>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</si>
  <si>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</si>
  <si>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</si>
  <si>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</si>
  <si>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</si>
  <si>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</si>
  <si>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</si>
  <si>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</si>
  <si>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</si>
  <si>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</si>
  <si>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</si>
  <si>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</si>
  <si>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</si>
  <si>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</si>
  <si>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</si>
  <si>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</si>
  <si>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</si>
  <si>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</si>
  <si>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</si>
  <si>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</si>
  <si>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</si>
  <si>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</si>
  <si>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</si>
  <si>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</si>
  <si>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</si>
  <si>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</si>
  <si>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</si>
  <si>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</si>
  <si>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</si>
  <si>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</si>
  <si>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</si>
  <si>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</si>
  <si>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</si>
  <si>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</si>
  <si>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</si>
  <si>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</si>
  <si>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</si>
  <si>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</si>
  <si>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</si>
  <si>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</si>
  <si>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</si>
  <si>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</si>
  <si>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</si>
  <si>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</si>
  <si>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</si>
  <si>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</si>
  <si>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</si>
  <si>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</si>
  <si>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</si>
  <si>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</si>
  <si>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</si>
  <si>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</si>
  <si>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</si>
  <si>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</si>
  <si>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</si>
  <si>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</si>
  <si>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</si>
  <si>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</si>
  <si>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</si>
  <si>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</si>
  <si>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</si>
  <si>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</si>
  <si>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</si>
  <si>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</si>
  <si>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</si>
  <si>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</si>
  <si>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</si>
  <si>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</si>
  <si>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</si>
  <si>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</si>
  <si>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</si>
  <si>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</si>
  <si>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</si>
  <si>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</si>
  <si>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</si>
  <si>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</si>
  <si>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</si>
  <si>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</si>
  <si>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</si>
  <si>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</si>
  <si>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</si>
  <si>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</si>
  <si>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</si>
  <si>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</si>
  <si>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</si>
  <si>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</si>
  <si>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</si>
  <si>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</si>
  <si>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</si>
  <si>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</si>
  <si>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</si>
  <si>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</si>
  <si>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</si>
  <si>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</si>
  <si>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</si>
  <si>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</si>
  <si>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</si>
  <si>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</si>
  <si>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</si>
  <si>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</si>
  <si>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</si>
  <si>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</si>
  <si>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</si>
  <si>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</si>
  <si>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</si>
  <si>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</si>
  <si>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</si>
  <si>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</si>
  <si>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</si>
  <si>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</si>
  <si>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</si>
  <si>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</si>
  <si>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</si>
  <si>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</si>
  <si>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</si>
  <si>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</si>
  <si>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</si>
  <si>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</si>
  <si>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</si>
  <si>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</si>
  <si>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</si>
  <si>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</si>
  <si>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</si>
  <si>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</si>
  <si>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</si>
  <si>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</si>
  <si>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</si>
  <si>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</si>
  <si>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</si>
  <si>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</si>
  <si>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</si>
  <si>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</si>
  <si>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</si>
  <si>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</si>
  <si>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</si>
  <si>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</si>
  <si>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</si>
  <si>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</si>
  <si>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</si>
  <si>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</si>
  <si>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</si>
  <si>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</si>
  <si>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</si>
  <si>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</si>
  <si>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</si>
  <si>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</si>
  <si>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</si>
  <si>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</si>
  <si>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</si>
  <si>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</si>
  <si>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</si>
  <si>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</si>
  <si>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</si>
  <si>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</si>
  <si>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</si>
  <si>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</si>
  <si>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</si>
  <si>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</si>
  <si>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</si>
  <si>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</si>
  <si>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</si>
  <si>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</si>
  <si>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</si>
  <si>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</si>
  <si>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</si>
  <si>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</si>
  <si>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</si>
  <si>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</si>
  <si>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</si>
  <si>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</si>
  <si>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</si>
  <si>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</si>
  <si>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</si>
  <si>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</si>
  <si>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</si>
  <si>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</si>
  <si>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</si>
  <si>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</si>
  <si>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</si>
  <si>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</si>
  <si>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</si>
  <si>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</si>
  <si>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</si>
  <si>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</si>
  <si>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</si>
  <si>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</si>
  <si>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</si>
  <si>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</si>
  <si>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</si>
  <si>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</si>
  <si>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</si>
  <si>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</si>
  <si>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</si>
  <si>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</si>
  <si>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</si>
  <si>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</si>
  <si>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</si>
  <si>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</si>
  <si>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</si>
  <si>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</si>
  <si>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</si>
  <si>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</si>
  <si>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</si>
  <si>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</si>
  <si>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</si>
  <si>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</si>
  <si>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</si>
  <si>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</si>
  <si>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</si>
  <si>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</si>
  <si>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</si>
  <si>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</si>
  <si>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</si>
  <si>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</si>
  <si>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</si>
  <si>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</si>
  <si>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</si>
  <si>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</si>
  <si>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</si>
  <si>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</si>
  <si>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</si>
  <si>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</si>
  <si>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</si>
  <si>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</si>
  <si>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</si>
  <si>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</si>
  <si>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</si>
  <si>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</si>
  <si>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</si>
  <si>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</si>
  <si>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</si>
  <si>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</si>
  <si>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</si>
  <si>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</si>
  <si>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</si>
  <si>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</si>
  <si>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</si>
  <si>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</si>
  <si>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</si>
  <si>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</si>
  <si>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</si>
  <si>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</si>
  <si>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</si>
  <si>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</si>
  <si>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</si>
  <si>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</si>
  <si>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</si>
  <si>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</si>
  <si>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</si>
  <si>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</si>
  <si>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</si>
  <si>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</si>
  <si>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</si>
  <si>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</si>
  <si>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</si>
  <si>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</si>
  <si>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</si>
  <si>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</si>
  <si>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</si>
  <si>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</si>
  <si>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</si>
  <si>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</si>
  <si>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</si>
  <si>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</si>
  <si>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</si>
  <si>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</si>
  <si>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</si>
  <si>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</si>
  <si>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</si>
  <si>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</si>
  <si>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</si>
  <si>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</si>
  <si>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</si>
  <si>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</si>
  <si>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</si>
  <si>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</si>
  <si>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</si>
  <si>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</si>
  <si>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</si>
  <si>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</si>
  <si>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</si>
  <si>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</si>
  <si>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</si>
  <si>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</si>
  <si>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</si>
  <si>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</si>
  <si>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</si>
  <si>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</si>
  <si>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</si>
  <si>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</si>
  <si>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</si>
  <si>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</si>
  <si>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</si>
  <si>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</si>
  <si>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</si>
  <si>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</si>
  <si>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</si>
  <si>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</si>
  <si>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</si>
  <si>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</si>
  <si>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</si>
  <si>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</si>
  <si>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</si>
  <si>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</si>
  <si>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</si>
  <si>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</si>
  <si>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</si>
  <si>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</si>
  <si>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</si>
  <si>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</si>
  <si>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</si>
  <si>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</si>
  <si>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</si>
  <si>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</si>
  <si>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</si>
  <si>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</si>
  <si>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</si>
  <si>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</si>
  <si>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</si>
  <si>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</si>
  <si>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</si>
  <si>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</si>
  <si>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</si>
  <si>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</si>
  <si>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</si>
  <si>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</si>
  <si>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</si>
  <si>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</si>
  <si>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</si>
  <si>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</si>
  <si>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</si>
  <si>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</si>
  <si>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</si>
  <si>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</si>
  <si>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</si>
  <si>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</si>
  <si>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</si>
  <si>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</si>
  <si>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</si>
  <si>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</si>
  <si>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</si>
  <si>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</si>
  <si>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</si>
  <si>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</si>
  <si>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</si>
  <si>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</si>
  <si>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</si>
  <si>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</si>
  <si>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</si>
  <si>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</si>
  <si>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</si>
  <si>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</si>
  <si>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</si>
  <si>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</si>
  <si>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</si>
  <si>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</si>
  <si>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</si>
  <si>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</si>
  <si>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</si>
  <si>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</si>
  <si>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</si>
  <si>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</si>
  <si>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</si>
  <si>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</si>
  <si>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</si>
  <si>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</si>
  <si>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</si>
  <si>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</si>
  <si>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</si>
  <si>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</si>
  <si>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</si>
  <si>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</si>
  <si>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</si>
  <si>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</si>
  <si>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</si>
  <si>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</si>
  <si>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</si>
  <si>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</si>
  <si>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</si>
  <si>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</si>
  <si>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</si>
  <si>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</si>
  <si>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</si>
  <si>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</si>
  <si>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</si>
  <si>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</si>
  <si>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</si>
  <si>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</si>
  <si>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</si>
  <si>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</si>
  <si>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</si>
  <si>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</si>
  <si>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</si>
  <si>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</si>
  <si>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</si>
  <si>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</si>
  <si>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</si>
  <si>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</si>
  <si>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</si>
  <si>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</si>
  <si>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</si>
  <si>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</si>
  <si>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</si>
  <si>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</si>
  <si>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</si>
  <si>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</si>
  <si>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</si>
  <si>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</si>
  <si>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</si>
  <si>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</si>
  <si>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</si>
  <si>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</si>
  <si>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</si>
  <si>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</si>
  <si>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</si>
  <si>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</si>
  <si>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</si>
  <si>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</si>
  <si>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</si>
  <si>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</si>
  <si>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</si>
  <si>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</si>
  <si>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</si>
  <si>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</si>
  <si>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</si>
  <si>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</si>
  <si>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</si>
  <si>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</si>
  <si>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</si>
  <si>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</si>
  <si>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</si>
  <si>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</si>
  <si>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</si>
  <si>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</si>
  <si>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</si>
  <si>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</si>
  <si>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</si>
  <si>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</si>
  <si>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</si>
  <si>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</si>
  <si>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</si>
  <si>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</si>
  <si>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</si>
  <si>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</si>
  <si>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</si>
  <si>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</si>
  <si>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</si>
  <si>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</si>
  <si>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</si>
  <si>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</si>
  <si>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</si>
  <si>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</si>
  <si>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</si>
  <si>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</si>
  <si>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</si>
  <si>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</si>
  <si>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</si>
  <si>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</si>
  <si>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</si>
  <si>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</si>
  <si>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</si>
  <si>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</si>
  <si>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</si>
  <si>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</si>
  <si>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</si>
  <si>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</si>
  <si>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</si>
  <si>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</si>
  <si>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</si>
  <si>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</si>
  <si>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</si>
  <si>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</si>
  <si>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</si>
  <si>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</si>
  <si>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</si>
  <si>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</si>
  <si>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</si>
  <si>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</si>
  <si>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</si>
  <si>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</si>
  <si>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</si>
  <si>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</si>
  <si>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</si>
  <si>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</si>
  <si>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</si>
  <si>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</si>
  <si>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</si>
  <si>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</si>
  <si>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</si>
  <si>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</si>
  <si>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</si>
  <si>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</si>
  <si>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</si>
  <si>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</si>
  <si>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</si>
  <si>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</si>
  <si>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</si>
  <si>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</si>
  <si>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</si>
  <si>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</si>
  <si>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</si>
  <si>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</si>
  <si>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</si>
  <si>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</si>
  <si>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</si>
  <si>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</si>
  <si>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</si>
  <si>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</si>
  <si>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</si>
  <si>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</si>
  <si>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</si>
  <si>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</si>
  <si>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</si>
  <si>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</si>
  <si>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</si>
  <si>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</si>
  <si>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</si>
  <si>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</si>
  <si>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</si>
  <si>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</si>
  <si>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</si>
  <si>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</si>
  <si>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</si>
  <si>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</si>
  <si>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</si>
  <si>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</si>
  <si>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</si>
  <si>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</si>
  <si>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</si>
  <si>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</si>
  <si>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</si>
  <si>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</si>
  <si>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</si>
  <si>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</si>
  <si>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</si>
  <si>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</si>
  <si>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</si>
  <si>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</si>
  <si>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</si>
  <si>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</si>
  <si>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</si>
  <si>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</si>
  <si>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</si>
  <si>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</si>
  <si>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</si>
  <si>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</si>
  <si>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</si>
  <si>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</si>
  <si>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</si>
  <si>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</si>
  <si>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</si>
  <si>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</si>
  <si>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</si>
  <si>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</si>
  <si>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</si>
  <si>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</si>
  <si>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</si>
  <si>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</si>
  <si>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</si>
  <si>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</si>
  <si>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</si>
  <si>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</si>
  <si>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</si>
  <si>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</si>
  <si>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</si>
  <si>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</si>
  <si>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</si>
  <si>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</si>
  <si>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</si>
  <si>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</si>
  <si>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</si>
  <si>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</si>
  <si>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</si>
  <si>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</si>
  <si>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</si>
  <si>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</si>
  <si>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</si>
  <si>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</si>
  <si>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</si>
  <si>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</si>
  <si>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</si>
  <si>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</si>
  <si>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</si>
  <si>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</si>
  <si>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</si>
  <si>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</si>
  <si>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</si>
  <si>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</si>
  <si>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</si>
  <si>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</si>
  <si>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</si>
  <si>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</si>
  <si>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</si>
  <si>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</si>
  <si>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</si>
  <si>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</si>
  <si>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</si>
  <si>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</si>
  <si>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</si>
  <si>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</si>
  <si>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</si>
  <si>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</si>
  <si>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</si>
  <si>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</si>
  <si>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</si>
  <si>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</si>
  <si>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</si>
  <si>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</si>
  <si>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</si>
  <si>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</si>
  <si>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</si>
  <si>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</si>
  <si>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</si>
  <si>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</si>
  <si>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</si>
  <si>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</si>
  <si>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</si>
  <si>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</si>
  <si>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</si>
  <si>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</si>
  <si>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</si>
  <si>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</si>
  <si>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</si>
  <si>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</si>
  <si>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</si>
  <si>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</si>
  <si>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</si>
  <si>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</si>
  <si>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</si>
  <si>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</si>
  <si>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</si>
  <si>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</si>
  <si>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</si>
  <si>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</si>
  <si>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</si>
  <si>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</si>
  <si>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</si>
  <si>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</si>
  <si>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</si>
  <si>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</si>
  <si>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</si>
  <si>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</si>
  <si>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</si>
  <si>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</si>
  <si>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</si>
  <si>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</si>
  <si>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</si>
  <si>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</si>
  <si>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</si>
  <si>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</si>
  <si>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</si>
  <si>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</si>
  <si>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</si>
  <si>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</si>
  <si>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</si>
  <si>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</si>
  <si>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</si>
  <si>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</si>
  <si>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</si>
  <si>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</si>
  <si>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</si>
  <si>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</si>
  <si>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</si>
  <si>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</si>
  <si>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</si>
  <si>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</si>
  <si>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</si>
  <si>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</si>
  <si>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</si>
  <si>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</si>
  <si>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</si>
  <si>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</si>
  <si>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</si>
  <si>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</si>
  <si>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</si>
  <si>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</si>
  <si>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</si>
  <si>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</si>
  <si>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</si>
  <si>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</si>
  <si>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</si>
  <si>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</si>
  <si>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</si>
  <si>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</si>
  <si>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</si>
  <si>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</si>
  <si>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</si>
  <si>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</si>
  <si>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</si>
  <si>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</si>
  <si>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</si>
  <si>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</si>
  <si>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</si>
  <si>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</si>
  <si>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</si>
  <si>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</si>
  <si>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</si>
  <si>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</si>
  <si>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</si>
  <si>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</si>
  <si>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</si>
  <si>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</si>
  <si>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</si>
  <si>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</si>
  <si>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</si>
  <si>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</si>
  <si>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</si>
  <si>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</si>
  <si>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</si>
  <si>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</si>
  <si>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</si>
  <si>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</si>
  <si>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</si>
  <si>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</si>
  <si>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</si>
  <si>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</si>
  <si>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</si>
  <si>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</si>
  <si>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</si>
  <si>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</si>
  <si>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</si>
  <si>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</si>
  <si>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</si>
  <si>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</si>
  <si>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</si>
  <si>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</si>
  <si>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</si>
  <si>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</si>
  <si>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</si>
  <si>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</si>
  <si>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</si>
  <si>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</si>
  <si>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</si>
  <si>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</si>
  <si>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</si>
  <si>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</si>
  <si>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</si>
  <si>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</si>
  <si>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</si>
  <si>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</si>
  <si>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</si>
  <si>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</si>
  <si>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</si>
  <si>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</si>
  <si>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</si>
  <si>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</si>
  <si>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</si>
  <si>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</si>
  <si>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</si>
  <si>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</si>
  <si>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</si>
  <si>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</si>
  <si>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</si>
  <si>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</si>
  <si>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</si>
  <si>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</si>
  <si>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</si>
  <si>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</si>
  <si>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</si>
  <si>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</si>
  <si>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</si>
  <si>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</si>
  <si>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</si>
  <si>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</si>
  <si>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</si>
  <si>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</si>
  <si>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</si>
  <si>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</si>
  <si>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</si>
  <si>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</si>
  <si>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</si>
  <si>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</si>
  <si>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</si>
  <si>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</si>
  <si>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</si>
  <si>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</si>
  <si>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</si>
  <si>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</si>
  <si>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</si>
  <si>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</si>
  <si>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</si>
  <si>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</si>
  <si>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</si>
  <si>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</si>
  <si>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</si>
  <si>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</si>
  <si>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</si>
  <si>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</si>
  <si>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</si>
  <si>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</si>
  <si>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</si>
  <si>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</si>
  <si>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</si>
  <si>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</si>
  <si>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</si>
  <si>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</si>
  <si>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</si>
  <si>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</si>
  <si>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</si>
  <si>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</si>
  <si>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</si>
  <si>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</si>
  <si>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</si>
  <si>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</si>
  <si>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</si>
  <si>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</si>
  <si>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</si>
  <si>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</si>
  <si>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</si>
  <si>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</si>
  <si>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</si>
  <si>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</si>
  <si>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</si>
  <si>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</si>
  <si>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</si>
  <si>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</si>
  <si>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</si>
  <si>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</si>
  <si>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</si>
  <si>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</si>
  <si>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</si>
  <si>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</si>
  <si>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</si>
  <si>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</si>
  <si>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</si>
  <si>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</si>
  <si>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</si>
  <si>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</si>
  <si>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</si>
  <si>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</si>
  <si>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</si>
  <si>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</si>
  <si>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</si>
  <si>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</si>
  <si>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</si>
  <si>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</si>
  <si>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</si>
  <si>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</si>
  <si>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</si>
  <si>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</si>
  <si>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</si>
  <si>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</si>
  <si>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</si>
  <si>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</si>
  <si>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</si>
  <si>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</si>
  <si>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</si>
  <si>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</si>
  <si>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</si>
  <si>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</si>
  <si>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</si>
  <si>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</si>
  <si>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</si>
  <si>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</si>
  <si>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</si>
  <si>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</si>
  <si>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</si>
  <si>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</si>
  <si>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</si>
  <si>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</si>
  <si>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</si>
  <si>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</si>
  <si>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</si>
  <si>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</si>
  <si>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</si>
  <si>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</si>
  <si>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</si>
  <si>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</si>
  <si>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</si>
  <si>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</si>
  <si>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</si>
  <si>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</si>
  <si>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</si>
  <si>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</si>
  <si>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</si>
  <si>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</si>
  <si>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</si>
  <si>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</si>
  <si>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</si>
  <si>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</si>
  <si>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</si>
  <si>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</si>
  <si>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</si>
  <si>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</si>
  <si>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</si>
  <si>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</si>
  <si>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</si>
  <si>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</si>
  <si>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</si>
  <si>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</si>
  <si>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</si>
  <si>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</si>
  <si>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</si>
  <si>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</si>
  <si>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</si>
  <si>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</si>
  <si>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</si>
  <si>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</si>
  <si>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</si>
  <si>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</si>
  <si>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</si>
  <si>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</si>
  <si>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</si>
  <si>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</si>
  <si>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</si>
  <si>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</si>
  <si>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</si>
  <si>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</si>
  <si>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</si>
  <si>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</si>
  <si>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</si>
  <si>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</si>
  <si>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</si>
  <si>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</si>
  <si>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</si>
  <si>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</si>
  <si>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</si>
  <si>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</si>
  <si>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</si>
  <si>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</si>
  <si>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</si>
  <si>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</si>
  <si>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</si>
  <si>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</si>
  <si>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</si>
  <si>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</si>
  <si>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</si>
  <si>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</si>
  <si>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</si>
  <si>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</si>
  <si>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</si>
  <si>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</si>
  <si>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</si>
  <si>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</si>
  <si>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</si>
  <si>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</si>
  <si>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</si>
  <si>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</si>
  <si>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</si>
  <si>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</si>
  <si>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</si>
  <si>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</si>
  <si>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</si>
  <si>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</si>
  <si>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</si>
  <si>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</si>
  <si>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</si>
  <si>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</si>
  <si>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</si>
  <si>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</si>
  <si>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</si>
  <si>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</si>
  <si>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</si>
  <si>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</si>
  <si>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</si>
  <si>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</si>
  <si>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</si>
  <si>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</si>
  <si>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</si>
  <si>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</si>
  <si>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</si>
  <si>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</si>
  <si>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</si>
  <si>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</si>
  <si>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</si>
  <si>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</si>
  <si>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</si>
  <si>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</si>
  <si>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</si>
  <si>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</si>
  <si>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</si>
  <si>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</si>
  <si>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</si>
  <si>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</si>
  <si>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</si>
  <si>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</si>
  <si>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</si>
  <si>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</si>
  <si>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</si>
  <si>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</si>
  <si>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</si>
  <si>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</si>
  <si>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</si>
  <si>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</si>
  <si>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</si>
  <si>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</si>
  <si>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</si>
  <si>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</si>
  <si>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</si>
  <si>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</si>
  <si>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</si>
  <si>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</si>
  <si>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</si>
  <si>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</si>
  <si>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</si>
  <si>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</si>
  <si>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</si>
  <si>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</si>
  <si>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</si>
  <si>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</si>
  <si>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</si>
  <si>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</si>
  <si>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</si>
  <si>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</si>
  <si>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</si>
  <si>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</si>
  <si>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</si>
  <si>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</si>
  <si>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</si>
  <si>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</si>
  <si>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</si>
  <si>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</si>
  <si>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</si>
  <si>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</si>
  <si>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</si>
  <si>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</si>
  <si>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</si>
  <si>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</si>
  <si>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</si>
  <si>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</si>
  <si>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</si>
  <si>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</si>
  <si>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</si>
  <si>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</si>
  <si>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</si>
  <si>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</si>
  <si>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</si>
  <si>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</si>
  <si>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</si>
  <si>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</si>
  <si>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</si>
  <si>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</si>
  <si>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</si>
  <si>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</si>
  <si>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</si>
  <si>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</si>
  <si>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</si>
  <si>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</si>
  <si>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</si>
  <si>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</si>
  <si>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</si>
  <si>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</si>
  <si>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</si>
  <si>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</si>
  <si>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</si>
  <si>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</si>
  <si>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</si>
  <si>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</si>
  <si>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</si>
  <si>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</si>
  <si>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</si>
  <si>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</si>
  <si>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</si>
  <si>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</si>
  <si>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</si>
  <si>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</si>
  <si>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</si>
  <si>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</si>
  <si>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</si>
  <si>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</si>
  <si>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</si>
  <si>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</si>
  <si>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</si>
  <si>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</si>
  <si>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</si>
  <si>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</si>
  <si>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</si>
  <si>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</si>
  <si>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</si>
  <si>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</si>
  <si>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</si>
  <si>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</si>
  <si>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</si>
  <si>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</si>
  <si>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</si>
  <si>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</si>
  <si>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</si>
  <si>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</si>
  <si>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</si>
  <si>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</si>
  <si>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</si>
  <si>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</si>
  <si>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</si>
  <si>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</si>
  <si>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</si>
  <si>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</si>
  <si>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</si>
  <si>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</si>
  <si>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</si>
  <si>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</si>
  <si>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</si>
  <si>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</si>
  <si>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</si>
  <si>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</si>
  <si>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</si>
  <si>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</si>
  <si>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</si>
  <si>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</si>
  <si>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</si>
  <si>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</si>
  <si>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</si>
  <si>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</si>
  <si>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</si>
  <si>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</si>
  <si>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</si>
  <si>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</si>
  <si>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</si>
  <si>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</si>
  <si>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</si>
  <si>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</si>
  <si>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</si>
  <si>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</si>
  <si>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</si>
  <si>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</si>
  <si>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</si>
  <si>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</si>
  <si>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</si>
  <si>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</si>
  <si>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</si>
  <si>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</si>
  <si>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</si>
  <si>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</si>
  <si>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</si>
  <si>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</si>
  <si>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</si>
  <si>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</si>
  <si>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</si>
  <si>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</si>
  <si>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</si>
  <si>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</si>
  <si>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</si>
  <si>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</si>
  <si>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按租金收入计税</t>
  </si>
  <si>
    <t>2021-1</t>
    <phoneticPr fontId="5" type="noConversion"/>
  </si>
  <si>
    <t>2021-2</t>
    <phoneticPr fontId="5" type="noConversion"/>
  </si>
  <si>
    <t>2021-4</t>
    <phoneticPr fontId="147"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</si>
  <si>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</si>
  <si>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</si>
  <si>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</si>
  <si>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</si>
  <si>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</si>
  <si>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</si>
  <si>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</si>
  <si>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</si>
  <si>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</si>
  <si>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</si>
  <si>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</si>
  <si>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</si>
  <si>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</si>
  <si>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</si>
  <si>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</si>
  <si>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</si>
  <si>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</si>
  <si>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</si>
  <si>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</si>
  <si>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</si>
  <si>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</si>
  <si>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</si>
  <si>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</si>
  <si>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</si>
  <si>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</si>
  <si>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</si>
  <si>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</si>
  <si>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</si>
  <si>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</si>
  <si>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</si>
  <si>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</si>
  <si>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</si>
  <si>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</si>
  <si>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</si>
  <si>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</si>
  <si>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</si>
  <si>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</si>
  <si>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</si>
  <si>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</si>
  <si>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</si>
  <si>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</si>
  <si>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</si>
  <si>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</si>
  <si>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</si>
  <si>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</si>
  <si>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</si>
  <si>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</si>
  <si>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</si>
  <si>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</si>
  <si>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</si>
  <si>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</si>
  <si>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</si>
  <si>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</si>
  <si>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</si>
  <si>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</si>
  <si>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</si>
  <si>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</si>
  <si>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</si>
  <si>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</si>
  <si>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</si>
  <si>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</si>
  <si>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</si>
  <si>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</si>
  <si>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</si>
  <si>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</si>
  <si>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</si>
  <si>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</si>
  <si>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</si>
  <si>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</si>
  <si>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</si>
  <si>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</si>
  <si>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</si>
  <si>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</si>
  <si>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</si>
  <si>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</si>
  <si>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</si>
  <si>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</si>
  <si>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</si>
  <si>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</si>
  <si>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</si>
  <si>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</si>
  <si>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</si>
  <si>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</si>
  <si>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</si>
  <si>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</si>
  <si>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</si>
  <si>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</si>
  <si>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</si>
  <si>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</si>
  <si>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</si>
  <si>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</si>
  <si>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</si>
  <si>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</si>
  <si>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</si>
  <si>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</si>
  <si>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</si>
  <si>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</si>
  <si>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</si>
  <si>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</si>
  <si>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</si>
  <si>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</si>
  <si>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</si>
  <si>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</si>
  <si>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</si>
  <si>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</si>
  <si>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</si>
  <si>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</si>
  <si>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</si>
  <si>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</si>
  <si>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</si>
  <si>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</si>
  <si>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</si>
  <si>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</si>
  <si>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</si>
  <si>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</si>
  <si>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</si>
  <si>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</si>
  <si>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</si>
  <si>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</si>
  <si>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</si>
  <si>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</si>
  <si>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</si>
  <si>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</si>
  <si>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</si>
  <si>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</si>
  <si>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</si>
  <si>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</si>
  <si>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</si>
  <si>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</si>
  <si>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</si>
  <si>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</si>
  <si>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</si>
  <si>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</si>
  <si>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</si>
  <si>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</si>
  <si>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</si>
  <si>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</si>
  <si>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</si>
  <si>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</si>
  <si>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</si>
  <si>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</si>
  <si>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</si>
  <si>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</si>
  <si>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</si>
  <si>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</si>
  <si>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</si>
  <si>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</si>
  <si>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</si>
  <si>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</si>
  <si>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</si>
  <si>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</si>
  <si>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</si>
  <si>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</si>
  <si>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</si>
  <si>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</si>
  <si>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</si>
  <si>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</si>
  <si>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</si>
  <si>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</si>
  <si>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</si>
  <si>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</si>
  <si>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</si>
  <si>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</si>
  <si>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</si>
  <si>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</si>
  <si>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7" type="noConversion"/>
  </si>
  <si>
    <t>40-50（含）</t>
  </si>
  <si>
    <t>高区</t>
    <phoneticPr fontId="27" type="noConversion"/>
  </si>
  <si>
    <t>中区</t>
    <phoneticPr fontId="27" type="noConversion"/>
  </si>
  <si>
    <t>低区</t>
    <phoneticPr fontId="27" type="noConversion"/>
  </si>
  <si>
    <t>商住楼</t>
  </si>
  <si>
    <t>商住楼</t>
    <phoneticPr fontId="27" type="noConversion"/>
  </si>
  <si>
    <t>楼层</t>
    <phoneticPr fontId="27" type="noConversion"/>
  </si>
  <si>
    <t>琥珀郡</t>
    <phoneticPr fontId="5" type="noConversion"/>
  </si>
  <si>
    <t>红石座</t>
    <phoneticPr fontId="5" type="noConversion"/>
  </si>
  <si>
    <t>30-40（含）</t>
  </si>
  <si>
    <t>七通</t>
  </si>
  <si>
    <t>高区</t>
    <phoneticPr fontId="147"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</si>
  <si>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5" type="noConversion"/>
  </si>
  <si>
    <t>南北</t>
    <phoneticPr fontId="147" type="noConversion"/>
  </si>
  <si>
    <t>南</t>
    <phoneticPr fontId="147" type="noConversion"/>
  </si>
  <si>
    <t>东南</t>
    <phoneticPr fontId="147" type="noConversion"/>
  </si>
  <si>
    <t>西南</t>
    <phoneticPr fontId="147" type="noConversion"/>
  </si>
  <si>
    <t>东西</t>
    <phoneticPr fontId="147" type="noConversion"/>
  </si>
  <si>
    <t>东</t>
    <phoneticPr fontId="147" type="noConversion"/>
  </si>
  <si>
    <t>东北</t>
    <phoneticPr fontId="147" type="noConversion"/>
  </si>
  <si>
    <t>西</t>
    <phoneticPr fontId="147" type="noConversion"/>
  </si>
  <si>
    <t>西北</t>
    <phoneticPr fontId="147" type="noConversion"/>
  </si>
  <si>
    <t>东</t>
    <phoneticPr fontId="147" type="noConversion"/>
  </si>
  <si>
    <t>朝向</t>
    <phoneticPr fontId="21" type="noConversion"/>
  </si>
  <si>
    <t>仅计算典型户型</t>
  </si>
  <si>
    <t>南</t>
    <phoneticPr fontId="147" type="noConversion"/>
  </si>
  <si>
    <t>东南</t>
    <phoneticPr fontId="147" type="noConversion"/>
  </si>
  <si>
    <t>西南</t>
    <phoneticPr fontId="147" type="noConversion"/>
  </si>
  <si>
    <t>东</t>
    <phoneticPr fontId="147" type="noConversion"/>
  </si>
  <si>
    <t>东西</t>
    <phoneticPr fontId="147" type="noConversion"/>
  </si>
  <si>
    <t>东北</t>
    <phoneticPr fontId="147" type="noConversion"/>
  </si>
  <si>
    <t>西</t>
    <phoneticPr fontId="147" type="noConversion"/>
  </si>
  <si>
    <t>西北</t>
    <phoneticPr fontId="147" type="noConversion"/>
  </si>
  <si>
    <t>北</t>
    <phoneticPr fontId="147" type="noConversion"/>
  </si>
  <si>
    <t>估价方法</t>
  </si>
  <si>
    <t>典型户型修正</t>
  </si>
  <si>
    <t>万元</t>
  </si>
  <si>
    <t>中区</t>
    <phoneticPr fontId="147" type="noConversion"/>
  </si>
  <si>
    <t>南</t>
    <phoneticPr fontId="147" type="noConversion"/>
  </si>
  <si>
    <t>毛坯</t>
    <phoneticPr fontId="147" type="noConversion"/>
  </si>
  <si>
    <t>普装</t>
    <phoneticPr fontId="147" type="noConversion"/>
  </si>
  <si>
    <t>精装</t>
    <phoneticPr fontId="147" type="noConversion"/>
  </si>
  <si>
    <t>简装</t>
    <phoneticPr fontId="147" type="noConversion"/>
  </si>
  <si>
    <t>挑高</t>
  </si>
  <si>
    <t>挑高</t>
    <phoneticPr fontId="147" type="noConversion"/>
  </si>
  <si>
    <t>标准</t>
  </si>
  <si>
    <t>标准</t>
    <phoneticPr fontId="147" type="noConversion"/>
  </si>
  <si>
    <t>五通</t>
  </si>
  <si>
    <t>五通</t>
    <phoneticPr fontId="147" type="noConversion"/>
  </si>
  <si>
    <t>琥珀郡</t>
    <phoneticPr fontId="5" type="noConversion"/>
  </si>
  <si>
    <t>东</t>
  </si>
  <si>
    <t>顶层</t>
    <phoneticPr fontId="27" type="noConversion"/>
  </si>
  <si>
    <t>顶层</t>
    <phoneticPr fontId="147" type="noConversion"/>
  </si>
  <si>
    <t>估价对象1（结果表）</t>
  </si>
  <si>
    <t>与级别开发程度一致</t>
  </si>
  <si>
    <t>不临58条商业街</t>
  </si>
  <si>
    <t>商业</t>
    <phoneticPr fontId="26" type="noConversion"/>
  </si>
  <si>
    <t>多面临街</t>
    <phoneticPr fontId="26" type="noConversion"/>
  </si>
  <si>
    <t>双面临街</t>
    <phoneticPr fontId="26" type="noConversion"/>
  </si>
  <si>
    <t>单面临街</t>
  </si>
  <si>
    <t>单面临街</t>
    <phoneticPr fontId="26" type="noConversion"/>
  </si>
  <si>
    <t>临街坊路</t>
    <phoneticPr fontId="26" type="noConversion"/>
  </si>
  <si>
    <t>好</t>
    <phoneticPr fontId="26" type="noConversion"/>
  </si>
  <si>
    <t>较好</t>
    <phoneticPr fontId="26" type="noConversion"/>
  </si>
  <si>
    <t>一般</t>
    <phoneticPr fontId="26" type="noConversion"/>
  </si>
  <si>
    <t>大</t>
    <phoneticPr fontId="26" type="noConversion"/>
  </si>
  <si>
    <t>较大</t>
  </si>
  <si>
    <t>较大</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</si>
  <si>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</si>
  <si>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</si>
  <si>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可餐饮</t>
    <phoneticPr fontId="26" type="noConversion"/>
  </si>
  <si>
    <t>不可餐饮</t>
  </si>
  <si>
    <t>不可餐饮</t>
    <phoneticPr fontId="26" type="noConversion"/>
  </si>
  <si>
    <t>超高</t>
    <phoneticPr fontId="26" type="noConversion"/>
  </si>
  <si>
    <t>标准</t>
    <phoneticPr fontId="26" type="noConversion"/>
  </si>
  <si>
    <t>住宅底商</t>
  </si>
  <si>
    <t>住宅底商</t>
    <phoneticPr fontId="26" type="noConversion"/>
  </si>
  <si>
    <t>收益法</t>
  </si>
  <si>
    <r>
      <t>1-3</t>
    </r>
    <r>
      <rPr>
        <sz val="11"/>
        <color indexed="8"/>
        <rFont val="宋体"/>
        <family val="3"/>
        <charset val="134"/>
      </rPr>
      <t>层</t>
    </r>
    <phoneticPr fontId="26" type="noConversion"/>
  </si>
  <si>
    <t>商业街商铺</t>
    <phoneticPr fontId="26" type="noConversion"/>
  </si>
  <si>
    <t>独栋商业楼</t>
    <phoneticPr fontId="26" type="noConversion"/>
  </si>
  <si>
    <t>写字楼底商</t>
    <phoneticPr fontId="26" type="noConversion"/>
  </si>
  <si>
    <t>大</t>
  </si>
  <si>
    <t>住总万科</t>
    <phoneticPr fontId="5" type="noConversion"/>
  </si>
  <si>
    <t>东亚上北</t>
    <phoneticPr fontId="5" type="noConversion"/>
  </si>
  <si>
    <t>国风美唐</t>
    <phoneticPr fontId="5" type="noConversion"/>
  </si>
  <si>
    <t>较好</t>
    <phoneticPr fontId="26" type="noConversion"/>
  </si>
  <si>
    <t>1层</t>
  </si>
  <si>
    <t>10-20（含）</t>
  </si>
  <si>
    <t>绿地启航</t>
    <phoneticPr fontId="5" type="noConversion"/>
  </si>
  <si>
    <t>绿地启航</t>
    <phoneticPr fontId="5" type="noConversion"/>
  </si>
  <si>
    <t>办公</t>
  </si>
  <si>
    <t>商务金融用地（办公类）</t>
  </si>
  <si>
    <t>办公</t>
    <phoneticPr fontId="27" type="noConversion"/>
  </si>
  <si>
    <t>标准写字楼</t>
  </si>
  <si>
    <t>标准写字楼</t>
    <phoneticPr fontId="27" type="noConversion"/>
  </si>
  <si>
    <t>普装</t>
    <phoneticPr fontId="27" type="noConversion"/>
  </si>
  <si>
    <t>较好</t>
    <phoneticPr fontId="27" type="noConversion"/>
  </si>
  <si>
    <t>较好</t>
    <phoneticPr fontId="27" type="noConversion"/>
  </si>
  <si>
    <t>简装</t>
    <phoneticPr fontId="27" type="noConversion"/>
  </si>
  <si>
    <t>毛坯</t>
    <phoneticPr fontId="27" type="noConversion"/>
  </si>
  <si>
    <t>精装</t>
  </si>
  <si>
    <t>精装</t>
    <phoneticPr fontId="27" type="noConversion"/>
  </si>
  <si>
    <t>中区</t>
    <phoneticPr fontId="27" type="noConversion"/>
  </si>
  <si>
    <t>高区</t>
    <phoneticPr fontId="27" type="noConversion"/>
  </si>
  <si>
    <t>比较法-办公</t>
  </si>
  <si>
    <r>
      <t>市调本项目成交价为1</t>
    </r>
    <r>
      <rPr>
        <sz val="11"/>
        <color theme="1"/>
        <rFont val="宋体"/>
        <family val="3"/>
        <charset val="134"/>
        <scheme val="minor"/>
      </rPr>
      <t>.8-2万/平米</t>
    </r>
    <phoneticPr fontId="147" type="noConversion"/>
  </si>
  <si>
    <t>序号</t>
    <phoneticPr fontId="147" type="noConversion"/>
  </si>
  <si>
    <t>房号</t>
    <phoneticPr fontId="147" type="noConversion"/>
  </si>
  <si>
    <t>产权方</t>
    <phoneticPr fontId="147" type="noConversion"/>
  </si>
  <si>
    <t>坐落</t>
    <phoneticPr fontId="147" type="noConversion"/>
  </si>
  <si>
    <t>证号</t>
    <phoneticPr fontId="147" type="noConversion"/>
  </si>
  <si>
    <t>面积</t>
    <phoneticPr fontId="147" type="noConversion"/>
  </si>
  <si>
    <t>土地终止日期</t>
    <phoneticPr fontId="147" type="noConversion"/>
  </si>
  <si>
    <t>楼号</t>
    <phoneticPr fontId="147" type="noConversion"/>
  </si>
  <si>
    <t>楼层</t>
    <phoneticPr fontId="147" type="noConversion"/>
  </si>
  <si>
    <t>部位及房号</t>
    <phoneticPr fontId="147" type="noConversion"/>
  </si>
  <si>
    <t>规划用途</t>
    <phoneticPr fontId="147" type="noConversion"/>
  </si>
  <si>
    <t>实物状况（其他公司报告）</t>
    <phoneticPr fontId="147" type="noConversion"/>
  </si>
  <si>
    <t>评估单价</t>
    <phoneticPr fontId="147" type="noConversion"/>
  </si>
  <si>
    <t>评估总价</t>
    <phoneticPr fontId="147" type="noConversion"/>
  </si>
  <si>
    <t>其他所</t>
    <phoneticPr fontId="147" type="noConversion"/>
  </si>
  <si>
    <t>报价</t>
    <phoneticPr fontId="147" type="noConversion"/>
  </si>
  <si>
    <t>北京引领假日国际旅行社有限公司</t>
    <phoneticPr fontId="147" type="noConversion"/>
  </si>
  <si>
    <r>
      <t>顺义区裕曦路9号院</t>
    </r>
    <r>
      <rPr>
        <sz val="11"/>
        <color theme="1"/>
        <rFont val="宋体"/>
        <family val="3"/>
        <charset val="134"/>
        <scheme val="minor"/>
      </rPr>
      <t>4号楼8层1-2801</t>
    </r>
    <phoneticPr fontId="147"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</si>
  <si>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phoneticPr fontId="147" type="noConversion"/>
  </si>
  <si>
    <t>4号楼</t>
    <phoneticPr fontId="147" type="noConversion"/>
  </si>
  <si>
    <t>8/11（-02）</t>
    <phoneticPr fontId="147" type="noConversion"/>
  </si>
  <si>
    <r>
      <t>1</t>
    </r>
    <r>
      <rPr>
        <sz val="11"/>
        <color theme="1"/>
        <rFont val="宋体"/>
        <family val="3"/>
        <charset val="134"/>
        <scheme val="minor"/>
      </rPr>
      <t>-2801</t>
    </r>
    <phoneticPr fontId="147" type="noConversion"/>
  </si>
  <si>
    <t>办公</t>
    <phoneticPr fontId="147" type="noConversion"/>
  </si>
  <si>
    <r>
      <t>顺义区裕曦路9号院4号楼8层1-280</t>
    </r>
    <r>
      <rPr>
        <sz val="11"/>
        <color theme="1"/>
        <rFont val="宋体"/>
        <family val="3"/>
        <charset val="134"/>
        <scheme val="minor"/>
      </rPr>
      <t>2</t>
    </r>
    <phoneticPr fontId="147"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</si>
  <si>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phoneticPr fontId="147" type="noConversion"/>
  </si>
  <si>
    <t>1-2802</t>
    <phoneticPr fontId="147" type="noConversion"/>
  </si>
  <si>
    <t>北京引领时代网络科技有限公司</t>
    <phoneticPr fontId="147" type="noConversion"/>
  </si>
  <si>
    <t>顺义区裕曦路9号院4号楼8层1-2803</t>
    <phoneticPr fontId="147"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</si>
  <si>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phoneticPr fontId="147" type="noConversion"/>
  </si>
  <si>
    <t>1-2803</t>
    <phoneticPr fontId="147" type="noConversion"/>
  </si>
  <si>
    <t>顺义区裕曦路9号院4号楼8层1-2805</t>
    <phoneticPr fontId="147" type="noConversion"/>
  </si>
  <si>
    <t>京（2020）顺不动产权第0016136号</t>
    <phoneticPr fontId="147" type="noConversion"/>
  </si>
  <si>
    <t>1-2805</t>
    <phoneticPr fontId="147" type="noConversion"/>
  </si>
  <si>
    <t>北京空港航旅广告传媒有限公司</t>
    <phoneticPr fontId="147" type="noConversion"/>
  </si>
  <si>
    <t>顺义区裕曦路9号院4号楼8层1-2806</t>
    <phoneticPr fontId="147" type="noConversion"/>
  </si>
  <si>
    <t>京（2020）顺不动产权第0020851号</t>
    <phoneticPr fontId="147" type="noConversion"/>
  </si>
  <si>
    <t>顺义区裕曦路9号院14号楼11层2-21111</t>
    <phoneticPr fontId="147" type="noConversion"/>
  </si>
  <si>
    <t>京（2020）顺不动产权第0019315号</t>
    <phoneticPr fontId="147" type="noConversion"/>
  </si>
  <si>
    <t>顺义区裕曦路9号院14号楼11层2-21112</t>
    <phoneticPr fontId="147" type="noConversion"/>
  </si>
  <si>
    <t>京（2020）顺不动产权第0017594号</t>
    <phoneticPr fontId="147" type="noConversion"/>
  </si>
  <si>
    <t>企业</t>
  </si>
  <si>
    <t>14号楼</t>
    <phoneticPr fontId="147" type="noConversion"/>
  </si>
  <si>
    <t>2-21111</t>
    <phoneticPr fontId="147" type="noConversion"/>
  </si>
  <si>
    <t>2-21112</t>
    <phoneticPr fontId="147" type="noConversion"/>
  </si>
  <si>
    <t>11/11（-02）</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</si>
</sst>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cellStyleXfs>
  <cellXfs count="374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36" fillId="0" borderId="46" xfId="0" applyNumberFormat="1" applyFont="1" applyFill="1" applyBorder="1" applyAlignment="1" applyProtection="1">
      <alignment horizontal="left" vertical="center" wrapText="1"/>
      <protection locked="0"/>
    </xf>
    <xf numFmtId="49" fontId="136" fillId="2" borderId="4" xfId="0" applyNumberFormat="1" applyFont="1" applyFill="1" applyBorder="1" applyAlignment="1" applyProtection="1">
      <alignment horizontal="left" vertical="center" wrapText="1"/>
      <protection locked="0"/>
    </xf>
    <xf numFmtId="49" fontId="136" fillId="2" borderId="28"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6" xfId="0"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0" fontId="136" fillId="0" borderId="24" xfId="0" applyNumberFormat="1" applyFont="1" applyFill="1" applyBorder="1" applyAlignment="1" applyProtection="1">
      <alignment horizontal="left" vertical="center" wrapText="1"/>
      <protection locked="0"/>
    </xf>
    <xf numFmtId="0" fontId="218" fillId="0" borderId="32" xfId="0" applyNumberFormat="1" applyFont="1" applyFill="1" applyBorder="1" applyAlignment="1" applyProtection="1">
      <alignment horizontal="left" vertical="center" wrapText="1"/>
      <protection locked="0"/>
    </xf>
    <xf numFmtId="0" fontId="136" fillId="2" borderId="23" xfId="0" applyNumberFormat="1" applyFont="1" applyFill="1" applyBorder="1" applyAlignment="1" applyProtection="1">
      <alignment horizontal="left" vertical="center" wrapText="1"/>
      <protection locked="0"/>
    </xf>
    <xf numFmtId="0" fontId="136" fillId="2" borderId="2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0" fontId="40" fillId="21" borderId="1" xfId="0" applyNumberFormat="1" applyFont="1" applyFill="1" applyBorder="1" applyAlignment="1" applyProtection="1">
      <alignment horizontal="left" vertical="center" wrapText="1"/>
      <protection locked="0"/>
    </xf>
    <xf numFmtId="0" fontId="71" fillId="0" borderId="47" xfId="0" applyNumberFormat="1" applyFont="1" applyFill="1" applyBorder="1" applyAlignment="1" applyProtection="1">
      <alignment horizontal="left" vertical="center" wrapText="1"/>
      <protection locked="0"/>
    </xf>
    <xf numFmtId="0" fontId="47" fillId="6" borderId="4" xfId="0" applyNumberFormat="1" applyFont="1" applyFill="1" applyBorder="1" applyAlignment="1" applyProtection="1">
      <alignment horizontal="left" vertical="center" wrapText="1"/>
      <protection locked="0"/>
    </xf>
    <xf numFmtId="0" fontId="93" fillId="2" borderId="7"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77" fontId="43" fillId="0" borderId="31" xfId="1" applyNumberFormat="1" applyFont="1" applyFill="1" applyBorder="1" applyAlignment="1" applyProtection="1">
      <alignment horizontal="left" vertical="center"/>
      <protection locked="0"/>
    </xf>
    <xf numFmtId="177" fontId="49" fillId="0" borderId="1" xfId="1" applyNumberFormat="1" applyFont="1" applyFill="1" applyBorder="1" applyAlignment="1" applyProtection="1">
      <alignment horizontal="center" vertical="center"/>
    </xf>
    <xf numFmtId="0" fontId="93" fillId="0" borderId="19" xfId="0" applyNumberFormat="1"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49" fontId="94" fillId="0" borderId="0" xfId="0" applyNumberFormat="1" applyFont="1">
      <alignment vertical="center"/>
    </xf>
    <xf numFmtId="0" fontId="94" fillId="0" borderId="0" xfId="0" applyFont="1" applyAlignment="1">
      <alignment vertical="center" wrapText="1"/>
    </xf>
    <xf numFmtId="14" fontId="0" fillId="0" borderId="0" xfId="0" applyNumberFormat="1">
      <alignment vertical="center"/>
    </xf>
    <xf numFmtId="14" fontId="94" fillId="0" borderId="0" xfId="0" applyNumberFormat="1" applyFont="1">
      <alignment vertical="center"/>
    </xf>
    <xf numFmtId="49"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72" fillId="5" borderId="1"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8" borderId="51" xfId="0" applyFont="1" applyFill="1" applyBorder="1" applyAlignment="1" applyProtection="1">
      <alignment horizontal="left" vertical="center"/>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3" fillId="5" borderId="6"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102" fillId="5" borderId="0" xfId="0" applyFont="1" applyFill="1" applyBorder="1" applyAlignment="1" applyProtection="1">
      <alignment horizontal="left"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估价对象为北京市房地产，为XX所有。根据《》[]，估价对象建筑面积为118.86平方米。根据《》[]，估价对象（分摊）出让国有建设用地使用权面积为平方米。估价对象用途为。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2022年4月12日</v>
      </c>
    </row>
    <row r="10" spans="1:2">
      <c r="A10" s="1179" t="s">
        <v>1047</v>
      </c>
      <c r="B10" s="1166" t="str">
        <f>'预评函-1'!A13</f>
        <v>本次估价的“房地产价值”是指在正常市场情况下，在价值时点2022年4月12日，估价对象规划用途为，假定未设立法定优先受偿款下的房地产市场价值。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118.86</v>
      </c>
    </row>
    <row r="19" spans="1:2">
      <c r="A19" s="1179" t="s">
        <v>1056</v>
      </c>
      <c r="B19" s="1166">
        <f ca="1">'预评函-2（1）'!D7</f>
        <v>216</v>
      </c>
    </row>
    <row r="20" spans="1:2">
      <c r="A20" s="1179" t="s">
        <v>1094</v>
      </c>
      <c r="B20" s="1166" t="str">
        <f>'预评函-2（1）'!C7</f>
        <v>总价（万元）</v>
      </c>
    </row>
    <row r="21" spans="1:2">
      <c r="A21" s="1179" t="s">
        <v>1057</v>
      </c>
      <c r="B21" s="1166">
        <f ca="1">'预评函-2（1）'!D9</f>
        <v>18173</v>
      </c>
    </row>
    <row r="22" spans="1:2">
      <c r="A22" s="1179" t="s">
        <v>1058</v>
      </c>
      <c r="B22" s="1166" t="str">
        <f ca="1">'预评函-2（1）'!D8</f>
        <v>贰佰壹拾陆万元整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216</v>
      </c>
    </row>
    <row r="30" spans="1:2">
      <c r="A30" s="1179" t="s">
        <v>1064</v>
      </c>
      <c r="B30" s="1166" t="str">
        <f ca="1">'预评函-2（1）'!D16</f>
        <v>贰佰壹拾陆万元整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134</v>
      </c>
    </row>
    <row r="38" spans="1:2">
      <c r="A38" s="1179" t="s">
        <v>1072</v>
      </c>
      <c r="B38" s="1166">
        <f ca="1">'预评函-2（2）'!E4</f>
        <v>11274</v>
      </c>
    </row>
    <row r="39" spans="1:2">
      <c r="A39" s="1179" t="s">
        <v>1073</v>
      </c>
      <c r="B39" s="1166" t="str">
        <f ca="1">'预评函-2（2）'!D5</f>
        <v>壹佰叁拾肆万元整</v>
      </c>
    </row>
    <row r="40" spans="1:2">
      <c r="A40" s="1179" t="s">
        <v>1074</v>
      </c>
      <c r="B40" s="1166">
        <f ca="1">'预评函-2（2）'!F4</f>
        <v>82</v>
      </c>
    </row>
    <row r="41" spans="1:2">
      <c r="A41" s="1179" t="s">
        <v>1075</v>
      </c>
      <c r="B41" s="1166">
        <f ca="1">'预评函-2（2）'!G4</f>
        <v>6899</v>
      </c>
    </row>
    <row r="42" spans="1:2" s="1176" customFormat="1" ht="15.75" thickBot="1">
      <c r="A42" s="1180" t="s">
        <v>1076</v>
      </c>
      <c r="B42" s="1168" t="str">
        <f ca="1">'预评函-2（2）'!F5</f>
        <v>捌拾贰万元整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18173</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44663</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3146</v>
      </c>
      <c r="C7" s="1493" t="str">
        <f>IF(B7="自然人","姓名","名称")</f>
        <v>名称</v>
      </c>
      <c r="D7" s="1406" t="s">
        <v>2662</v>
      </c>
      <c r="E7" s="824"/>
      <c r="F7" s="824"/>
      <c r="G7" s="1162"/>
    </row>
    <row r="8" spans="1:17" ht="13.5" thickTop="1">
      <c r="A8" s="3400" t="s">
        <v>1483</v>
      </c>
      <c r="B8" s="1407" t="s">
        <v>1484</v>
      </c>
      <c r="C8" s="3413">
        <f>信息!B7</f>
        <v>21111</v>
      </c>
      <c r="D8" s="3414"/>
      <c r="E8" s="2569" t="s">
        <v>1485</v>
      </c>
      <c r="F8" s="2570" t="s">
        <v>1486</v>
      </c>
      <c r="G8" s="2571" t="str">
        <f>C6</f>
        <v>XX</v>
      </c>
    </row>
    <row r="9" spans="1:17" ht="25.5">
      <c r="A9" s="3400"/>
      <c r="B9" s="259" t="s">
        <v>1487</v>
      </c>
      <c r="C9" s="1399"/>
      <c r="D9" s="1408" t="s">
        <v>2980</v>
      </c>
      <c r="E9" s="2864" t="s">
        <v>1488</v>
      </c>
      <c r="F9" s="2572"/>
      <c r="G9" s="2573"/>
    </row>
    <row r="10" spans="1:17" ht="13.5" thickBot="1">
      <c r="A10" s="3400"/>
      <c r="B10" s="259" t="s">
        <v>1489</v>
      </c>
      <c r="C10" s="3415"/>
      <c r="D10" s="3416"/>
      <c r="E10" s="2865" t="s">
        <v>1490</v>
      </c>
      <c r="F10" s="2574"/>
      <c r="G10" s="2575"/>
    </row>
    <row r="11" spans="1:17" ht="13.5" thickBot="1">
      <c r="A11" s="3400"/>
      <c r="B11" s="1410" t="s">
        <v>1491</v>
      </c>
      <c r="C11" s="3417"/>
      <c r="D11" s="3418"/>
      <c r="E11" s="810"/>
      <c r="F11" s="810"/>
      <c r="G11" s="829"/>
    </row>
    <row r="12" spans="1:17" ht="13.5" thickBot="1">
      <c r="A12" s="3404" t="s">
        <v>2770</v>
      </c>
      <c r="B12" s="2866" t="s">
        <v>1492</v>
      </c>
      <c r="C12" s="807">
        <f>信息!F7</f>
        <v>118.86</v>
      </c>
      <c r="D12" s="1411" t="s">
        <v>1493</v>
      </c>
      <c r="E12" s="1412"/>
      <c r="F12" s="1413"/>
      <c r="G12" s="829"/>
    </row>
    <row r="13" spans="1:17" ht="21" customHeight="1" thickBot="1">
      <c r="A13" s="3405"/>
      <c r="B13" s="2867" t="s">
        <v>1494</v>
      </c>
      <c r="C13" s="808"/>
      <c r="D13" s="1414" t="s">
        <v>1495</v>
      </c>
      <c r="E13" s="1415"/>
      <c r="F13" s="810"/>
      <c r="G13" s="829"/>
      <c r="I13" s="3423"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2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2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19" t="s">
        <v>1502</v>
      </c>
      <c r="C17" s="3420"/>
      <c r="D17" s="3421" t="s">
        <v>1503</v>
      </c>
      <c r="E17" s="3422"/>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32" t="s">
        <v>2769</v>
      </c>
      <c r="B24" s="3432"/>
      <c r="C24" s="3432"/>
      <c r="D24" s="3432"/>
      <c r="E24" s="3432"/>
      <c r="F24" s="3432"/>
      <c r="G24" s="343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07" t="s">
        <v>1516</v>
      </c>
      <c r="D28" s="3408"/>
      <c r="E28" s="800"/>
      <c r="F28" s="802" t="s">
        <v>1516</v>
      </c>
      <c r="G28" s="800"/>
      <c r="K28" s="2871"/>
    </row>
    <row r="29" spans="1:66">
      <c r="A29" s="803" t="s">
        <v>1517</v>
      </c>
      <c r="B29" s="797"/>
      <c r="C29" s="3409" t="s">
        <v>1518</v>
      </c>
      <c r="D29" s="3410"/>
      <c r="E29" s="797"/>
      <c r="F29" s="803" t="s">
        <v>1518</v>
      </c>
      <c r="G29" s="797"/>
      <c r="K29" s="2871"/>
    </row>
    <row r="30" spans="1:66">
      <c r="A30" s="803" t="s">
        <v>1519</v>
      </c>
      <c r="B30" s="797"/>
      <c r="C30" s="3409" t="s">
        <v>1519</v>
      </c>
      <c r="D30" s="3410"/>
      <c r="E30" s="797"/>
      <c r="F30" s="803" t="s">
        <v>1520</v>
      </c>
      <c r="G30" s="797"/>
      <c r="K30" s="2871"/>
    </row>
    <row r="31" spans="1:66">
      <c r="A31" s="803" t="s">
        <v>1521</v>
      </c>
      <c r="B31" s="797"/>
      <c r="C31" s="3429" t="s">
        <v>1522</v>
      </c>
      <c r="D31" s="810"/>
      <c r="E31" s="2595" t="str">
        <f>E32&amp;" "&amp;E33&amp;" "&amp;E34&amp;" "&amp;E35</f>
        <v xml:space="preserve">   </v>
      </c>
      <c r="F31" s="803" t="s">
        <v>1523</v>
      </c>
      <c r="G31" s="797"/>
    </row>
    <row r="32" spans="1:66">
      <c r="A32" s="803" t="s">
        <v>1524</v>
      </c>
      <c r="B32" s="797"/>
      <c r="C32" s="3430"/>
      <c r="D32" s="259" t="s">
        <v>1525</v>
      </c>
      <c r="E32" s="797"/>
      <c r="F32" s="803" t="s">
        <v>1526</v>
      </c>
      <c r="G32" s="797"/>
    </row>
    <row r="33" spans="1:7" ht="24.75" thickBot="1">
      <c r="A33" s="804" t="s">
        <v>1527</v>
      </c>
      <c r="B33" s="801"/>
      <c r="C33" s="3430"/>
      <c r="D33" s="259" t="s">
        <v>1528</v>
      </c>
      <c r="E33" s="797"/>
      <c r="F33" s="803" t="s">
        <v>1529</v>
      </c>
      <c r="G33" s="797"/>
    </row>
    <row r="34" spans="1:7">
      <c r="A34" s="802" t="s">
        <v>1530</v>
      </c>
      <c r="B34" s="800"/>
      <c r="C34" s="3430"/>
      <c r="D34" s="259" t="s">
        <v>1531</v>
      </c>
      <c r="E34" s="797"/>
      <c r="F34" s="803" t="s">
        <v>1532</v>
      </c>
      <c r="G34" s="797"/>
    </row>
    <row r="35" spans="1:7" ht="13.5" thickBot="1">
      <c r="A35" s="803" t="s">
        <v>1533</v>
      </c>
      <c r="B35" s="797"/>
      <c r="C35" s="3431"/>
      <c r="D35" s="259" t="s">
        <v>1534</v>
      </c>
      <c r="E35" s="797"/>
      <c r="F35" s="804" t="s">
        <v>1535</v>
      </c>
      <c r="G35" s="2596"/>
    </row>
    <row r="36" spans="1:7">
      <c r="A36" s="803" t="s">
        <v>1492</v>
      </c>
      <c r="B36" s="797"/>
      <c r="C36" s="3409" t="s">
        <v>1536</v>
      </c>
      <c r="D36" s="3410"/>
      <c r="E36" s="797"/>
      <c r="F36" s="2597" t="s">
        <v>1537</v>
      </c>
      <c r="G36" s="800"/>
    </row>
    <row r="37" spans="1:7" ht="13.5" thickBot="1">
      <c r="A37" s="803" t="s">
        <v>1538</v>
      </c>
      <c r="B37" s="797"/>
      <c r="C37" s="3411" t="s">
        <v>1539</v>
      </c>
      <c r="D37" s="3412"/>
      <c r="E37" s="801"/>
      <c r="F37" s="1431" t="s">
        <v>1540</v>
      </c>
      <c r="G37" s="797"/>
    </row>
    <row r="38" spans="1:7" ht="13.5" thickBot="1">
      <c r="A38" s="803" t="s">
        <v>1541</v>
      </c>
      <c r="B38" s="797"/>
      <c r="C38" s="3401" t="s">
        <v>1542</v>
      </c>
      <c r="D38" s="1411" t="s">
        <v>1526</v>
      </c>
      <c r="E38" s="800"/>
      <c r="F38" s="804" t="s">
        <v>1543</v>
      </c>
      <c r="G38" s="801"/>
    </row>
    <row r="39" spans="1:7">
      <c r="A39" s="803" t="s">
        <v>1544</v>
      </c>
      <c r="B39" s="797"/>
      <c r="C39" s="3402"/>
      <c r="D39" s="259" t="s">
        <v>1533</v>
      </c>
      <c r="E39" s="797"/>
      <c r="F39" s="802" t="s">
        <v>1545</v>
      </c>
      <c r="G39" s="800"/>
    </row>
    <row r="40" spans="1:7">
      <c r="A40" s="803" t="s">
        <v>1546</v>
      </c>
      <c r="B40" s="797"/>
      <c r="C40" s="3402" t="s">
        <v>1547</v>
      </c>
      <c r="D40" s="259" t="s">
        <v>1492</v>
      </c>
      <c r="E40" s="797"/>
      <c r="F40" s="803" t="s">
        <v>1548</v>
      </c>
      <c r="G40" s="797"/>
    </row>
    <row r="41" spans="1:7" ht="24.75" customHeight="1" thickBot="1">
      <c r="A41" s="804" t="s">
        <v>1549</v>
      </c>
      <c r="B41" s="801"/>
      <c r="C41" s="3403"/>
      <c r="D41" s="1414" t="s">
        <v>1494</v>
      </c>
      <c r="E41" s="801"/>
      <c r="F41" s="804" t="s">
        <v>1550</v>
      </c>
      <c r="G41" s="801"/>
    </row>
    <row r="42" spans="1:7">
      <c r="A42" s="805" t="s">
        <v>1551</v>
      </c>
      <c r="B42" s="2598"/>
      <c r="C42" s="3424" t="s">
        <v>1551</v>
      </c>
      <c r="D42" s="3425"/>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26" t="s">
        <v>1554</v>
      </c>
      <c r="D49" s="3427"/>
      <c r="E49" s="819"/>
      <c r="F49" s="804" t="s">
        <v>1555</v>
      </c>
      <c r="G49" s="801"/>
    </row>
    <row r="50" spans="1:66">
      <c r="A50" s="803" t="s">
        <v>1556</v>
      </c>
      <c r="B50" s="818"/>
      <c r="C50" s="3401" t="s">
        <v>1557</v>
      </c>
      <c r="D50" s="3428"/>
      <c r="E50" s="2600"/>
      <c r="F50" s="836"/>
      <c r="G50" s="837"/>
    </row>
    <row r="51" spans="1:66" ht="13.5" thickBot="1">
      <c r="A51" s="803" t="s">
        <v>1558</v>
      </c>
      <c r="B51" s="818"/>
      <c r="C51" s="3403" t="s">
        <v>1559</v>
      </c>
      <c r="D51" s="340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E647-F4C8-4F77-98DB-04812EC212F8}">
  <dimension ref="A1:P12"/>
  <sheetViews>
    <sheetView tabSelected="1" workbookViewId="0">
      <selection activeCell="D23" sqref="D23"/>
    </sheetView>
  </sheetViews>
  <sheetFormatPr defaultRowHeight="13.5"/>
  <cols>
    <col min="1" max="1" width="5.25" bestFit="1" customWidth="1"/>
    <col min="2" max="2" width="6.5" bestFit="1" customWidth="1"/>
    <col min="3" max="3" width="31.75" bestFit="1" customWidth="1"/>
    <col min="4" max="4" width="34.125" customWidth="1"/>
    <col min="5" max="5" width="33.625" bestFit="1" customWidth="1"/>
    <col min="6" max="6" width="7.5" bestFit="1" customWidth="1"/>
    <col min="7" max="7" width="13" bestFit="1" customWidth="1"/>
    <col min="8" max="8" width="6.25" bestFit="1" customWidth="1"/>
    <col min="9" max="9" width="12.5" style="3348" bestFit="1" customWidth="1"/>
    <col min="10" max="10" width="11" bestFit="1" customWidth="1"/>
    <col min="12" max="12" width="12" customWidth="1"/>
    <col min="15" max="15" width="7.125" bestFit="1" customWidth="1"/>
    <col min="16" max="16" width="5.25" bestFit="1" customWidth="1"/>
  </cols>
  <sheetData>
    <row r="1" spans="1:16" ht="27">
      <c r="A1" s="1309" t="s">
        <v>3106</v>
      </c>
      <c r="B1" s="1309" t="s">
        <v>3107</v>
      </c>
      <c r="C1" s="1309" t="s">
        <v>3108</v>
      </c>
      <c r="D1" s="1309" t="s">
        <v>3109</v>
      </c>
      <c r="E1" s="1309" t="s">
        <v>3110</v>
      </c>
      <c r="F1" s="1309" t="s">
        <v>3111</v>
      </c>
      <c r="G1" s="1309" t="s">
        <v>3112</v>
      </c>
      <c r="H1" s="1309" t="s">
        <v>3113</v>
      </c>
      <c r="I1" s="3344" t="s">
        <v>3114</v>
      </c>
      <c r="J1" s="1309" t="s">
        <v>3115</v>
      </c>
      <c r="K1" s="1309" t="s">
        <v>3116</v>
      </c>
      <c r="L1" s="3345" t="s">
        <v>3117</v>
      </c>
      <c r="M1" s="1309" t="s">
        <v>3118</v>
      </c>
      <c r="N1" s="1309" t="s">
        <v>3119</v>
      </c>
      <c r="O1" s="1309" t="s">
        <v>3120</v>
      </c>
      <c r="P1" s="1309" t="s">
        <v>3121</v>
      </c>
    </row>
    <row r="2" spans="1:16">
      <c r="A2">
        <v>1</v>
      </c>
      <c r="B2">
        <v>2801</v>
      </c>
      <c r="C2" s="1309" t="s">
        <v>3122</v>
      </c>
      <c r="D2" s="1309" t="s">
        <v>3123</v>
      </c>
      <c r="E2" s="1309" t="s">
        <v>3124</v>
      </c>
      <c r="F2">
        <v>118.95</v>
      </c>
      <c r="G2" s="3346">
        <v>59636</v>
      </c>
      <c r="H2" s="3347" t="s">
        <v>3125</v>
      </c>
      <c r="I2" s="3344" t="s">
        <v>3126</v>
      </c>
      <c r="J2" s="3347" t="s">
        <v>3127</v>
      </c>
      <c r="K2" s="3347" t="s">
        <v>3128</v>
      </c>
      <c r="L2" s="3347" t="s">
        <v>3018</v>
      </c>
      <c r="M2">
        <f ca="1">系统读取表!E14</f>
        <v>18173</v>
      </c>
      <c r="O2">
        <v>215</v>
      </c>
      <c r="P2">
        <v>1.8</v>
      </c>
    </row>
    <row r="3" spans="1:16">
      <c r="A3">
        <v>2</v>
      </c>
      <c r="B3">
        <v>2802</v>
      </c>
      <c r="C3" s="1309" t="s">
        <v>3122</v>
      </c>
      <c r="D3" s="1309" t="s">
        <v>3129</v>
      </c>
      <c r="E3" s="1309" t="s">
        <v>3130</v>
      </c>
      <c r="F3">
        <v>109.11</v>
      </c>
      <c r="G3" s="3346">
        <v>59636</v>
      </c>
      <c r="H3" s="3347" t="s">
        <v>3125</v>
      </c>
      <c r="I3" s="3344" t="s">
        <v>3126</v>
      </c>
      <c r="J3" s="3347" t="s">
        <v>3131</v>
      </c>
      <c r="K3" s="3347" t="s">
        <v>3128</v>
      </c>
      <c r="L3" s="3347" t="s">
        <v>3017</v>
      </c>
      <c r="M3">
        <f ca="1">M2</f>
        <v>18173</v>
      </c>
      <c r="O3">
        <v>197</v>
      </c>
    </row>
    <row r="4" spans="1:16">
      <c r="A4">
        <v>3</v>
      </c>
      <c r="B4">
        <v>2803</v>
      </c>
      <c r="C4" s="1309" t="s">
        <v>3132</v>
      </c>
      <c r="D4" s="1309" t="s">
        <v>3133</v>
      </c>
      <c r="E4" s="1309" t="s">
        <v>3134</v>
      </c>
      <c r="F4">
        <v>114.75</v>
      </c>
      <c r="G4" s="3346">
        <v>59636</v>
      </c>
      <c r="H4" s="3347" t="s">
        <v>3125</v>
      </c>
      <c r="I4" s="3344" t="s">
        <v>3126</v>
      </c>
      <c r="J4" s="3347" t="s">
        <v>3135</v>
      </c>
      <c r="K4" s="3347" t="s">
        <v>3128</v>
      </c>
      <c r="L4" s="3347" t="s">
        <v>3017</v>
      </c>
      <c r="M4">
        <f t="shared" ref="M4:M8" ca="1" si="0">M3</f>
        <v>18173</v>
      </c>
      <c r="O4">
        <v>207</v>
      </c>
    </row>
    <row r="5" spans="1:16">
      <c r="A5">
        <v>4</v>
      </c>
      <c r="B5">
        <v>2805</v>
      </c>
      <c r="C5" s="1309" t="s">
        <v>3122</v>
      </c>
      <c r="D5" s="1309" t="s">
        <v>3136</v>
      </c>
      <c r="E5" s="1309" t="s">
        <v>3137</v>
      </c>
      <c r="F5">
        <v>118.95</v>
      </c>
      <c r="G5" s="3346">
        <v>59636</v>
      </c>
      <c r="H5" s="3347" t="s">
        <v>3125</v>
      </c>
      <c r="I5" s="3344" t="s">
        <v>3126</v>
      </c>
      <c r="J5" s="3347" t="s">
        <v>3138</v>
      </c>
      <c r="K5" s="3347" t="s">
        <v>3128</v>
      </c>
      <c r="L5" s="3347" t="s">
        <v>3014</v>
      </c>
      <c r="M5">
        <f t="shared" ca="1" si="0"/>
        <v>18173</v>
      </c>
      <c r="O5">
        <v>215</v>
      </c>
    </row>
    <row r="6" spans="1:16">
      <c r="A6">
        <v>5</v>
      </c>
      <c r="B6">
        <v>2806</v>
      </c>
      <c r="C6" s="1309" t="s">
        <v>3139</v>
      </c>
      <c r="D6" s="1309" t="s">
        <v>3140</v>
      </c>
      <c r="E6" s="1309" t="s">
        <v>3141</v>
      </c>
      <c r="F6">
        <v>111.17</v>
      </c>
      <c r="G6" s="3346">
        <v>59636</v>
      </c>
      <c r="H6" s="3347" t="s">
        <v>3125</v>
      </c>
      <c r="I6" s="3344" t="s">
        <v>3126</v>
      </c>
      <c r="J6" s="3347" t="s">
        <v>3138</v>
      </c>
      <c r="K6" s="3347" t="s">
        <v>3128</v>
      </c>
      <c r="L6" s="3347" t="s">
        <v>3013</v>
      </c>
      <c r="M6">
        <f t="shared" ca="1" si="0"/>
        <v>18173</v>
      </c>
      <c r="O6">
        <v>201</v>
      </c>
    </row>
    <row r="7" spans="1:16">
      <c r="A7">
        <v>6</v>
      </c>
      <c r="B7">
        <v>21111</v>
      </c>
      <c r="C7" s="1309" t="s">
        <v>3122</v>
      </c>
      <c r="D7" s="1309" t="s">
        <v>3142</v>
      </c>
      <c r="E7" s="1309" t="s">
        <v>3143</v>
      </c>
      <c r="F7">
        <v>118.86</v>
      </c>
      <c r="G7" s="3346">
        <v>59636</v>
      </c>
      <c r="H7" s="3347" t="s">
        <v>3147</v>
      </c>
      <c r="I7" s="3344" t="s">
        <v>3150</v>
      </c>
      <c r="J7" s="3347" t="s">
        <v>3148</v>
      </c>
      <c r="K7" s="3347" t="s">
        <v>3128</v>
      </c>
      <c r="L7" s="1309" t="s">
        <v>3020</v>
      </c>
      <c r="M7">
        <f t="shared" ca="1" si="0"/>
        <v>18173</v>
      </c>
      <c r="N7">
        <f ca="1">系统读取表!D14</f>
        <v>216</v>
      </c>
      <c r="O7">
        <v>215</v>
      </c>
    </row>
    <row r="8" spans="1:16">
      <c r="A8">
        <v>7</v>
      </c>
      <c r="B8">
        <v>21112</v>
      </c>
      <c r="C8" s="1309" t="s">
        <v>3132</v>
      </c>
      <c r="D8" s="1309" t="s">
        <v>3144</v>
      </c>
      <c r="E8" s="1309" t="s">
        <v>3145</v>
      </c>
      <c r="F8">
        <v>109.02</v>
      </c>
      <c r="G8" s="3346">
        <v>59636</v>
      </c>
      <c r="H8" s="3347" t="s">
        <v>3147</v>
      </c>
      <c r="I8" s="3344" t="s">
        <v>3150</v>
      </c>
      <c r="J8" s="3347" t="s">
        <v>3149</v>
      </c>
      <c r="K8" s="3347" t="s">
        <v>3128</v>
      </c>
      <c r="L8" s="3347" t="s">
        <v>3032</v>
      </c>
      <c r="M8">
        <f t="shared" ca="1" si="0"/>
        <v>18173</v>
      </c>
      <c r="O8">
        <v>197</v>
      </c>
    </row>
    <row r="9" spans="1:16">
      <c r="F9">
        <f>SUM(F2:F8)</f>
        <v>800.81</v>
      </c>
      <c r="O9">
        <f>SUM(O2:O8)</f>
        <v>1447</v>
      </c>
    </row>
    <row r="12" spans="1:16">
      <c r="I12" s="3344"/>
    </row>
  </sheetData>
  <phoneticPr fontId="14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44663</v>
      </c>
      <c r="C2" s="1653"/>
      <c r="D2" s="3435"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6"/>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6"/>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118.86</v>
      </c>
      <c r="C5" s="1653"/>
      <c r="D5" s="2892" t="s">
        <v>1567</v>
      </c>
      <c r="E5" s="2610">
        <f>B5</f>
        <v>118.86</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41.02</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0.94699999999999995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3800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451668</v>
      </c>
      <c r="F18" s="2625">
        <f>ROUND(E5*E17*IF(B26=0,1,E20),0)</f>
        <v>451668</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ROUND(1-(2021-2015)/60,2)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2015</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41.02</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0.03</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7" t="s">
        <v>1645</v>
      </c>
      <c r="B1" s="3438"/>
      <c r="C1" s="3438"/>
      <c r="D1" s="3438"/>
      <c r="E1" s="3438"/>
      <c r="F1" s="3438"/>
      <c r="G1" s="343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E9" sqref="E9"/>
    </sheetView>
  </sheetViews>
  <sheetFormatPr defaultColWidth="14.625" defaultRowHeight="13.5"/>
  <cols>
    <col min="1" max="1" width="24.375" style="2551" customWidth="1"/>
    <col min="2" max="16384" width="14.625" style="2551"/>
  </cols>
  <sheetData>
    <row r="1" spans="1:9" ht="16.5">
      <c r="A1" s="2549" t="s">
        <v>1155</v>
      </c>
      <c r="B1" s="2549">
        <f>SUM(B14:B23)</f>
        <v>118.86</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44663</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216</v>
      </c>
      <c r="C5" s="2549">
        <f ca="1">ROUND(B5*10000/$B$1,0)</f>
        <v>18173</v>
      </c>
      <c r="D5" s="2549" t="e">
        <f ca="1">ROUND(B5*10000/$B$2,0)</f>
        <v>#DIV/0!</v>
      </c>
      <c r="E5" s="1602"/>
      <c r="F5" s="2550"/>
      <c r="G5" s="2550"/>
    </row>
    <row r="6" spans="1:9" ht="16.5">
      <c r="A6" s="2549" t="s">
        <v>1163</v>
      </c>
      <c r="B6" s="2549">
        <f ca="1">SUM(G14:G23)</f>
        <v>216</v>
      </c>
      <c r="C6" s="2549">
        <f t="shared" ref="C6:C8" ca="1" si="0">ROUND(B6*10000/$B$1,0)</f>
        <v>18173</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118.86</v>
      </c>
      <c r="C14" s="2884">
        <f>项目基本情况!C13</f>
        <v>0</v>
      </c>
      <c r="D14" s="2884">
        <f ca="1">IF('数据-取费表'!B3="万元",IF(A14="估价对象1（结果表）",结果表!H121,'结果表 (1修多)'!H125),IF(A14="估价对象1（结果表）",结果表!H121,'结果表 (1修多)'!H125)/10000)</f>
        <v>216</v>
      </c>
      <c r="E14" s="2884">
        <f ca="1">ROUND(D14*10000/B14,0)</f>
        <v>18173</v>
      </c>
      <c r="F14" s="2884" t="e">
        <f ca="1">ROUND(D14*10000/C14,0)</f>
        <v>#DIV/0!</v>
      </c>
      <c r="G14" s="2884">
        <f ca="1">IF('数据-取费表'!B3="万元",IF(A14="估价对象1（结果表）",结果表!D125,'结果表 (1修多)'!D129),IF(A14="估价对象1（结果表）",结果表!D125,'结果表 (1修多)'!D129)/10000)</f>
        <v>216</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460" t="s">
        <v>1825</v>
      </c>
      <c r="B2" s="3460"/>
      <c r="C2" s="3460"/>
      <c r="D2" s="3460"/>
      <c r="E2" s="3460"/>
      <c r="F2" s="3460"/>
      <c r="G2" s="3460"/>
      <c r="H2" s="3460"/>
      <c r="I2" s="3460"/>
      <c r="J2" s="2842"/>
    </row>
    <row r="3" spans="1:15" ht="12.75">
      <c r="A3" s="3461" t="s">
        <v>1653</v>
      </c>
      <c r="B3" s="3462"/>
      <c r="C3" s="3462"/>
      <c r="D3" s="3462"/>
      <c r="E3" s="3462"/>
      <c r="F3" s="3462"/>
      <c r="G3" s="3462"/>
      <c r="H3" s="3462"/>
      <c r="I3" s="3462"/>
      <c r="J3" s="2812"/>
    </row>
    <row r="4" spans="1:15" ht="14.25">
      <c r="A4" s="2680" t="s">
        <v>1654</v>
      </c>
      <c r="B4" s="2680" t="s">
        <v>1655</v>
      </c>
      <c r="C4" s="2681" t="s">
        <v>3034</v>
      </c>
      <c r="D4" s="2681" t="s">
        <v>3034</v>
      </c>
      <c r="E4" s="3455" t="s">
        <v>1826</v>
      </c>
      <c r="F4" s="3453"/>
      <c r="G4" s="3453"/>
      <c r="H4" s="3453"/>
      <c r="I4" s="3456"/>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40" t="s">
        <v>1657</v>
      </c>
      <c r="B5" s="3440">
        <v>25</v>
      </c>
      <c r="C5" s="3441"/>
      <c r="D5" s="3443"/>
      <c r="E5" s="12" t="s">
        <v>1658</v>
      </c>
      <c r="F5" s="2057"/>
      <c r="G5" s="2057"/>
      <c r="H5" s="2057"/>
      <c r="I5" s="2052"/>
      <c r="J5" s="2813"/>
    </row>
    <row r="6" spans="1:15" ht="12.75">
      <c r="A6" s="3440"/>
      <c r="B6" s="3440"/>
      <c r="C6" s="3463"/>
      <c r="D6" s="3443"/>
      <c r="E6" s="12" t="s">
        <v>1659</v>
      </c>
      <c r="F6" s="2057"/>
      <c r="G6" s="2057"/>
      <c r="H6" s="2057"/>
      <c r="I6" s="2052"/>
      <c r="J6" s="2813"/>
    </row>
    <row r="7" spans="1:15" ht="12.75">
      <c r="A7" s="3440"/>
      <c r="B7" s="3440"/>
      <c r="C7" s="3442"/>
      <c r="D7" s="3443"/>
      <c r="E7" s="12" t="s">
        <v>1660</v>
      </c>
      <c r="F7" s="2057"/>
      <c r="G7" s="2057"/>
      <c r="H7" s="2057"/>
      <c r="I7" s="2052"/>
      <c r="J7" s="2813"/>
    </row>
    <row r="8" spans="1:15" ht="12.75">
      <c r="A8" s="3440" t="s">
        <v>1661</v>
      </c>
      <c r="B8" s="3440">
        <v>15</v>
      </c>
      <c r="C8" s="3441"/>
      <c r="D8" s="3443"/>
      <c r="E8" s="12" t="s">
        <v>1662</v>
      </c>
      <c r="F8" s="2057"/>
      <c r="G8" s="2057"/>
      <c r="H8" s="2057"/>
      <c r="I8" s="2052"/>
      <c r="J8" s="2813"/>
    </row>
    <row r="9" spans="1:15" ht="12.75">
      <c r="A9" s="3440"/>
      <c r="B9" s="3440"/>
      <c r="C9" s="3442"/>
      <c r="D9" s="3443"/>
      <c r="E9" s="12" t="s">
        <v>1663</v>
      </c>
      <c r="F9" s="2057"/>
      <c r="G9" s="2057"/>
      <c r="H9" s="2057"/>
      <c r="I9" s="2052"/>
      <c r="J9" s="2813"/>
    </row>
    <row r="10" spans="1:15" ht="12.75">
      <c r="A10" s="3440" t="s">
        <v>1664</v>
      </c>
      <c r="B10" s="3440">
        <v>15</v>
      </c>
      <c r="C10" s="3441"/>
      <c r="D10" s="3443"/>
      <c r="E10" s="12" t="s">
        <v>1665</v>
      </c>
      <c r="F10" s="2057"/>
      <c r="G10" s="2057"/>
      <c r="H10" s="2057"/>
      <c r="I10" s="2052"/>
      <c r="J10" s="2813"/>
    </row>
    <row r="11" spans="1:15" ht="12.75">
      <c r="A11" s="3440"/>
      <c r="B11" s="3440"/>
      <c r="C11" s="3442"/>
      <c r="D11" s="3443"/>
      <c r="E11" s="12" t="s">
        <v>1666</v>
      </c>
      <c r="F11" s="2057"/>
      <c r="G11" s="2057"/>
      <c r="H11" s="2057"/>
      <c r="I11" s="2052"/>
      <c r="J11" s="2813"/>
    </row>
    <row r="12" spans="1:15" ht="12.75">
      <c r="A12" s="3440" t="s">
        <v>1667</v>
      </c>
      <c r="B12" s="3440">
        <v>15</v>
      </c>
      <c r="C12" s="3441"/>
      <c r="D12" s="3443"/>
      <c r="E12" s="12" t="s">
        <v>1668</v>
      </c>
      <c r="F12" s="2057"/>
      <c r="G12" s="2057"/>
      <c r="H12" s="2057"/>
      <c r="I12" s="2052"/>
      <c r="J12" s="2813"/>
    </row>
    <row r="13" spans="1:15" ht="12.75">
      <c r="A13" s="3440"/>
      <c r="B13" s="3440"/>
      <c r="C13" s="3442"/>
      <c r="D13" s="3443"/>
      <c r="E13" s="12" t="s">
        <v>1669</v>
      </c>
      <c r="F13" s="2057"/>
      <c r="G13" s="2057"/>
      <c r="H13" s="2057"/>
      <c r="I13" s="2052"/>
      <c r="J13" s="2813"/>
    </row>
    <row r="14" spans="1:15" ht="12.75">
      <c r="A14" s="3440" t="s">
        <v>1670</v>
      </c>
      <c r="B14" s="3440">
        <v>30</v>
      </c>
      <c r="C14" s="3441">
        <v>1</v>
      </c>
      <c r="D14" s="3443">
        <v>1</v>
      </c>
      <c r="E14" s="12" t="s">
        <v>1671</v>
      </c>
      <c r="F14" s="2057"/>
      <c r="G14" s="2057"/>
      <c r="H14" s="2057"/>
      <c r="I14" s="2052"/>
      <c r="J14" s="2813"/>
    </row>
    <row r="15" spans="1:15" ht="12.75">
      <c r="A15" s="3440"/>
      <c r="B15" s="3440"/>
      <c r="C15" s="3463"/>
      <c r="D15" s="3443"/>
      <c r="E15" s="12" t="s">
        <v>1672</v>
      </c>
      <c r="F15" s="2057"/>
      <c r="G15" s="2057"/>
      <c r="H15" s="2057"/>
      <c r="I15" s="2052"/>
      <c r="J15" s="2813"/>
    </row>
    <row r="16" spans="1:15" ht="12.75">
      <c r="A16" s="3440"/>
      <c r="B16" s="3440"/>
      <c r="C16" s="3442"/>
      <c r="D16" s="3443"/>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468" t="s">
        <v>2759</v>
      </c>
      <c r="F18" s="3469"/>
      <c r="G18" s="3469"/>
      <c r="H18" s="3469"/>
      <c r="I18" s="3469"/>
      <c r="J18" s="2814"/>
    </row>
    <row r="19" spans="1:36" ht="15">
      <c r="A19" s="2687" t="s">
        <v>1676</v>
      </c>
      <c r="B19" s="2688" t="s">
        <v>1677</v>
      </c>
      <c r="C19" s="2689">
        <f ca="1">SUMIF(INDIRECT("'"&amp;C4&amp;"'"&amp;"!A:A"),'结果表 (1修多)'!B19,INDIRECT("'"&amp;C4&amp;"'"&amp;"!B:B"))</f>
        <v>1882</v>
      </c>
      <c r="D19" s="2690">
        <f ca="1">SUMIF(INDIRECT("'"&amp;D4&amp;"'"&amp;"!A:A"),'结果表 (1修多)'!B19,INDIRECT("'"&amp;D4&amp;"'"&amp;"!B:B"))</f>
        <v>1882</v>
      </c>
      <c r="E19" s="2687" t="s">
        <v>1678</v>
      </c>
      <c r="F19" s="2688" t="s">
        <v>1677</v>
      </c>
      <c r="G19" s="2691">
        <f ca="1">ROUND(C19*$C$18+D19*$D$18,0)</f>
        <v>1882</v>
      </c>
      <c r="H19" s="2692" t="str">
        <f>'数据-取费表'!B3</f>
        <v>万元</v>
      </c>
      <c r="I19" s="2531"/>
      <c r="J19" s="2814"/>
    </row>
    <row r="20" spans="1:36" ht="15">
      <c r="A20" s="2693"/>
      <c r="B20" s="1662" t="s">
        <v>1679</v>
      </c>
      <c r="C20" s="1887">
        <f ca="1">SUMIF(INDIRECT("'"&amp;C4&amp;"'"&amp;"!A:A"),'结果表 (1修多)'!B20,INDIRECT("'"&amp;C4&amp;"'"&amp;"!B:B"))</f>
        <v>12783</v>
      </c>
      <c r="D20" s="1890">
        <f ca="1">SUMIF(INDIRECT("'"&amp;D4&amp;"'"&amp;"!A:A"),'结果表 (1修多)'!B20,INDIRECT("'"&amp;D4&amp;"'"&amp;"!B:B"))</f>
        <v>12783</v>
      </c>
      <c r="E20" s="2693"/>
      <c r="F20" s="1662" t="s">
        <v>1679</v>
      </c>
      <c r="G20" s="2061">
        <f ca="1">ROUND(C20*$C$18+D20*$D$18,0)</f>
        <v>12783</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64" t="s">
        <v>1682</v>
      </c>
      <c r="B24" s="2688" t="s">
        <v>1677</v>
      </c>
      <c r="C24" s="2691">
        <f>D30</f>
        <v>0</v>
      </c>
      <c r="D24" s="2643"/>
      <c r="E24" s="945"/>
      <c r="F24" s="945"/>
      <c r="G24" s="945"/>
      <c r="H24" s="945"/>
      <c r="I24" s="945"/>
      <c r="J24" s="2814"/>
    </row>
    <row r="25" spans="1:36" ht="21.75" customHeight="1">
      <c r="A25" s="346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47" t="s">
        <v>1829</v>
      </c>
      <c r="B32" s="3547"/>
      <c r="C32" s="3547"/>
      <c r="D32" s="3547"/>
      <c r="E32" s="3547"/>
      <c r="F32" s="3547"/>
      <c r="G32" s="3547"/>
      <c r="H32" s="3547"/>
      <c r="I32" s="3547"/>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18171</v>
      </c>
      <c r="D33" s="2531" t="s">
        <v>1831</v>
      </c>
      <c r="E33" s="945"/>
      <c r="F33" s="945"/>
      <c r="G33" s="945"/>
      <c r="H33" s="945"/>
      <c r="I33" s="945"/>
      <c r="J33" s="2814"/>
    </row>
    <row r="34" spans="1:16" ht="15">
      <c r="A34" s="1480" t="s">
        <v>1832</v>
      </c>
      <c r="B34" s="2745" t="s">
        <v>1833</v>
      </c>
      <c r="C34" s="2746">
        <f ca="1">典型户型修正!B2</f>
        <v>1882</v>
      </c>
      <c r="D34" s="2747" t="str">
        <f>IF('数据-取费表'!B3="万元","万元","元")</f>
        <v>万元</v>
      </c>
      <c r="E34" s="945"/>
      <c r="F34" s="945"/>
      <c r="G34" s="945"/>
      <c r="H34" s="945"/>
      <c r="I34" s="945"/>
      <c r="J34" s="2814"/>
    </row>
    <row r="35" spans="1:16" ht="15.75" thickBot="1">
      <c r="A35" s="1481"/>
      <c r="B35" s="2748" t="s">
        <v>1834</v>
      </c>
      <c r="C35" s="2697">
        <f ca="1">典型户型修正!B3</f>
        <v>12783</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464" t="s">
        <v>1838</v>
      </c>
      <c r="B38" s="1436" t="s">
        <v>1839</v>
      </c>
      <c r="C38" s="2724"/>
      <c r="D38" s="2725"/>
      <c r="E38" s="1648"/>
      <c r="F38" s="1648"/>
      <c r="G38" s="945"/>
      <c r="H38" s="945"/>
      <c r="I38" s="945"/>
      <c r="J38" s="2814"/>
    </row>
    <row r="39" spans="1:16" ht="15.75" thickBot="1">
      <c r="A39" s="3466"/>
      <c r="B39" s="2062" t="s">
        <v>1840</v>
      </c>
      <c r="C39" s="2726"/>
      <c r="D39" s="1279"/>
      <c r="E39" s="1279"/>
      <c r="F39" s="1648"/>
      <c r="G39" s="1279"/>
      <c r="H39" s="1279"/>
      <c r="I39" s="1279"/>
      <c r="J39" s="2818"/>
    </row>
    <row r="40" spans="1:16" ht="15.75" thickBot="1">
      <c r="A40" s="3467"/>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44" t="s">
        <v>1851</v>
      </c>
      <c r="B47" s="3445"/>
      <c r="C47" s="3446"/>
      <c r="D47" s="246">
        <f ca="1">ROUND(I104*F47,0)</f>
        <v>1882</v>
      </c>
      <c r="E47" s="1510" t="s">
        <v>1852</v>
      </c>
      <c r="F47" s="2529">
        <v>1</v>
      </c>
      <c r="G47" s="2530" t="s">
        <v>1853</v>
      </c>
      <c r="H47" s="945"/>
      <c r="I47" s="945"/>
      <c r="J47" s="2814"/>
      <c r="K47" s="3447" t="s">
        <v>1709</v>
      </c>
      <c r="L47" s="3447"/>
      <c r="M47" s="3447"/>
      <c r="N47" s="3447"/>
      <c r="O47" s="3447"/>
      <c r="P47" s="3447"/>
    </row>
    <row r="48" spans="1:16" ht="14.25" customHeight="1">
      <c r="A48" s="3448" t="s">
        <v>1710</v>
      </c>
      <c r="B48" s="3449"/>
      <c r="C48" s="3449"/>
      <c r="D48" s="3449"/>
      <c r="E48" s="3449"/>
      <c r="F48" s="3449"/>
      <c r="G48" s="3450"/>
      <c r="H48" s="2946"/>
      <c r="I48" s="945"/>
      <c r="J48" s="2814"/>
      <c r="K48" s="2481">
        <v>1</v>
      </c>
      <c r="L48" s="3451" t="s">
        <v>1711</v>
      </c>
      <c r="M48" s="3451"/>
      <c r="N48" s="3452"/>
      <c r="O48" s="3452"/>
      <c r="P48" s="3452"/>
    </row>
    <row r="49" spans="1:17" ht="12" customHeight="1">
      <c r="A49" s="38" t="s">
        <v>1712</v>
      </c>
      <c r="B49" s="39"/>
      <c r="C49" s="40"/>
      <c r="D49" s="1068" t="s">
        <v>1713</v>
      </c>
      <c r="E49" s="235" t="s">
        <v>1714</v>
      </c>
      <c r="F49" s="41" t="s">
        <v>1715</v>
      </c>
      <c r="G49" s="2532" t="s">
        <v>1716</v>
      </c>
      <c r="H49" s="2946"/>
      <c r="I49" s="945"/>
      <c r="J49" s="2814"/>
      <c r="K49" s="2481">
        <v>2</v>
      </c>
      <c r="L49" s="3451" t="s">
        <v>1717</v>
      </c>
      <c r="M49" s="3451"/>
      <c r="N49" s="3457">
        <f>'数据-取费表'!B2</f>
        <v>44663</v>
      </c>
      <c r="O49" s="3457"/>
      <c r="P49" s="3457"/>
    </row>
    <row r="50" spans="1:17" ht="25.5">
      <c r="A50" s="3458" t="s">
        <v>1718</v>
      </c>
      <c r="B50" s="3459"/>
      <c r="C50" s="3459"/>
      <c r="D50" s="12">
        <f ca="1">IF(H50="情况1",0,IF(H50="情况2",D54,IF(H50="情况3",D55,IF(H50="情况4",D56))))</f>
        <v>99</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451" t="s">
        <v>1721</v>
      </c>
      <c r="M50" s="3451"/>
      <c r="N50" s="3470">
        <f ca="1">I104</f>
        <v>1882</v>
      </c>
      <c r="O50" s="3470"/>
      <c r="P50" s="3470"/>
    </row>
    <row r="51" spans="1:17" ht="25.5" customHeight="1">
      <c r="A51" s="2059" t="s">
        <v>1722</v>
      </c>
      <c r="B51" s="3453" t="s">
        <v>1723</v>
      </c>
      <c r="C51" s="3453"/>
      <c r="D51" s="2536">
        <v>0</v>
      </c>
      <c r="E51" s="261" t="s">
        <v>1724</v>
      </c>
      <c r="F51" s="2537" t="s">
        <v>48</v>
      </c>
      <c r="G51" s="3471"/>
      <c r="H51" s="2538" t="s">
        <v>2683</v>
      </c>
      <c r="I51" s="2539"/>
      <c r="J51" s="2822"/>
      <c r="K51" s="2481">
        <v>4</v>
      </c>
      <c r="L51" s="3451" t="str">
        <f>IF(项目基本情况!F5="房地产抵押价值","房地产抵押价值","抵押担保权已注销时的房地产抵押价值")</f>
        <v>房地产抵押价值</v>
      </c>
      <c r="M51" s="3451"/>
      <c r="N51" s="3470">
        <f ca="1">IF(项目基本情况!F5="房地产抵押价值",I112,I114)</f>
        <v>1882</v>
      </c>
      <c r="O51" s="3470"/>
      <c r="P51" s="3470"/>
    </row>
    <row r="52" spans="1:17" ht="25.5" customHeight="1">
      <c r="A52" s="2049"/>
      <c r="B52" s="3453" t="s">
        <v>1725</v>
      </c>
      <c r="C52" s="3453"/>
      <c r="D52" s="2540"/>
      <c r="E52" s="269"/>
      <c r="F52" s="2537"/>
      <c r="G52" s="3472"/>
      <c r="H52" s="2541" t="s">
        <v>2684</v>
      </c>
      <c r="I52" s="2539"/>
      <c r="J52" s="2822"/>
      <c r="K52" s="3451" t="s">
        <v>1726</v>
      </c>
      <c r="L52" s="3451"/>
      <c r="M52" s="3451"/>
      <c r="N52" s="3451"/>
      <c r="O52" s="3451"/>
      <c r="P52" s="3451"/>
    </row>
    <row r="53" spans="1:17" ht="20.45" customHeight="1">
      <c r="A53" s="2542"/>
      <c r="B53" s="3453" t="s">
        <v>1727</v>
      </c>
      <c r="C53" s="3453"/>
      <c r="D53" s="1068"/>
      <c r="E53" s="264"/>
      <c r="F53" s="2537"/>
      <c r="G53" s="3473"/>
      <c r="H53" s="2541" t="s">
        <v>2685</v>
      </c>
      <c r="I53" s="2539"/>
      <c r="J53" s="2822"/>
      <c r="K53" s="2482" t="s">
        <v>1728</v>
      </c>
      <c r="L53" s="3451" t="s">
        <v>1729</v>
      </c>
      <c r="M53" s="3451"/>
      <c r="N53" s="2482" t="s">
        <v>1730</v>
      </c>
      <c r="O53" s="2482" t="s">
        <v>1731</v>
      </c>
      <c r="P53" s="2482" t="s">
        <v>1732</v>
      </c>
    </row>
    <row r="54" spans="1:17" ht="24" customHeight="1">
      <c r="A54" s="2050" t="s">
        <v>1733</v>
      </c>
      <c r="B54" s="3453" t="s">
        <v>1734</v>
      </c>
      <c r="C54" s="3453"/>
      <c r="D54" s="1068">
        <f ca="1">ROUND(D47*'数据-取费表'!E29/(1+'数据-取费表'!F30),0)</f>
        <v>99</v>
      </c>
      <c r="E54" s="2060" t="s">
        <v>1735</v>
      </c>
      <c r="F54" s="2543">
        <f>'数据-取费表'!E29</f>
        <v>5.5000000000000007E-2</v>
      </c>
      <c r="G54" s="2544"/>
      <c r="H54" s="945"/>
      <c r="I54" s="2947"/>
      <c r="J54" s="2822"/>
      <c r="K54" s="2481">
        <v>1</v>
      </c>
      <c r="L54" s="3454" t="s">
        <v>1736</v>
      </c>
      <c r="M54" s="3454"/>
      <c r="N54" s="2483">
        <f ca="1">D50</f>
        <v>99</v>
      </c>
      <c r="O54" s="2481" t="str">
        <f>E50</f>
        <v>销售额×税（费）率</v>
      </c>
      <c r="P54" s="2484">
        <f>F50</f>
        <v>5.5000000000000007E-2</v>
      </c>
    </row>
    <row r="55" spans="1:17" ht="12" customHeight="1">
      <c r="A55" s="2050" t="s">
        <v>1737</v>
      </c>
      <c r="B55" s="3455" t="s">
        <v>2777</v>
      </c>
      <c r="C55" s="3456"/>
      <c r="D55" s="1068">
        <f ca="1">ROUND(D47*'数据-取费表'!E29/(1+'数据-取费表'!F30),0)</f>
        <v>99</v>
      </c>
      <c r="E55" s="2060" t="s">
        <v>1735</v>
      </c>
      <c r="F55" s="2543">
        <f>'数据-取费表'!E29</f>
        <v>5.5000000000000007E-2</v>
      </c>
      <c r="G55" s="2544"/>
      <c r="H55" s="945"/>
      <c r="I55" s="2947"/>
      <c r="J55" s="2822"/>
      <c r="K55" s="2481">
        <v>2</v>
      </c>
      <c r="L55" s="3454" t="s">
        <v>1738</v>
      </c>
      <c r="M55" s="3454"/>
      <c r="N55" s="2483">
        <f t="shared" ref="N55:P56" ca="1" si="1">D57</f>
        <v>1</v>
      </c>
      <c r="O55" s="2481" t="str">
        <f t="shared" si="1"/>
        <v>销售额×税（费）率</v>
      </c>
      <c r="P55" s="2484">
        <f t="shared" si="1"/>
        <v>5.0000000000000001E-4</v>
      </c>
    </row>
    <row r="56" spans="1:17" ht="12" customHeight="1">
      <c r="A56" s="2050" t="s">
        <v>1739</v>
      </c>
      <c r="B56" s="3455" t="s">
        <v>2778</v>
      </c>
      <c r="C56" s="3456"/>
      <c r="D56" s="1068">
        <f ca="1">C70</f>
        <v>99</v>
      </c>
      <c r="E56" s="264" t="s">
        <v>1740</v>
      </c>
      <c r="F56" s="2543">
        <f>'数据-取费表'!E29</f>
        <v>5.5000000000000007E-2</v>
      </c>
      <c r="G56" s="2544"/>
      <c r="H56" s="2948"/>
      <c r="I56" s="2947"/>
      <c r="J56" s="2822"/>
      <c r="K56" s="2481">
        <v>3</v>
      </c>
      <c r="L56" s="3454" t="s">
        <v>1741</v>
      </c>
      <c r="M56" s="3454"/>
      <c r="N56" s="2483">
        <f t="shared" ca="1" si="1"/>
        <v>1067</v>
      </c>
      <c r="O56" s="2481" t="str">
        <f t="shared" si="1"/>
        <v>增值额×税（费）率</v>
      </c>
      <c r="P56" s="2485" t="str">
        <f t="shared" si="1"/>
        <v>——</v>
      </c>
    </row>
    <row r="57" spans="1:17" ht="24" customHeight="1">
      <c r="A57" s="3481" t="s">
        <v>1742</v>
      </c>
      <c r="B57" s="3459"/>
      <c r="C57" s="3459"/>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454" t="str">
        <f>IF(H61="非个人房产","——","个人所得税")</f>
        <v>个人所得税</v>
      </c>
      <c r="M57" s="3454"/>
      <c r="N57" s="2486">
        <f ca="1">D61</f>
        <v>19</v>
      </c>
      <c r="O57" s="2487" t="str">
        <f>E61</f>
        <v>销售额×税（费）率</v>
      </c>
      <c r="P57" s="2488">
        <f>F61</f>
        <v>0.01</v>
      </c>
    </row>
    <row r="58" spans="1:17" ht="24.75">
      <c r="A58" s="3481" t="s">
        <v>1745</v>
      </c>
      <c r="B58" s="3459"/>
      <c r="C58" s="3459"/>
      <c r="D58" s="12">
        <f ca="1">IF(H58="个人住宅",D59,D60)</f>
        <v>1067</v>
      </c>
      <c r="E58" s="2060" t="s">
        <v>1746</v>
      </c>
      <c r="F58" s="2543" t="str">
        <f>IF(H58="正常",F60,"免征")</f>
        <v>——</v>
      </c>
      <c r="G58" s="2545" t="s">
        <v>1747</v>
      </c>
      <c r="H58" s="2546" t="s">
        <v>1744</v>
      </c>
      <c r="I58" s="2949"/>
      <c r="J58" s="2822"/>
      <c r="K58" s="2481" t="str">
        <f>IF(项目基本情况!I6="上海银行",IF(K57="",4,K57+1),"")</f>
        <v/>
      </c>
      <c r="L58" s="3474" t="str">
        <f>IF(项目基本情况!I6="上海银行","其他处置费用","")</f>
        <v/>
      </c>
      <c r="M58" s="3482"/>
      <c r="N58" s="2483" t="str">
        <f>IF(项目基本情况!I6="上海银行",N71,"")</f>
        <v/>
      </c>
      <c r="O58" s="3474" t="str">
        <f>IF(项目基本情况!I6="上海银行","包含处置中涉及的律师、诉讼、拍卖、评估等费用","")</f>
        <v/>
      </c>
      <c r="P58" s="3475"/>
    </row>
    <row r="59" spans="1:17" ht="12.75">
      <c r="A59" s="2050" t="s">
        <v>1722</v>
      </c>
      <c r="B59" s="3455" t="s">
        <v>1748</v>
      </c>
      <c r="C59" s="3456"/>
      <c r="D59" s="2536">
        <v>0</v>
      </c>
      <c r="E59" s="261" t="s">
        <v>1724</v>
      </c>
      <c r="F59" s="235"/>
      <c r="G59" s="2544"/>
      <c r="H59" s="2949"/>
      <c r="I59" s="2949"/>
      <c r="J59" s="2822"/>
      <c r="K59" s="3454">
        <f>IF(AND(K57="",K58=""),4,IF(项目基本情况!I6="上海银行",K58+1,K57+1))</f>
        <v>5</v>
      </c>
      <c r="L59" s="3454" t="s">
        <v>1749</v>
      </c>
      <c r="M59" s="2489" t="s">
        <v>1750</v>
      </c>
      <c r="N59" s="2490"/>
      <c r="O59" s="2491">
        <f ca="1">SUMIF(N54:N58,"&lt;9e307")</f>
        <v>1186</v>
      </c>
      <c r="P59" s="2492"/>
      <c r="Q59" s="1274">
        <f ca="1">O59/N51</f>
        <v>0.6301806588735388</v>
      </c>
    </row>
    <row r="60" spans="1:17" ht="24.75">
      <c r="A60" s="2050" t="s">
        <v>1733</v>
      </c>
      <c r="B60" s="3455" t="s">
        <v>1751</v>
      </c>
      <c r="C60" s="3453"/>
      <c r="D60" s="12">
        <f ca="1">IF(H60="转让取得",C83,C99)</f>
        <v>1067</v>
      </c>
      <c r="E60" s="2060" t="s">
        <v>1746</v>
      </c>
      <c r="F60" s="235" t="s">
        <v>48</v>
      </c>
      <c r="G60" s="2544"/>
      <c r="H60" s="2546" t="s">
        <v>1752</v>
      </c>
      <c r="I60" s="2949"/>
      <c r="J60" s="2822"/>
      <c r="K60" s="3454"/>
      <c r="L60" s="3454"/>
      <c r="M60" s="2489" t="s">
        <v>1753</v>
      </c>
      <c r="N60" s="2493"/>
      <c r="O60" s="2494" t="str">
        <f ca="1">IF(H19="元",NUMBERSTRING(INT(O59),2)&amp;"元整",NUMBERSTRING(INT(O59*10000),2)&amp;"元整")</f>
        <v>壹仟壹佰捌拾陆万元整</v>
      </c>
      <c r="P60" s="2495"/>
    </row>
    <row r="61" spans="1:17" ht="26.25" thickBot="1">
      <c r="A61" s="3478" t="s">
        <v>1754</v>
      </c>
      <c r="B61" s="3479"/>
      <c r="C61" s="3479"/>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476">
        <f>K59+1</f>
        <v>6</v>
      </c>
      <c r="L61" s="3454" t="s">
        <v>1755</v>
      </c>
      <c r="M61" s="2481" t="s">
        <v>1750</v>
      </c>
      <c r="N61" s="2496"/>
      <c r="O61" s="2497">
        <f ca="1">N51-O59</f>
        <v>696</v>
      </c>
      <c r="P61" s="2498"/>
    </row>
    <row r="62" spans="1:17" ht="12" customHeight="1">
      <c r="A62" s="1425"/>
      <c r="B62" s="2531"/>
      <c r="C62" s="2531"/>
      <c r="D62" s="2531"/>
      <c r="E62" s="1425"/>
      <c r="F62" s="2949"/>
      <c r="G62" s="2949"/>
      <c r="H62" s="2944"/>
      <c r="I62" s="945"/>
      <c r="J62" s="2822"/>
      <c r="K62" s="3477"/>
      <c r="L62" s="3454"/>
      <c r="M62" s="2489" t="s">
        <v>1753</v>
      </c>
      <c r="N62" s="2493"/>
      <c r="O62" s="2494" t="str">
        <f ca="1">IF(H19="元",NUMBERSTRING(INT(O61),2)&amp;"元整",NUMBERSTRING(INT(O61*10000),2)&amp;"元整")</f>
        <v>陆佰玖拾陆万元整</v>
      </c>
      <c r="P62" s="2495"/>
    </row>
    <row r="63" spans="1:17" ht="13.5" thickBot="1">
      <c r="A63" s="3480" t="s">
        <v>1756</v>
      </c>
      <c r="B63" s="3480"/>
      <c r="C63" s="3480"/>
      <c r="D63" s="3480"/>
      <c r="E63" s="3480"/>
      <c r="F63" s="2949"/>
      <c r="G63" s="2949"/>
      <c r="H63" s="2944"/>
      <c r="I63" s="945"/>
      <c r="J63" s="2814"/>
      <c r="K63" s="2481">
        <f>K61+1</f>
        <v>7</v>
      </c>
      <c r="L63" s="3454" t="s">
        <v>1757</v>
      </c>
      <c r="M63" s="3454"/>
      <c r="N63" s="2499"/>
      <c r="O63" s="2500">
        <f ca="1">IF(H19="元",ROUND(O61/项目基本情况!C12,0),ROUND(O61*10000/项目基本情况!C12,0))</f>
        <v>58556</v>
      </c>
      <c r="P63" s="2501"/>
    </row>
    <row r="64" spans="1:17" ht="12.75">
      <c r="A64" s="3483" t="s">
        <v>1758</v>
      </c>
      <c r="B64" s="3484"/>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1792</v>
      </c>
      <c r="D65" s="47"/>
      <c r="E65" s="48"/>
      <c r="F65" s="2949"/>
      <c r="G65" s="2949"/>
      <c r="H65" s="2944"/>
      <c r="I65" s="945"/>
      <c r="J65" s="2814"/>
      <c r="K65" s="3439" t="s">
        <v>1762</v>
      </c>
      <c r="L65" s="1275" t="s">
        <v>1763</v>
      </c>
      <c r="M65" s="1275">
        <f ca="1">IF(N51&gt;10000,N51*0.5%,IF(AND(N51&gt;1000,N51&lt;=10000),N51*1%,IF(AND(N51&gt;100,N51&lt;=1000),N51*3%,IF(AND(N51&gt;10,N51&lt;=100),N51*5%,N51*8%))))</f>
        <v>18.82</v>
      </c>
      <c r="N65" s="235">
        <f ca="1">ROUND(M65,1)</f>
        <v>18.8</v>
      </c>
      <c r="O65" s="2502"/>
    </row>
    <row r="66" spans="1:36" ht="12.75">
      <c r="A66" s="49" t="s">
        <v>71</v>
      </c>
      <c r="B66" s="50" t="s">
        <v>1764</v>
      </c>
      <c r="C66" s="2754">
        <f ca="1">D47</f>
        <v>1882</v>
      </c>
      <c r="D66" s="50" t="s">
        <v>41</v>
      </c>
      <c r="E66" s="52"/>
      <c r="F66" s="2949"/>
      <c r="G66" s="2949"/>
      <c r="H66" s="2944"/>
      <c r="I66" s="945"/>
      <c r="J66" s="2814"/>
      <c r="K66" s="3439"/>
      <c r="L66" s="1275" t="s">
        <v>1765</v>
      </c>
      <c r="M66" s="1275">
        <f ca="1">IF(N51&gt;2000,N51*0.5%,IF(AND(N51&gt;1000,N51&lt;=2000),N51*0.6%,IF(AND(N51&gt;500,N51&lt;=1000),N51*0.7%,IF(AND(N51&gt;200,N51&lt;=500),N51*0.8%,IF(AND(N51&gt;100,N51&lt;=200),N51*0.9%,IF(AND(N51&gt;50,N51&lt;=100),N51*1%,IF(AND(N51&gt;20,N51&lt;=50),N51*1.5%,IF(AND(N51&gt;10,N51&lt;=20),N51*2%,IF(AND(N51&gt;1,N51&lt;=10),N51*2.5%)))))))))</f>
        <v>11.292</v>
      </c>
      <c r="N66" s="235">
        <f t="shared" ref="N66:N67" ca="1" si="2">ROUND(M66,1)</f>
        <v>11.3</v>
      </c>
      <c r="O66" s="2502" t="s">
        <v>1766</v>
      </c>
    </row>
    <row r="67" spans="1:36" ht="12.75">
      <c r="A67" s="49" t="s">
        <v>72</v>
      </c>
      <c r="B67" s="50" t="s">
        <v>1767</v>
      </c>
      <c r="C67" s="2755"/>
      <c r="D67" s="50"/>
      <c r="E67" s="52"/>
      <c r="F67" s="2949"/>
      <c r="G67" s="2949"/>
      <c r="H67" s="2944"/>
      <c r="I67" s="945"/>
      <c r="J67" s="2814"/>
      <c r="K67" s="3439"/>
      <c r="L67" s="1275" t="s">
        <v>1768</v>
      </c>
      <c r="M67" s="1275">
        <f ca="1">IF(N51&gt;1000,N51*0.1%,IF(AND(N51&gt;500,N51&lt;=1000),N51*0.5%,IF(AND(N51&gt;50,N51&lt;=500),N51*1%,IF(AND(N51&gt;1,N51&lt;=50),N51*1.5%))))</f>
        <v>1.8820000000000001</v>
      </c>
      <c r="N67" s="235">
        <f t="shared" ca="1" si="2"/>
        <v>1.9</v>
      </c>
      <c r="O67" s="2502" t="s">
        <v>1766</v>
      </c>
    </row>
    <row r="68" spans="1:36" ht="12.75">
      <c r="A68" s="53" t="s">
        <v>47</v>
      </c>
      <c r="B68" s="54" t="s">
        <v>1769</v>
      </c>
      <c r="C68" s="2756"/>
      <c r="D68" s="54" t="s">
        <v>41</v>
      </c>
      <c r="E68" s="1284" t="s">
        <v>1770</v>
      </c>
      <c r="F68" s="2949"/>
      <c r="G68" s="2949"/>
      <c r="H68" s="2944"/>
      <c r="I68" s="945"/>
      <c r="J68" s="2814"/>
      <c r="K68" s="3439"/>
      <c r="L68" s="1275" t="s">
        <v>1771</v>
      </c>
      <c r="M68" s="1275">
        <f ca="1">N51*0.5%</f>
        <v>9.41</v>
      </c>
      <c r="N68" s="235">
        <f ca="1">IF(M68&gt;0.5,0.5,ROUND(M68,0))</f>
        <v>0.5</v>
      </c>
      <c r="O68" s="2502" t="s">
        <v>1772</v>
      </c>
    </row>
    <row r="69" spans="1:36" ht="12.75">
      <c r="A69" s="53" t="s">
        <v>42</v>
      </c>
      <c r="B69" s="54" t="s">
        <v>1773</v>
      </c>
      <c r="C69" s="2757">
        <f ca="1">C65-C68</f>
        <v>1792</v>
      </c>
      <c r="D69" s="50" t="s">
        <v>41</v>
      </c>
      <c r="E69" s="52"/>
      <c r="F69" s="2949"/>
      <c r="G69" s="2949"/>
      <c r="H69" s="2944"/>
      <c r="I69" s="945"/>
      <c r="J69" s="2814"/>
      <c r="K69" s="3439"/>
      <c r="L69" s="1275" t="s">
        <v>1774</v>
      </c>
      <c r="M69" s="1275">
        <f ca="1">IF(N51&gt;=10000,(8.25+(N51-10000)*0.01%),IF(AND(N51&gt;=8000,N51&lt;10000),(7.85+(N51-8000)*0.02%),IF(AND(N51&gt;=5000,N51&lt;8000),(6.65+(N51-5000)*0.04%),IF(AND(N51&gt;=2000,N51&lt;5000),(4.25+(PN51-2000)*0.08%),IF(AND(N51&gt;=1000,N51&lt;2000),(2.75+(N51-1000)*0.15%),IF(AND(N51&gt;=100,N51&lt;1000),(0.5+(N51-100)*0.25%),IF(AND(N51&gt;0,N51&lt;100),N51*0.5%)))))))</f>
        <v>4.0730000000000004</v>
      </c>
      <c r="N69" s="235">
        <f ca="1">ROUND(M69*0.9,1)</f>
        <v>3.7</v>
      </c>
      <c r="O69" s="2502"/>
    </row>
    <row r="70" spans="1:36" ht="13.5" thickBot="1">
      <c r="A70" s="55" t="s">
        <v>46</v>
      </c>
      <c r="B70" s="56" t="s">
        <v>1775</v>
      </c>
      <c r="C70" s="2758">
        <f ca="1">IF(C69&lt;=0,0,ROUND(C69*D70,0))</f>
        <v>99</v>
      </c>
      <c r="D70" s="2210">
        <f>'数据-取费表'!E29</f>
        <v>5.5000000000000007E-2</v>
      </c>
      <c r="E70" s="57"/>
      <c r="F70" s="2949"/>
      <c r="G70" s="2949"/>
      <c r="H70" s="2944"/>
      <c r="I70" s="945"/>
      <c r="J70" s="2814"/>
      <c r="K70" s="3439"/>
      <c r="L70" s="1275" t="s">
        <v>1776</v>
      </c>
      <c r="M70" s="1275">
        <f ca="1">IF(N51&gt;10000,N51*0.5%,IF(AND(N51&gt;5000,N51&lt;=10000),N51*1%,IF(AND(N51&gt;1000,N51&lt;=5000),N51*2%,IF(AND(N51&gt;200,N51&lt;=1000),N51*3%,N51*5%))))</f>
        <v>37.64</v>
      </c>
      <c r="N70" s="235">
        <f ca="1">ROUND(M70,1)</f>
        <v>37.6</v>
      </c>
      <c r="O70" s="2502"/>
    </row>
    <row r="71" spans="1:36" s="1433" customFormat="1" ht="7.5" customHeight="1">
      <c r="A71" s="1445"/>
      <c r="B71" s="1446"/>
      <c r="C71" s="2759"/>
      <c r="D71" s="2253"/>
      <c r="E71" s="1449"/>
      <c r="F71" s="1425"/>
      <c r="G71" s="1425"/>
      <c r="H71" s="1449"/>
      <c r="I71" s="2531"/>
      <c r="J71" s="2814"/>
      <c r="K71" s="3439"/>
      <c r="L71" s="1275" t="s">
        <v>1777</v>
      </c>
      <c r="M71" s="1275"/>
      <c r="N71" s="235">
        <f ca="1">ROUND(SUM(N65:N70),0)</f>
        <v>74</v>
      </c>
      <c r="O71" s="2503">
        <f ca="1">N71/N51</f>
        <v>3.9319872476089264E-2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94" t="s">
        <v>1778</v>
      </c>
      <c r="B72" s="3495"/>
      <c r="C72" s="3495"/>
      <c r="D72" s="3495"/>
      <c r="E72" s="3495"/>
      <c r="F72" s="3495"/>
      <c r="G72" s="3495"/>
      <c r="H72" s="3495"/>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83" t="s">
        <v>1758</v>
      </c>
      <c r="B73" s="3484"/>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1792</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5" t="s">
        <v>1788</v>
      </c>
      <c r="F78" s="3453"/>
      <c r="G78" s="3453"/>
      <c r="H78" s="3496"/>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485" t="s">
        <v>1793</v>
      </c>
      <c r="F80" s="3486"/>
      <c r="G80" s="3486"/>
      <c r="H80" s="3487"/>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1783</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198.11111111111111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1067</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94" t="s">
        <v>1797</v>
      </c>
      <c r="B85" s="3495"/>
      <c r="C85" s="3495"/>
      <c r="D85" s="3495"/>
      <c r="E85" s="3495"/>
      <c r="F85" s="3495"/>
      <c r="G85" s="3495"/>
      <c r="H85" s="3495"/>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83" t="s">
        <v>1758</v>
      </c>
      <c r="B86" s="3484"/>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1792</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497" t="s">
        <v>2677</v>
      </c>
      <c r="H92" s="3498"/>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485" t="s">
        <v>1805</v>
      </c>
      <c r="F93" s="3486"/>
      <c r="G93" s="3486"/>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485" t="s">
        <v>1808</v>
      </c>
      <c r="F94" s="3486"/>
      <c r="G94" s="3486"/>
      <c r="H94" s="3487"/>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485" t="s">
        <v>1793</v>
      </c>
      <c r="F95" s="3486"/>
      <c r="G95" s="3486"/>
      <c r="H95" s="3487"/>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485" t="s">
        <v>1810</v>
      </c>
      <c r="F96" s="3486"/>
      <c r="G96" s="3486"/>
      <c r="H96" s="3487"/>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1783</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198.11111111111111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1067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488" t="s">
        <v>1812</v>
      </c>
      <c r="B101" s="3489"/>
      <c r="C101" s="3489"/>
      <c r="D101" s="3490"/>
      <c r="E101" s="1429"/>
      <c r="F101" s="3491" t="s">
        <v>2719</v>
      </c>
      <c r="G101" s="3492"/>
      <c r="H101" s="3492"/>
      <c r="I101" s="3493"/>
      <c r="J101" s="2849"/>
    </row>
    <row r="102" spans="1:36" ht="30">
      <c r="A102" s="3499" t="s">
        <v>1814</v>
      </c>
      <c r="B102" s="3500"/>
      <c r="C102" s="2772" t="str">
        <f>C4</f>
        <v>典型户型修正</v>
      </c>
      <c r="D102" s="2773" t="str">
        <f>D4</f>
        <v>典型户型修正</v>
      </c>
      <c r="E102" s="1429"/>
      <c r="F102" s="3501" t="s">
        <v>2720</v>
      </c>
      <c r="G102" s="3502"/>
      <c r="H102" s="3503" t="s">
        <v>2721</v>
      </c>
      <c r="I102" s="3504"/>
      <c r="J102" s="2829"/>
    </row>
    <row r="103" spans="1:36" ht="12.75">
      <c r="A103" s="3505" t="s">
        <v>2715</v>
      </c>
      <c r="B103" s="2275" t="str">
        <f>IF(H19="元","总价（元）","总价（万元）")</f>
        <v>总价（万元）</v>
      </c>
      <c r="C103" s="1275">
        <f ca="1">C19</f>
        <v>1882</v>
      </c>
      <c r="D103" s="2776">
        <f ca="1">D19</f>
        <v>1882</v>
      </c>
      <c r="E103" s="1429"/>
      <c r="F103" s="3506"/>
      <c r="G103" s="3507"/>
      <c r="H103" s="3508">
        <f>典型户型修正!B25</f>
        <v>1472.28</v>
      </c>
      <c r="I103" s="3504"/>
      <c r="J103" s="2829"/>
    </row>
    <row r="104" spans="1:36" ht="12.75">
      <c r="A104" s="3505"/>
      <c r="B104" s="2275" t="s">
        <v>2716</v>
      </c>
      <c r="C104" s="2777">
        <f ca="1">C20</f>
        <v>12783</v>
      </c>
      <c r="D104" s="2778">
        <f ca="1">D20</f>
        <v>12783</v>
      </c>
      <c r="E104" s="1429"/>
      <c r="F104" s="3509" t="s">
        <v>2722</v>
      </c>
      <c r="G104" s="3510"/>
      <c r="H104" s="2786" t="str">
        <f>C110</f>
        <v>总价（万元）</v>
      </c>
      <c r="I104" s="2787">
        <f ca="1">H125</f>
        <v>1882</v>
      </c>
      <c r="J104" s="2829"/>
    </row>
    <row r="105" spans="1:36" ht="12.75">
      <c r="A105" s="3505" t="s">
        <v>2717</v>
      </c>
      <c r="B105" s="2213" t="str">
        <f>B103</f>
        <v>总价（万元）</v>
      </c>
      <c r="C105" s="12">
        <f ca="1">ROUND(IF('数据-取费表'!B4="总价",G19,IF(H19="元",G20*'数据-取费表'!E5,G20*'数据-取费表'!E5/10000)),0)</f>
        <v>1882</v>
      </c>
      <c r="D105" s="2779"/>
      <c r="E105" s="1429"/>
      <c r="F105" s="3509"/>
      <c r="G105" s="3510"/>
      <c r="H105" s="2786" t="s">
        <v>2723</v>
      </c>
      <c r="I105" s="52">
        <f ca="1">I125</f>
        <v>12783</v>
      </c>
      <c r="J105" s="2813"/>
    </row>
    <row r="106" spans="1:36" ht="12.75">
      <c r="A106" s="3505"/>
      <c r="B106" s="2275" t="s">
        <v>2716</v>
      </c>
      <c r="C106" s="1449">
        <f ca="1">ROUND(IF('数据-取费表'!B4="楼面单价",G20,IF(H19="元",G19/'数据-取费表'!E5,G19*10000/'数据-取费表'!E5)),0)</f>
        <v>158338</v>
      </c>
      <c r="D106" s="2779"/>
      <c r="E106" s="1429"/>
      <c r="F106" s="3509"/>
      <c r="G106" s="3510"/>
      <c r="H106" s="3511"/>
      <c r="I106" s="3512"/>
      <c r="J106" s="2830"/>
    </row>
    <row r="107" spans="1:36" ht="12.75">
      <c r="A107" s="3545" t="s">
        <v>2718</v>
      </c>
      <c r="B107" s="2780" t="str">
        <f>B103</f>
        <v>总价（万元）</v>
      </c>
      <c r="C107" s="2781">
        <f ca="1">H125</f>
        <v>1882</v>
      </c>
      <c r="D107" s="2782"/>
      <c r="E107" s="1429"/>
      <c r="F107" s="3518" t="s">
        <v>2724</v>
      </c>
      <c r="G107" s="3519"/>
      <c r="H107" s="2788" t="str">
        <f>C112</f>
        <v>总额（万元）</v>
      </c>
      <c r="I107" s="2787">
        <f>SUMIF(I108:I110,"&lt;9E307")</f>
        <v>0</v>
      </c>
      <c r="J107" s="2829"/>
    </row>
    <row r="108" spans="1:36" ht="15" thickBot="1">
      <c r="A108" s="3546"/>
      <c r="B108" s="2783" t="s">
        <v>2716</v>
      </c>
      <c r="C108" s="2784">
        <f ca="1">I125</f>
        <v>12783</v>
      </c>
      <c r="D108" s="2785"/>
      <c r="E108" s="1429"/>
      <c r="F108" s="3516" t="s">
        <v>2725</v>
      </c>
      <c r="G108" s="3517"/>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13" t="s">
        <v>1815</v>
      </c>
      <c r="B109" s="3514"/>
      <c r="C109" s="3514"/>
      <c r="D109" s="3515"/>
      <c r="E109" s="1429"/>
      <c r="F109" s="3516" t="s">
        <v>2726</v>
      </c>
      <c r="G109" s="3517"/>
      <c r="H109" s="2788" t="str">
        <f>C114</f>
        <v>总额（万元）</v>
      </c>
      <c r="I109" s="52">
        <f>C39</f>
        <v>0</v>
      </c>
      <c r="J109" s="2813"/>
    </row>
    <row r="110" spans="1:36" ht="12.75">
      <c r="A110" s="3509" t="s">
        <v>2729</v>
      </c>
      <c r="B110" s="3510"/>
      <c r="C110" s="2786" t="str">
        <f>B103</f>
        <v>总价（万元）</v>
      </c>
      <c r="D110" s="2787">
        <f ca="1">H125</f>
        <v>1882</v>
      </c>
      <c r="E110" s="1429"/>
      <c r="F110" s="3516" t="s">
        <v>2727</v>
      </c>
      <c r="G110" s="3517"/>
      <c r="H110" s="2788" t="str">
        <f>C115</f>
        <v>总额（万元）</v>
      </c>
      <c r="I110" s="52">
        <f>C40</f>
        <v>0</v>
      </c>
      <c r="J110" s="2813"/>
    </row>
    <row r="111" spans="1:36" ht="12.75">
      <c r="A111" s="3509"/>
      <c r="B111" s="3510"/>
      <c r="C111" s="2786" t="s">
        <v>2730</v>
      </c>
      <c r="D111" s="52">
        <f ca="1">I125</f>
        <v>12783</v>
      </c>
      <c r="E111" s="1429"/>
      <c r="F111" s="3509"/>
      <c r="G111" s="3510"/>
      <c r="H111" s="3522"/>
      <c r="I111" s="3523"/>
      <c r="J111" s="2831"/>
    </row>
    <row r="112" spans="1:36" ht="28.5" customHeight="1">
      <c r="A112" s="3520" t="s">
        <v>2724</v>
      </c>
      <c r="B112" s="3521"/>
      <c r="C112" s="2788" t="str">
        <f>IF(H19="元","总额（元）","总额（万元）")</f>
        <v>总额（万元）</v>
      </c>
      <c r="D112" s="2787">
        <f>IF(D38="正常操作",I108+I109+I110,I109+I110)</f>
        <v>0</v>
      </c>
      <c r="E112" s="1429"/>
      <c r="F112" s="3524" t="str">
        <f>IF(项目基本情况!F5="已注销","——","3.房地产抵押价值")</f>
        <v>3.房地产抵押价值</v>
      </c>
      <c r="G112" s="3446"/>
      <c r="H112" s="1449" t="str">
        <f>C116</f>
        <v>总价（万元）</v>
      </c>
      <c r="I112" s="2787">
        <f ca="1">IF(F112="——","——",I104-I107)</f>
        <v>1882</v>
      </c>
      <c r="J112" s="2829"/>
    </row>
    <row r="113" spans="1:27" ht="12.75">
      <c r="A113" s="3516" t="s">
        <v>2731</v>
      </c>
      <c r="B113" s="3517"/>
      <c r="C113" s="2788" t="str">
        <f>C112</f>
        <v>总额（万元）</v>
      </c>
      <c r="D113" s="52">
        <f>IF(D38="同一抵押权人同一抵押物续贷",C38&amp;"（未扣减，详见特别提示）",C38)</f>
        <v>0</v>
      </c>
      <c r="E113" s="1429"/>
      <c r="F113" s="3525"/>
      <c r="G113" s="3526"/>
      <c r="H113" s="2786" t="s">
        <v>2723</v>
      </c>
      <c r="I113" s="2790">
        <f ca="1">D117</f>
        <v>12783</v>
      </c>
      <c r="J113" s="2832"/>
    </row>
    <row r="114" spans="1:27" ht="12.75">
      <c r="A114" s="3516" t="s">
        <v>2732</v>
      </c>
      <c r="B114" s="3517"/>
      <c r="C114" s="2788" t="str">
        <f>C112</f>
        <v>总额（万元）</v>
      </c>
      <c r="D114" s="52">
        <f>C39</f>
        <v>0</v>
      </c>
      <c r="E114" s="1429"/>
      <c r="F114" s="3524" t="str">
        <f>IF(项目基本情况!F5="已注销及未注销","4.抵押担保权已注销时的房地产抵押价值",IF(项目基本情况!F5="已注销","3.抵押担保权已注销时的房地产抵押价值","——"))</f>
        <v>——</v>
      </c>
      <c r="G114" s="3446"/>
      <c r="H114" s="1449" t="str">
        <f>C118</f>
        <v>总价（万元）</v>
      </c>
      <c r="I114" s="2787" t="str">
        <f>IF(F114="——","——",I104-I109-I110)</f>
        <v>——</v>
      </c>
      <c r="J114" s="2829"/>
    </row>
    <row r="115" spans="1:27" ht="12.75">
      <c r="A115" s="3516" t="s">
        <v>2733</v>
      </c>
      <c r="B115" s="3517"/>
      <c r="C115" s="2788" t="str">
        <f>C112</f>
        <v>总额（万元）</v>
      </c>
      <c r="D115" s="52">
        <f>C40</f>
        <v>0</v>
      </c>
      <c r="E115" s="1429"/>
      <c r="F115" s="3525"/>
      <c r="G115" s="3526"/>
      <c r="H115" s="2786" t="s">
        <v>2723</v>
      </c>
      <c r="I115" s="52" t="str">
        <f>D119</f>
        <v>——</v>
      </c>
      <c r="J115" s="2813"/>
    </row>
    <row r="116" spans="1:27" ht="12.75">
      <c r="A116" s="3509" t="str">
        <f>IF(项目基本情况!F5="已注销","——","3.房地产抵押价值")</f>
        <v>3.房地产抵押价值</v>
      </c>
      <c r="B116" s="3510"/>
      <c r="C116" s="2786" t="str">
        <f>B103</f>
        <v>总价（万元）</v>
      </c>
      <c r="D116" s="2787">
        <f ca="1">IF(A116="——","——",D110-D112)</f>
        <v>1882</v>
      </c>
      <c r="E116" s="1429"/>
      <c r="F116" s="3524" t="str">
        <f>IF(项目基本情况!G5="抵押净值",IF(OR(项目基本情况!F5="已注销",项目基本情况!F5="房地产抵押价值"),"4.抵押净值","5.抵押净值"),"——")</f>
        <v>——</v>
      </c>
      <c r="G116" s="3446"/>
      <c r="H116" s="2786" t="str">
        <f>C120</f>
        <v>总价（万元）</v>
      </c>
      <c r="I116" s="2787" t="str">
        <f>IF(F116="——","——",O61)</f>
        <v>——</v>
      </c>
      <c r="J116" s="2829"/>
    </row>
    <row r="117" spans="1:27" ht="13.5" thickBot="1">
      <c r="A117" s="3509"/>
      <c r="B117" s="3510"/>
      <c r="C117" s="2786" t="s">
        <v>2730</v>
      </c>
      <c r="D117" s="52">
        <f ca="1">ROUND(IF(D116=D110,D111,IF(H19="元",D116/B125,D116*10000/B125)),0)</f>
        <v>12783</v>
      </c>
      <c r="E117" s="1429"/>
      <c r="F117" s="3532"/>
      <c r="G117" s="3533"/>
      <c r="H117" s="2791" t="s">
        <v>2723</v>
      </c>
      <c r="I117" s="2775" t="str">
        <f ca="1">D121</f>
        <v>——</v>
      </c>
      <c r="J117" s="2813"/>
    </row>
    <row r="118" spans="1:27" ht="15.75">
      <c r="A118" s="3509" t="str">
        <f>IF(项目基本情况!F5="已注销及未注销","4.抵押担保权已注销时的房地产抵押价值",IF(项目基本情况!F5="已注销","3.抵押担保权已注销时的房地产抵押价值","——"))</f>
        <v>——</v>
      </c>
      <c r="B118" s="3510"/>
      <c r="C118" s="2786" t="str">
        <f>B103</f>
        <v>总价（万元）</v>
      </c>
      <c r="D118" s="2787" t="str">
        <f>IF(A118="——","——",D110-D114-D115)</f>
        <v>——</v>
      </c>
      <c r="E118" s="1429"/>
      <c r="F118" s="3536"/>
      <c r="G118" s="3536"/>
      <c r="H118" s="3537"/>
      <c r="I118" s="3537"/>
      <c r="J118" s="2833"/>
      <c r="O118" s="32"/>
      <c r="P118" s="32"/>
    </row>
    <row r="119" spans="1:27" s="1276" customFormat="1" ht="12.75">
      <c r="A119" s="3509"/>
      <c r="B119" s="3510"/>
      <c r="C119" s="2786" t="s">
        <v>2730</v>
      </c>
      <c r="D119" s="52" t="str">
        <f>IF(A118="——","——",IF(H19="元",ROUND(D118/B125,0),ROUND(D118*10000/B125,0)))</f>
        <v>——</v>
      </c>
      <c r="E119" s="1429"/>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9" t="str">
        <f>IF(项目基本情况!G5="抵押净值",IF(OR(项目基本情况!F5="已注销",项目基本情况!F5="房地产抵押价值"),"4.抵押净值","5.抵押净值"),"——")</f>
        <v>——</v>
      </c>
      <c r="B120" s="3510"/>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34"/>
      <c r="B121" s="3535"/>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9" t="s">
        <v>1854</v>
      </c>
      <c r="B122" s="3540"/>
      <c r="C122" s="3540"/>
      <c r="D122" s="3540"/>
      <c r="E122" s="3540"/>
      <c r="F122" s="3540"/>
      <c r="G122" s="3540"/>
      <c r="H122" s="3540"/>
      <c r="I122" s="3540"/>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81" t="s">
        <v>2734</v>
      </c>
      <c r="B123" s="3527" t="s">
        <v>2735</v>
      </c>
      <c r="C123" s="3527" t="s">
        <v>2741</v>
      </c>
      <c r="D123" s="3529" t="s">
        <v>2736</v>
      </c>
      <c r="E123" s="3530"/>
      <c r="F123" s="3459" t="s">
        <v>2742</v>
      </c>
      <c r="G123" s="3459"/>
      <c r="H123" s="3459" t="s">
        <v>2737</v>
      </c>
      <c r="I123" s="3531"/>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81"/>
      <c r="B124" s="3528"/>
      <c r="C124" s="3528"/>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1472.28</v>
      </c>
      <c r="C125" s="1424"/>
      <c r="D125" s="2060">
        <f>C36</f>
        <v>0</v>
      </c>
      <c r="E125" s="2060">
        <f>ROUND(IF(H19="元",D125/B125,D125*10000/B125),0)</f>
        <v>0</v>
      </c>
      <c r="F125" s="2060">
        <f>C37</f>
        <v>0</v>
      </c>
      <c r="G125" s="2060">
        <f>ROUND(IF(H19="元",F125/B125,F125*10000/B125),0)</f>
        <v>0</v>
      </c>
      <c r="H125" s="2060">
        <f ca="1">C34</f>
        <v>1882</v>
      </c>
      <c r="I125" s="52">
        <f ca="1">C35</f>
        <v>12783</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81" t="s">
        <v>2740</v>
      </c>
      <c r="B126" s="3459"/>
      <c r="C126" s="3459"/>
      <c r="D126" s="3555" t="str">
        <f>IF(H19="元",NUMBERSTRING(INT(D125),2)&amp;"元整",NUMBERSTRING(INT(D125*10000),2)&amp;"元整")</f>
        <v>零元整</v>
      </c>
      <c r="E126" s="3556"/>
      <c r="F126" s="3555" t="str">
        <f>IF(H19="元",NUMBERSTRING(INT(F125),2)&amp;"元整",NUMBERSTRING(INT(F125*10000),2)&amp;"元整")</f>
        <v>零元整</v>
      </c>
      <c r="G126" s="3556"/>
      <c r="H126" s="3555" t="str">
        <f ca="1">IF(H19="元",NUMBERSTRING(INT(H125),2)&amp;"元整",NUMBERSTRING(INT(H125*10000),2)&amp;"元整")</f>
        <v>壹仟捌佰捌拾贰万元整</v>
      </c>
      <c r="I126" s="3557"/>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501" t="str">
        <f>IF(项目基本情况!D5="房地产市场价值","——",MID(A112,3,LEN(A112)-2))</f>
        <v>估价师所知悉的法定优先受偿款</v>
      </c>
      <c r="B127" s="3503"/>
      <c r="C127" s="3502"/>
      <c r="D127" s="3508">
        <f>I107</f>
        <v>0</v>
      </c>
      <c r="E127" s="3503"/>
      <c r="F127" s="3503"/>
      <c r="G127" s="3503"/>
      <c r="H127" s="3503"/>
      <c r="I127" s="3504"/>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51" t="s">
        <v>2740</v>
      </c>
      <c r="B128" s="3453"/>
      <c r="C128" s="3456"/>
      <c r="D128" s="3552">
        <f>H111</f>
        <v>0</v>
      </c>
      <c r="E128" s="3553"/>
      <c r="F128" s="3553"/>
      <c r="G128" s="3553"/>
      <c r="H128" s="3553"/>
      <c r="I128" s="3554"/>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9" t="str">
        <f>IF(项目基本情况!D5="房地产市场价值","——",MID(A116,3,LEN(A116)-2))</f>
        <v>房地产抵押价值</v>
      </c>
      <c r="B129" s="3510"/>
      <c r="C129" s="3510"/>
      <c r="D129" s="3508">
        <f ca="1">I112</f>
        <v>1882</v>
      </c>
      <c r="E129" s="3503"/>
      <c r="F129" s="3503"/>
      <c r="G129" s="3503"/>
      <c r="H129" s="3503"/>
      <c r="I129" s="3504"/>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81" t="s">
        <v>2740</v>
      </c>
      <c r="B130" s="3459"/>
      <c r="C130" s="3459"/>
      <c r="D130" s="3552">
        <f ca="1">I113</f>
        <v>12783</v>
      </c>
      <c r="E130" s="3553"/>
      <c r="F130" s="3553"/>
      <c r="G130" s="3553"/>
      <c r="H130" s="3553"/>
      <c r="I130" s="3554"/>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9" t="str">
        <f>IF(项目基本情况!D5="房地产市场价值","——",MID(A118,3,LEN(A118)-2))</f>
        <v/>
      </c>
      <c r="B131" s="3510"/>
      <c r="C131" s="3510"/>
      <c r="D131" s="3444" t="str">
        <f>I114</f>
        <v>——</v>
      </c>
      <c r="E131" s="3445"/>
      <c r="F131" s="3445"/>
      <c r="G131" s="3445"/>
      <c r="H131" s="3445"/>
      <c r="I131" s="3548"/>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81" t="s">
        <v>2740</v>
      </c>
      <c r="B132" s="3459"/>
      <c r="C132" s="3455"/>
      <c r="D132" s="3549" t="str">
        <f>I115</f>
        <v>——</v>
      </c>
      <c r="E132" s="3549"/>
      <c r="F132" s="3549"/>
      <c r="G132" s="3549"/>
      <c r="H132" s="3549"/>
      <c r="I132" s="3549"/>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9" t="str">
        <f>IF(项目基本情况!D5="房地产市场价值","——",MID(F116,3,LEN(F116)-2))</f>
        <v/>
      </c>
      <c r="B133" s="3510"/>
      <c r="C133" s="3508"/>
      <c r="D133" s="3550" t="str">
        <f>I116</f>
        <v>——</v>
      </c>
      <c r="E133" s="3550"/>
      <c r="F133" s="3550"/>
      <c r="G133" s="3550"/>
      <c r="H133" s="3550"/>
      <c r="I133" s="3550"/>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8" t="s">
        <v>2740</v>
      </c>
      <c r="B134" s="3479"/>
      <c r="C134" s="3479"/>
      <c r="D134" s="3541">
        <f>H118</f>
        <v>0</v>
      </c>
      <c r="E134" s="3542"/>
      <c r="F134" s="3542"/>
      <c r="G134" s="3542"/>
      <c r="H134" s="3542"/>
      <c r="I134" s="3543"/>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44" t="str">
        <f>IF(B33="总价","（以上估价结果中楼面单价为总价除以建筑面积得出）","（以上估价结果中总价为楼面单价乘以建筑面积得出）")</f>
        <v>（以上估价结果中总价为楼面单价乘以建筑面积得出）</v>
      </c>
      <c r="B136" s="3544"/>
      <c r="C136" s="3544"/>
      <c r="D136" s="3544"/>
      <c r="E136" s="3544"/>
      <c r="F136" s="3544"/>
      <c r="G136" s="3544"/>
      <c r="H136" s="3544"/>
      <c r="I136" s="3544"/>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2" zoomScaleNormal="100" zoomScaleSheetLayoutView="100" zoomScalePageLayoutView="80" workbookViewId="0">
      <selection activeCell="F24" sqref="F24"/>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75" t="str">
        <f>项目基本情况!B1</f>
        <v>北京市房地产抵押价值预评估</v>
      </c>
      <c r="B2" s="3575"/>
      <c r="C2" s="3575"/>
      <c r="D2" s="3575"/>
      <c r="E2" s="3575"/>
      <c r="F2" s="3575"/>
      <c r="G2" s="3575"/>
      <c r="H2" s="3575"/>
      <c r="I2" s="3575"/>
      <c r="J2" s="2811"/>
    </row>
    <row r="3" spans="1:15" ht="12.75">
      <c r="A3" s="3461" t="s">
        <v>1653</v>
      </c>
      <c r="B3" s="3462"/>
      <c r="C3" s="3462"/>
      <c r="D3" s="3462"/>
      <c r="E3" s="3462"/>
      <c r="F3" s="3462"/>
      <c r="G3" s="3462"/>
      <c r="H3" s="3462"/>
      <c r="I3" s="3462"/>
      <c r="J3" s="2812"/>
    </row>
    <row r="4" spans="1:15" ht="14.25">
      <c r="A4" s="2680" t="s">
        <v>1654</v>
      </c>
      <c r="B4" s="2680" t="s">
        <v>1655</v>
      </c>
      <c r="C4" s="2681" t="s">
        <v>3104</v>
      </c>
      <c r="D4" s="2681" t="s">
        <v>3076</v>
      </c>
      <c r="E4" s="3455" t="s">
        <v>1656</v>
      </c>
      <c r="F4" s="3453"/>
      <c r="G4" s="3453"/>
      <c r="H4" s="3453"/>
      <c r="I4" s="3456"/>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40" t="s">
        <v>1657</v>
      </c>
      <c r="B5" s="3440">
        <v>25</v>
      </c>
      <c r="C5" s="3441"/>
      <c r="D5" s="3443"/>
      <c r="E5" s="12" t="s">
        <v>1658</v>
      </c>
      <c r="F5" s="2057"/>
      <c r="G5" s="2057"/>
      <c r="H5" s="2057"/>
      <c r="I5" s="2052"/>
      <c r="J5" s="2813"/>
    </row>
    <row r="6" spans="1:15" ht="12.75">
      <c r="A6" s="3440"/>
      <c r="B6" s="3440"/>
      <c r="C6" s="3463"/>
      <c r="D6" s="3443"/>
      <c r="E6" s="12" t="s">
        <v>1659</v>
      </c>
      <c r="F6" s="2057"/>
      <c r="G6" s="2057"/>
      <c r="H6" s="2057"/>
      <c r="I6" s="2052"/>
      <c r="J6" s="2813"/>
    </row>
    <row r="7" spans="1:15" ht="12.75">
      <c r="A7" s="3440"/>
      <c r="B7" s="3440"/>
      <c r="C7" s="3442"/>
      <c r="D7" s="3443"/>
      <c r="E7" s="12" t="s">
        <v>1660</v>
      </c>
      <c r="F7" s="2057"/>
      <c r="G7" s="2057"/>
      <c r="H7" s="2057"/>
      <c r="I7" s="2052"/>
      <c r="J7" s="2813"/>
    </row>
    <row r="8" spans="1:15" ht="12.75">
      <c r="A8" s="3440" t="s">
        <v>1661</v>
      </c>
      <c r="B8" s="3440">
        <v>15</v>
      </c>
      <c r="C8" s="3441"/>
      <c r="D8" s="3443"/>
      <c r="E8" s="12" t="s">
        <v>1662</v>
      </c>
      <c r="F8" s="2057"/>
      <c r="G8" s="2057"/>
      <c r="H8" s="2057"/>
      <c r="I8" s="2052"/>
      <c r="J8" s="2813"/>
    </row>
    <row r="9" spans="1:15" ht="12.75">
      <c r="A9" s="3440"/>
      <c r="B9" s="3440"/>
      <c r="C9" s="3442"/>
      <c r="D9" s="3443"/>
      <c r="E9" s="12" t="s">
        <v>1663</v>
      </c>
      <c r="F9" s="2057"/>
      <c r="G9" s="2057"/>
      <c r="H9" s="2057"/>
      <c r="I9" s="2052"/>
      <c r="J9" s="2813"/>
    </row>
    <row r="10" spans="1:15" ht="12.75">
      <c r="A10" s="3440" t="s">
        <v>1664</v>
      </c>
      <c r="B10" s="3440">
        <v>15</v>
      </c>
      <c r="C10" s="3441"/>
      <c r="D10" s="3443"/>
      <c r="E10" s="12" t="s">
        <v>1665</v>
      </c>
      <c r="F10" s="2057"/>
      <c r="G10" s="2057"/>
      <c r="H10" s="2057"/>
      <c r="I10" s="2052"/>
      <c r="J10" s="2813"/>
    </row>
    <row r="11" spans="1:15" ht="12.75">
      <c r="A11" s="3440"/>
      <c r="B11" s="3440"/>
      <c r="C11" s="3442"/>
      <c r="D11" s="3443"/>
      <c r="E11" s="12" t="s">
        <v>1666</v>
      </c>
      <c r="F11" s="2057"/>
      <c r="G11" s="2057"/>
      <c r="H11" s="2057"/>
      <c r="I11" s="2052"/>
      <c r="J11" s="2813"/>
    </row>
    <row r="12" spans="1:15" ht="12.75">
      <c r="A12" s="3440" t="s">
        <v>1667</v>
      </c>
      <c r="B12" s="3440">
        <v>15</v>
      </c>
      <c r="C12" s="3441"/>
      <c r="D12" s="3443"/>
      <c r="E12" s="12" t="s">
        <v>1668</v>
      </c>
      <c r="F12" s="2057"/>
      <c r="G12" s="2057"/>
      <c r="H12" s="2057"/>
      <c r="I12" s="2052"/>
      <c r="J12" s="2813"/>
    </row>
    <row r="13" spans="1:15" ht="12.75">
      <c r="A13" s="3440"/>
      <c r="B13" s="3440"/>
      <c r="C13" s="3442"/>
      <c r="D13" s="3443"/>
      <c r="E13" s="12" t="s">
        <v>1669</v>
      </c>
      <c r="F13" s="2057"/>
      <c r="G13" s="2057"/>
      <c r="H13" s="2057"/>
      <c r="I13" s="2052"/>
      <c r="J13" s="2813"/>
    </row>
    <row r="14" spans="1:15" ht="12.75">
      <c r="A14" s="3440" t="s">
        <v>1670</v>
      </c>
      <c r="B14" s="3440">
        <v>30</v>
      </c>
      <c r="C14" s="3441">
        <v>7</v>
      </c>
      <c r="D14" s="3443">
        <f>10-C14</f>
        <v>3</v>
      </c>
      <c r="E14" s="12" t="s">
        <v>1671</v>
      </c>
      <c r="F14" s="2057"/>
      <c r="G14" s="2057"/>
      <c r="H14" s="2057"/>
      <c r="I14" s="2052"/>
      <c r="J14" s="2813"/>
    </row>
    <row r="15" spans="1:15" ht="12.75">
      <c r="A15" s="3440"/>
      <c r="B15" s="3440"/>
      <c r="C15" s="3463"/>
      <c r="D15" s="3443"/>
      <c r="E15" s="12" t="s">
        <v>1672</v>
      </c>
      <c r="F15" s="2057"/>
      <c r="G15" s="2057"/>
      <c r="H15" s="2057"/>
      <c r="I15" s="2052"/>
      <c r="J15" s="2813"/>
    </row>
    <row r="16" spans="1:15" ht="12.75">
      <c r="A16" s="3440"/>
      <c r="B16" s="3440"/>
      <c r="C16" s="3442"/>
      <c r="D16" s="3443"/>
      <c r="E16" s="12" t="s">
        <v>1673</v>
      </c>
      <c r="F16" s="2057"/>
      <c r="G16" s="2057"/>
      <c r="H16" s="2057"/>
      <c r="I16" s="2052"/>
      <c r="J16" s="2813"/>
    </row>
    <row r="17" spans="1:36" ht="15">
      <c r="A17" s="2682" t="s">
        <v>1674</v>
      </c>
      <c r="B17" s="2062"/>
      <c r="C17" s="2683">
        <f>SUM(C5:C16)</f>
        <v>7</v>
      </c>
      <c r="D17" s="2683">
        <f>SUM(D5:D16)</f>
        <v>3</v>
      </c>
      <c r="E17" s="2531"/>
      <c r="F17" s="2531"/>
      <c r="G17" s="2531"/>
      <c r="H17" s="2531"/>
      <c r="I17" s="2531"/>
      <c r="J17" s="2814"/>
    </row>
    <row r="18" spans="1:36" ht="30" customHeight="1" thickBot="1">
      <c r="A18" s="2684" t="s">
        <v>1675</v>
      </c>
      <c r="B18" s="2685"/>
      <c r="C18" s="2686">
        <f>ROUND(C17/SUM(C17:D17),2)</f>
        <v>0.7</v>
      </c>
      <c r="D18" s="2686">
        <f>1-C18</f>
        <v>0.30000000000000004</v>
      </c>
      <c r="E18" s="3468" t="s">
        <v>2759</v>
      </c>
      <c r="F18" s="3469"/>
      <c r="G18" s="3469"/>
      <c r="H18" s="3469"/>
      <c r="I18" s="3469"/>
      <c r="J18" s="2814"/>
      <c r="K18" s="658">
        <f>1700/B121</f>
        <v>14.302540804307588</v>
      </c>
    </row>
    <row r="19" spans="1:36" ht="15">
      <c r="A19" s="2687" t="s">
        <v>1676</v>
      </c>
      <c r="B19" s="2688" t="s">
        <v>1677</v>
      </c>
      <c r="C19" s="2689">
        <f ca="1">SUMIF(INDIRECT("'"&amp;C4&amp;"'"&amp;"!A:A"),结果表!B19,INDIRECT("'"&amp;C4&amp;"'"&amp;"!B:B"))</f>
        <v>236</v>
      </c>
      <c r="D19" s="2690">
        <f ca="1">SUMIF(INDIRECT("'"&amp;D4&amp;"'"&amp;"!A:A"),结果表!B19,INDIRECT("'"&amp;D4&amp;"'"&amp;"!B:B"))</f>
        <v>169</v>
      </c>
      <c r="E19" s="2687" t="s">
        <v>1678</v>
      </c>
      <c r="F19" s="2688" t="s">
        <v>1677</v>
      </c>
      <c r="G19" s="2691">
        <f ca="1">ROUND(C19*$C$18+D19*$D$18,0)</f>
        <v>216</v>
      </c>
      <c r="H19" s="2692" t="str">
        <f>'数据-取费表'!B3</f>
        <v>万元</v>
      </c>
      <c r="I19" s="2740"/>
      <c r="J19" s="2815"/>
    </row>
    <row r="20" spans="1:36" ht="15">
      <c r="A20" s="2693"/>
      <c r="B20" s="1662" t="s">
        <v>1679</v>
      </c>
      <c r="C20" s="1887">
        <f ca="1">SUMIF(INDIRECT("'"&amp;C4&amp;"'"&amp;"!A:A"),结果表!B20,INDIRECT("'"&amp;C4&amp;"'"&amp;"!B:B"))</f>
        <v>19861</v>
      </c>
      <c r="D20" s="1890">
        <f ca="1">SUMIF(INDIRECT("'"&amp;D4&amp;"'"&amp;"!A:A"),结果表!B20,INDIRECT("'"&amp;D4&amp;"'"&amp;"!B:B"))</f>
        <v>14226</v>
      </c>
      <c r="E20" s="2693"/>
      <c r="F20" s="1662" t="s">
        <v>1679</v>
      </c>
      <c r="G20" s="2061">
        <f ca="1">ROUND(C20*$C$18+D20*$D$18,0)</f>
        <v>18171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0.39644970414201186</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64" t="s">
        <v>1682</v>
      </c>
      <c r="B24" s="2688" t="s">
        <v>1677</v>
      </c>
      <c r="C24" s="2691">
        <f>D30</f>
        <v>0</v>
      </c>
      <c r="D24" s="2643"/>
      <c r="E24" s="945"/>
      <c r="F24" s="945"/>
      <c r="G24" s="945"/>
      <c r="H24" s="945"/>
      <c r="I24" s="945"/>
      <c r="J24" s="2814"/>
    </row>
    <row r="25" spans="1:36" ht="21.75" customHeight="1">
      <c r="A25" s="346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216</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134</v>
      </c>
      <c r="D34" s="2717">
        <f ca="1">IF(D33="自定义",ROUND(C34/C32,3),1-D35)</f>
        <v>0.61899999999999999</v>
      </c>
      <c r="E34" s="1403" t="s">
        <v>1692</v>
      </c>
      <c r="F34" s="2718">
        <v>2000</v>
      </c>
      <c r="G34" s="945"/>
      <c r="H34" s="945"/>
      <c r="I34" s="945"/>
      <c r="J34" s="2814"/>
    </row>
    <row r="35" spans="1:17" ht="15.75" thickBot="1">
      <c r="A35" s="1435"/>
      <c r="B35" s="2719" t="s">
        <v>1693</v>
      </c>
      <c r="C35" s="2720">
        <f ca="1">IF(D33="自定义",F35,ROUND(C32*D35,0))</f>
        <v>82</v>
      </c>
      <c r="D35" s="2721">
        <f ca="1">IF(D33="自定义",ROUND(C35/C32,3),IF(D33="成本法成本比率",成本法!C56,IF(D33="收益法收益比率",收益法!J38,收益法!J41)))</f>
        <v>0.38100000000000001</v>
      </c>
      <c r="E35" s="2722" t="s">
        <v>1694</v>
      </c>
      <c r="F35" s="2723">
        <v>4460</v>
      </c>
      <c r="G35" s="945"/>
      <c r="H35" s="945"/>
      <c r="I35" s="945"/>
      <c r="J35" s="2814"/>
    </row>
    <row r="36" spans="1:17" ht="15.75" thickBot="1">
      <c r="A36" s="3464" t="s">
        <v>1695</v>
      </c>
      <c r="B36" s="1436" t="s">
        <v>1696</v>
      </c>
      <c r="C36" s="2724">
        <v>0</v>
      </c>
      <c r="D36" s="2725"/>
      <c r="E36" s="1648"/>
      <c r="F36" s="1648"/>
      <c r="G36" s="945"/>
      <c r="H36" s="945"/>
      <c r="I36" s="945"/>
      <c r="J36" s="2814"/>
    </row>
    <row r="37" spans="1:17" ht="15.75" thickBot="1">
      <c r="A37" s="3466"/>
      <c r="B37" s="2062" t="s">
        <v>1697</v>
      </c>
      <c r="C37" s="2726">
        <v>0</v>
      </c>
      <c r="D37" s="1279"/>
      <c r="E37" s="1279"/>
      <c r="F37" s="1648"/>
      <c r="G37" s="1279"/>
      <c r="H37" s="1279"/>
      <c r="I37" s="1279"/>
      <c r="J37" s="2818"/>
    </row>
    <row r="38" spans="1:17" ht="15.75" thickBot="1">
      <c r="A38" s="3467"/>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44" t="s">
        <v>1706</v>
      </c>
      <c r="B45" s="3445"/>
      <c r="C45" s="3446"/>
      <c r="D45" s="246">
        <f ca="1">ROUND(I102*F45,0)</f>
        <v>216</v>
      </c>
      <c r="E45" s="1510" t="s">
        <v>1707</v>
      </c>
      <c r="F45" s="2529">
        <v>1</v>
      </c>
      <c r="G45" s="2530" t="s">
        <v>1708</v>
      </c>
      <c r="H45" s="945"/>
      <c r="I45" s="945"/>
      <c r="J45" s="2814"/>
      <c r="K45" s="3561" t="s">
        <v>2688</v>
      </c>
      <c r="L45" s="3561"/>
      <c r="M45" s="3561"/>
      <c r="N45" s="3561"/>
      <c r="O45" s="3561"/>
      <c r="P45" s="3561"/>
      <c r="Q45" s="1276"/>
    </row>
    <row r="46" spans="1:17" ht="14.25" customHeight="1">
      <c r="A46" s="3448" t="s">
        <v>1710</v>
      </c>
      <c r="B46" s="3449"/>
      <c r="C46" s="3449"/>
      <c r="D46" s="3449"/>
      <c r="E46" s="3449"/>
      <c r="F46" s="3449"/>
      <c r="G46" s="3450"/>
      <c r="H46" s="2946"/>
      <c r="I46" s="945"/>
      <c r="J46" s="2814"/>
      <c r="K46" s="2504">
        <v>1</v>
      </c>
      <c r="L46" s="3562" t="s">
        <v>2689</v>
      </c>
      <c r="M46" s="3562"/>
      <c r="N46" s="3563" t="str">
        <f>项目基本情况!B1</f>
        <v>北京市房地产抵押价值预评估</v>
      </c>
      <c r="O46" s="3563"/>
      <c r="P46" s="3563"/>
      <c r="Q46" s="1276"/>
    </row>
    <row r="47" spans="1:17" ht="12" customHeight="1">
      <c r="A47" s="38" t="s">
        <v>1712</v>
      </c>
      <c r="B47" s="39"/>
      <c r="C47" s="40"/>
      <c r="D47" s="1068" t="s">
        <v>1713</v>
      </c>
      <c r="E47" s="235" t="s">
        <v>1714</v>
      </c>
      <c r="F47" s="41" t="s">
        <v>1715</v>
      </c>
      <c r="G47" s="2532" t="s">
        <v>1716</v>
      </c>
      <c r="H47" s="2946"/>
      <c r="I47" s="945"/>
      <c r="J47" s="2814"/>
      <c r="K47" s="2504">
        <v>2</v>
      </c>
      <c r="L47" s="3562" t="s">
        <v>2690</v>
      </c>
      <c r="M47" s="3562"/>
      <c r="N47" s="3564">
        <f>'数据-取费表'!B2</f>
        <v>44663</v>
      </c>
      <c r="O47" s="3564"/>
      <c r="P47" s="3564"/>
      <c r="Q47" s="1276"/>
    </row>
    <row r="48" spans="1:17" ht="25.5">
      <c r="A48" s="3458" t="s">
        <v>1718</v>
      </c>
      <c r="B48" s="3459"/>
      <c r="C48" s="3459"/>
      <c r="D48" s="12">
        <f ca="1">IF(H48="情况1",0,IF(H48="情况2",D52,IF(H48="情况3",D53,IF(H48="情况4",D54))))</f>
        <v>11</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62" t="s">
        <v>2691</v>
      </c>
      <c r="M48" s="3562"/>
      <c r="N48" s="3563">
        <f ca="1">I102</f>
        <v>216</v>
      </c>
      <c r="O48" s="3563"/>
      <c r="P48" s="3563"/>
      <c r="Q48" s="1276"/>
    </row>
    <row r="49" spans="1:17" ht="25.5" customHeight="1">
      <c r="A49" s="2059" t="s">
        <v>1722</v>
      </c>
      <c r="B49" s="3453" t="s">
        <v>1723</v>
      </c>
      <c r="C49" s="3453"/>
      <c r="D49" s="2536">
        <v>0</v>
      </c>
      <c r="E49" s="261" t="s">
        <v>1724</v>
      </c>
      <c r="F49" s="2537" t="s">
        <v>48</v>
      </c>
      <c r="G49" s="3471"/>
      <c r="H49" s="2538" t="s">
        <v>2765</v>
      </c>
      <c r="I49" s="2539"/>
      <c r="J49" s="2822"/>
      <c r="K49" s="2504">
        <v>4</v>
      </c>
      <c r="L49" s="3562" t="str">
        <f>IF(项目基本情况!F5="房地产抵押价值","房地产抵押价值","抵押担保权已注销时的房地产抵押价值")</f>
        <v>房地产抵押价值</v>
      </c>
      <c r="M49" s="3562"/>
      <c r="N49" s="3563">
        <f ca="1">IF(项目基本情况!F5="房地产抵押价值",I110,I112)</f>
        <v>216</v>
      </c>
      <c r="O49" s="3563"/>
      <c r="P49" s="3563"/>
      <c r="Q49" s="1276"/>
    </row>
    <row r="50" spans="1:17" ht="25.5" customHeight="1">
      <c r="A50" s="2049"/>
      <c r="B50" s="3453" t="s">
        <v>1725</v>
      </c>
      <c r="C50" s="3453"/>
      <c r="D50" s="2540"/>
      <c r="E50" s="269"/>
      <c r="F50" s="2537"/>
      <c r="G50" s="3472"/>
      <c r="H50" s="2541" t="s">
        <v>2684</v>
      </c>
      <c r="I50" s="2539"/>
      <c r="J50" s="2822"/>
      <c r="K50" s="3562" t="s">
        <v>2692</v>
      </c>
      <c r="L50" s="3562"/>
      <c r="M50" s="3562"/>
      <c r="N50" s="3562"/>
      <c r="O50" s="3562"/>
      <c r="P50" s="3562"/>
      <c r="Q50" s="1276"/>
    </row>
    <row r="51" spans="1:17" ht="20.45" customHeight="1">
      <c r="A51" s="2542"/>
      <c r="B51" s="3453" t="s">
        <v>1727</v>
      </c>
      <c r="C51" s="3453"/>
      <c r="D51" s="1068"/>
      <c r="E51" s="264"/>
      <c r="F51" s="2537"/>
      <c r="G51" s="3473"/>
      <c r="H51" s="2541" t="s">
        <v>2685</v>
      </c>
      <c r="I51" s="2539"/>
      <c r="J51" s="2822"/>
      <c r="K51" s="2505" t="s">
        <v>2693</v>
      </c>
      <c r="L51" s="3562" t="s">
        <v>2694</v>
      </c>
      <c r="M51" s="3562"/>
      <c r="N51" s="2505" t="s">
        <v>2695</v>
      </c>
      <c r="O51" s="2505" t="s">
        <v>2696</v>
      </c>
      <c r="P51" s="2505" t="s">
        <v>2697</v>
      </c>
      <c r="Q51" s="1276"/>
    </row>
    <row r="52" spans="1:17" ht="24" customHeight="1">
      <c r="A52" s="2050" t="s">
        <v>1733</v>
      </c>
      <c r="B52" s="3453" t="s">
        <v>1734</v>
      </c>
      <c r="C52" s="3453"/>
      <c r="D52" s="1068">
        <f ca="1">ROUND(D45*'数据-取费表'!E29/(1+'数据-取费表'!F30),0)</f>
        <v>11</v>
      </c>
      <c r="E52" s="2060" t="s">
        <v>1735</v>
      </c>
      <c r="F52" s="2543">
        <f>'数据-取费表'!E29</f>
        <v>5.5000000000000007E-2</v>
      </c>
      <c r="G52" s="2544"/>
      <c r="H52" s="945"/>
      <c r="I52" s="2947"/>
      <c r="J52" s="2822"/>
      <c r="K52" s="2504">
        <v>1</v>
      </c>
      <c r="L52" s="3560" t="s">
        <v>2698</v>
      </c>
      <c r="M52" s="3560"/>
      <c r="N52" s="2506">
        <f ca="1">D48</f>
        <v>11</v>
      </c>
      <c r="O52" s="2504" t="str">
        <f>E48</f>
        <v>销售额×税（费）率</v>
      </c>
      <c r="P52" s="2507">
        <f>F48</f>
        <v>5.5000000000000007E-2</v>
      </c>
      <c r="Q52" s="1276"/>
    </row>
    <row r="53" spans="1:17" ht="12" customHeight="1">
      <c r="A53" s="2050" t="s">
        <v>1737</v>
      </c>
      <c r="B53" s="3455" t="s">
        <v>2777</v>
      </c>
      <c r="C53" s="3456"/>
      <c r="D53" s="1068">
        <f ca="1">ROUND(D45*'数据-取费表'!E29/(1+'数据-取费表'!F30),0)</f>
        <v>11</v>
      </c>
      <c r="E53" s="2060" t="s">
        <v>1735</v>
      </c>
      <c r="F53" s="2543">
        <f>'数据-取费表'!E29</f>
        <v>5.5000000000000007E-2</v>
      </c>
      <c r="G53" s="2544"/>
      <c r="H53" s="945"/>
      <c r="I53" s="2947"/>
      <c r="J53" s="2822"/>
      <c r="K53" s="2504">
        <v>2</v>
      </c>
      <c r="L53" s="3560" t="s">
        <v>2699</v>
      </c>
      <c r="M53" s="3560"/>
      <c r="N53" s="2506">
        <f t="shared" ref="N53:P54" si="1">D55</f>
        <v>0</v>
      </c>
      <c r="O53" s="2504" t="str">
        <f t="shared" si="1"/>
        <v>销售额×税（费）率</v>
      </c>
      <c r="P53" s="2507" t="str">
        <f t="shared" si="1"/>
        <v>免征</v>
      </c>
      <c r="Q53" s="1276"/>
    </row>
    <row r="54" spans="1:17" ht="12" customHeight="1">
      <c r="A54" s="2050" t="s">
        <v>1739</v>
      </c>
      <c r="B54" s="3455" t="s">
        <v>2778</v>
      </c>
      <c r="C54" s="3456"/>
      <c r="D54" s="1068">
        <f ca="1">C68</f>
        <v>11</v>
      </c>
      <c r="E54" s="264" t="s">
        <v>1740</v>
      </c>
      <c r="F54" s="2543">
        <f>'数据-取费表'!E29</f>
        <v>5.5000000000000007E-2</v>
      </c>
      <c r="G54" s="2544"/>
      <c r="H54" s="2948"/>
      <c r="I54" s="2947"/>
      <c r="J54" s="2822"/>
      <c r="K54" s="2504">
        <v>3</v>
      </c>
      <c r="L54" s="3560" t="s">
        <v>2700</v>
      </c>
      <c r="M54" s="3560"/>
      <c r="N54" s="2506">
        <f t="shared" si="1"/>
        <v>0</v>
      </c>
      <c r="O54" s="2504" t="str">
        <f t="shared" si="1"/>
        <v>增值额×税（费）率</v>
      </c>
      <c r="P54" s="2508" t="str">
        <f t="shared" si="1"/>
        <v>免征</v>
      </c>
      <c r="Q54" s="1276"/>
    </row>
    <row r="55" spans="1:17" ht="24" customHeight="1">
      <c r="A55" s="3481" t="s">
        <v>1742</v>
      </c>
      <c r="B55" s="3459"/>
      <c r="C55" s="3459"/>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60" t="str">
        <f>IF(H59="非个人房产","——","个人所得税")</f>
        <v>——</v>
      </c>
      <c r="M55" s="3560"/>
      <c r="N55" s="2509" t="str">
        <f>D59</f>
        <v>——</v>
      </c>
      <c r="O55" s="2510" t="str">
        <f>E59</f>
        <v>——</v>
      </c>
      <c r="P55" s="2511" t="str">
        <f>F59</f>
        <v>——</v>
      </c>
      <c r="Q55" s="1276"/>
    </row>
    <row r="56" spans="1:17" ht="24.75">
      <c r="A56" s="3481" t="s">
        <v>1745</v>
      </c>
      <c r="B56" s="3459"/>
      <c r="C56" s="3459"/>
      <c r="D56" s="12">
        <f>IF(H56="个人住宅",D57,D58)</f>
        <v>0</v>
      </c>
      <c r="E56" s="2060" t="s">
        <v>1746</v>
      </c>
      <c r="F56" s="2543" t="str">
        <f>IF(H56="正常",F58,"免征")</f>
        <v>免征</v>
      </c>
      <c r="G56" s="2545" t="s">
        <v>1747</v>
      </c>
      <c r="H56" s="2546" t="s">
        <v>2681</v>
      </c>
      <c r="I56" s="2949"/>
      <c r="J56" s="2822"/>
      <c r="K56" s="2504" t="str">
        <f>IF(项目基本情况!I6="上海银行",IF(K55="",4,K55+1),"")</f>
        <v/>
      </c>
      <c r="L56" s="3558" t="str">
        <f>IF(项目基本情况!I6="上海银行","其他处置费用","")</f>
        <v/>
      </c>
      <c r="M56" s="3565"/>
      <c r="N56" s="2506" t="str">
        <f>IF(项目基本情况!I6="上海银行",N69,"")</f>
        <v/>
      </c>
      <c r="O56" s="3558" t="str">
        <f>IF(项目基本情况!I6="上海银行","包含处置中涉及的律师、诉讼、拍卖、评估等费用","")</f>
        <v/>
      </c>
      <c r="P56" s="3559"/>
      <c r="Q56" s="1276"/>
    </row>
    <row r="57" spans="1:17" ht="12.75">
      <c r="A57" s="2050" t="s">
        <v>1722</v>
      </c>
      <c r="B57" s="3455" t="s">
        <v>1748</v>
      </c>
      <c r="C57" s="3456"/>
      <c r="D57" s="2536">
        <v>0</v>
      </c>
      <c r="E57" s="261" t="s">
        <v>1724</v>
      </c>
      <c r="F57" s="235"/>
      <c r="G57" s="2544"/>
      <c r="H57" s="2949"/>
      <c r="I57" s="2949"/>
      <c r="J57" s="2822"/>
      <c r="K57" s="3560">
        <f>IF(AND(K55="",K56=""),4,IF(项目基本情况!I6="上海银行",K56+1,K55+1))</f>
        <v>4</v>
      </c>
      <c r="L57" s="3560" t="s">
        <v>2701</v>
      </c>
      <c r="M57" s="2512" t="s">
        <v>2702</v>
      </c>
      <c r="N57" s="2513"/>
      <c r="O57" s="2514">
        <f ca="1">SUMIF(N52:N56,"&lt;9e307")</f>
        <v>11</v>
      </c>
      <c r="P57" s="2515"/>
      <c r="Q57" s="1274">
        <f ca="1">O57/N49</f>
        <v>5.0925925925925923E-2</v>
      </c>
    </row>
    <row r="58" spans="1:17" ht="24.75">
      <c r="A58" s="2050" t="s">
        <v>1733</v>
      </c>
      <c r="B58" s="3455" t="s">
        <v>1751</v>
      </c>
      <c r="C58" s="3453"/>
      <c r="D58" s="12">
        <f ca="1">IF(H58="转让取得",C81,C97)</f>
        <v>123</v>
      </c>
      <c r="E58" s="2060" t="s">
        <v>1746</v>
      </c>
      <c r="F58" s="235" t="s">
        <v>48</v>
      </c>
      <c r="G58" s="2544"/>
      <c r="H58" s="2546" t="s">
        <v>1752</v>
      </c>
      <c r="I58" s="2949"/>
      <c r="J58" s="2822"/>
      <c r="K58" s="3560"/>
      <c r="L58" s="3560"/>
      <c r="M58" s="2512" t="s">
        <v>2703</v>
      </c>
      <c r="N58" s="2516"/>
      <c r="O58" s="2517" t="str">
        <f ca="1">IF(H19="元",NUMBERSTRING(INT(O57),2)&amp;"元整",NUMBERSTRING(INT(O57*10000),2)&amp;"元整")</f>
        <v>壹拾壹万元整</v>
      </c>
      <c r="P58" s="2518"/>
      <c r="Q58" s="1276"/>
    </row>
    <row r="59" spans="1:17" ht="24.75" thickBot="1">
      <c r="A59" s="3478" t="s">
        <v>1754</v>
      </c>
      <c r="B59" s="3479"/>
      <c r="C59" s="3479"/>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72">
        <f>K57+1</f>
        <v>5</v>
      </c>
      <c r="L59" s="3560" t="s">
        <v>2704</v>
      </c>
      <c r="M59" s="2504" t="s">
        <v>2702</v>
      </c>
      <c r="N59" s="2519"/>
      <c r="O59" s="2520">
        <f ca="1">N49-O57</f>
        <v>205</v>
      </c>
      <c r="P59" s="2521"/>
      <c r="Q59" s="1276"/>
    </row>
    <row r="60" spans="1:17" ht="12" customHeight="1">
      <c r="A60" s="1425"/>
      <c r="B60" s="1429"/>
      <c r="C60" s="1429"/>
      <c r="D60" s="1429"/>
      <c r="E60" s="811"/>
      <c r="F60" s="2950"/>
      <c r="G60" s="2950"/>
      <c r="H60" s="2951"/>
      <c r="I60" s="31"/>
      <c r="K60" s="3573"/>
      <c r="L60" s="3560"/>
      <c r="M60" s="2512" t="s">
        <v>2703</v>
      </c>
      <c r="N60" s="2516"/>
      <c r="O60" s="2517" t="str">
        <f ca="1">IF(H19="元",NUMBERSTRING(INT(O59),2)&amp;"元整",NUMBERSTRING(INT(O59*10000),2)&amp;"元整")</f>
        <v>贰佰零伍万元整</v>
      </c>
      <c r="P60" s="2518"/>
      <c r="Q60" s="1276"/>
    </row>
    <row r="61" spans="1:17" ht="13.5" thickBot="1">
      <c r="A61" s="3576" t="s">
        <v>1756</v>
      </c>
      <c r="B61" s="3576"/>
      <c r="C61" s="3576"/>
      <c r="D61" s="3576"/>
      <c r="E61" s="3576"/>
      <c r="F61" s="2950"/>
      <c r="G61" s="2950"/>
      <c r="H61" s="2952"/>
      <c r="I61" s="31"/>
      <c r="K61" s="2504">
        <f>K59+1</f>
        <v>6</v>
      </c>
      <c r="L61" s="3560" t="s">
        <v>2705</v>
      </c>
      <c r="M61" s="3560"/>
      <c r="N61" s="2522"/>
      <c r="O61" s="2523">
        <f ca="1">IF(H19="元",ROUND(O59/项目基本情况!C12,0),ROUND(O59*10000/项目基本情况!C12,0))</f>
        <v>17247</v>
      </c>
      <c r="P61" s="2524"/>
      <c r="Q61" s="1276"/>
    </row>
    <row r="62" spans="1:17" ht="12.75">
      <c r="A62" s="3483" t="s">
        <v>1758</v>
      </c>
      <c r="B62" s="3484"/>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206</v>
      </c>
      <c r="D63" s="47"/>
      <c r="E63" s="48"/>
      <c r="F63" s="2950"/>
      <c r="G63" s="2950"/>
      <c r="H63" s="2952"/>
      <c r="I63" s="31"/>
      <c r="K63" s="3566" t="s">
        <v>2706</v>
      </c>
      <c r="L63" s="2526" t="s">
        <v>2707</v>
      </c>
      <c r="M63" s="2526">
        <f ca="1">IF(N49&gt;10000,N49*0.5%,IF(AND(N49&gt;1000,N49&lt;=10000),N49*1%,IF(AND(N49&gt;100,N49&lt;=1000),N49*3%,IF(AND(N49&gt;10,N49&lt;=100),N49*5%,N49*8%))))</f>
        <v>6.4799999999999995</v>
      </c>
      <c r="N63" s="2527">
        <f ca="1">ROUND(M63,1)</f>
        <v>6.5</v>
      </c>
      <c r="O63" s="2525"/>
      <c r="P63" s="2525"/>
      <c r="Q63" s="1276"/>
    </row>
    <row r="64" spans="1:17" ht="12.75">
      <c r="A64" s="49" t="s">
        <v>71</v>
      </c>
      <c r="B64" s="50" t="s">
        <v>1764</v>
      </c>
      <c r="C64" s="2754">
        <f ca="1">D45</f>
        <v>216</v>
      </c>
      <c r="D64" s="50" t="s">
        <v>41</v>
      </c>
      <c r="E64" s="52"/>
      <c r="F64" s="2950"/>
      <c r="G64" s="2950"/>
      <c r="H64" s="2952"/>
      <c r="I64" s="31"/>
      <c r="K64" s="3566"/>
      <c r="L64" s="2526" t="s">
        <v>2708</v>
      </c>
      <c r="M64" s="2526">
        <f ca="1">IF(N49&gt;2000,N49*0.5%,IF(AND(N49&gt;1000,N49&lt;=2000),N49*0.6%,IF(AND(N49&gt;500,N49&lt;=1000),N49*0.7%,IF(AND(N49&gt;200,N49&lt;=500),N49*0.8%,IF(AND(N49&gt;100,N49&lt;=200),N49*0.9%,IF(AND(N49&gt;50,N49&lt;=100),N49*1%,IF(AND(N49&gt;20,N49&lt;=50),N49*1.5%,IF(AND(N49&gt;10,N49&lt;=20),N49*2%,IF(AND(N49&gt;1,N49&lt;=10),N49*2.5%)))))))))</f>
        <v>1.728</v>
      </c>
      <c r="N64" s="2527">
        <f t="shared" ref="N64:N65" ca="1" si="2">ROUND(M64,1)</f>
        <v>1.7</v>
      </c>
      <c r="O64" s="2525" t="s">
        <v>2709</v>
      </c>
      <c r="P64" s="2525"/>
      <c r="Q64" s="1276"/>
    </row>
    <row r="65" spans="1:36" ht="12.75">
      <c r="A65" s="49" t="s">
        <v>72</v>
      </c>
      <c r="B65" s="50" t="s">
        <v>1767</v>
      </c>
      <c r="C65" s="2755"/>
      <c r="D65" s="50"/>
      <c r="E65" s="52"/>
      <c r="F65" s="2950"/>
      <c r="G65" s="2950"/>
      <c r="H65" s="2952"/>
      <c r="I65" s="31"/>
      <c r="K65" s="3566"/>
      <c r="L65" s="2526" t="s">
        <v>2710</v>
      </c>
      <c r="M65" s="2526">
        <f ca="1">IF(N49&gt;1000,N49*0.1%,IF(AND(N49&gt;500,N49&lt;=1000),N49*0.5%,IF(AND(N49&gt;50,N49&lt;=500),N49*1%,IF(AND(N49&gt;1,N49&lt;=50),N49*1.5%))))</f>
        <v>2.16</v>
      </c>
      <c r="N65" s="2527">
        <f t="shared" ca="1" si="2"/>
        <v>2.2000000000000002</v>
      </c>
      <c r="O65" s="2525" t="s">
        <v>2709</v>
      </c>
      <c r="P65" s="2525"/>
      <c r="Q65" s="1276"/>
    </row>
    <row r="66" spans="1:36" ht="12.75">
      <c r="A66" s="53" t="s">
        <v>47</v>
      </c>
      <c r="B66" s="54" t="s">
        <v>1769</v>
      </c>
      <c r="C66" s="2756"/>
      <c r="D66" s="54" t="s">
        <v>41</v>
      </c>
      <c r="E66" s="1284" t="s">
        <v>1770</v>
      </c>
      <c r="F66" s="2950"/>
      <c r="G66" s="2950"/>
      <c r="H66" s="2952"/>
      <c r="I66" s="31"/>
      <c r="K66" s="3566"/>
      <c r="L66" s="2526" t="s">
        <v>2711</v>
      </c>
      <c r="M66" s="2526">
        <f ca="1">N49*0.5%</f>
        <v>1.08</v>
      </c>
      <c r="N66" s="2527">
        <f ca="1">IF(M66&gt;0.5,0.5,ROUND(M66,0))</f>
        <v>0.5</v>
      </c>
      <c r="O66" s="2525" t="s">
        <v>2712</v>
      </c>
      <c r="P66" s="2525"/>
      <c r="Q66" s="1276"/>
    </row>
    <row r="67" spans="1:36" ht="12.75">
      <c r="A67" s="53" t="s">
        <v>42</v>
      </c>
      <c r="B67" s="54" t="s">
        <v>1773</v>
      </c>
      <c r="C67" s="2757">
        <f ca="1">C63-C66</f>
        <v>206</v>
      </c>
      <c r="D67" s="50" t="s">
        <v>41</v>
      </c>
      <c r="E67" s="52"/>
      <c r="F67" s="2950"/>
      <c r="G67" s="2950"/>
      <c r="H67" s="2952"/>
      <c r="I67" s="31"/>
      <c r="K67" s="3566"/>
      <c r="L67" s="2526" t="s">
        <v>2713</v>
      </c>
      <c r="M67" s="2526">
        <f ca="1">IF(N49&gt;=10000,(8.25+(N49-10000)*0.01%),IF(AND(N49&gt;=8000,N49&lt;10000),(7.85+(N49-8000)*0.02%),IF(AND(N49&gt;=5000,N49&lt;8000),(6.65+(N49-5000)*0.04%),IF(AND(N49&gt;=2000,N49&lt;5000),(4.25+(PN49-2000)*0.08%),IF(AND(N49&gt;=1000,N49&lt;2000),(2.75+(N49-1000)*0.15%),IF(AND(N49&gt;=100,N49&lt;1000),(0.5+(N49-100)*0.25%),IF(AND(N49&gt;0,N49&lt;100),N49*0.5%)))))))</f>
        <v>0.79</v>
      </c>
      <c r="N67" s="2527">
        <f ca="1">ROUND(M67*0.9,1)</f>
        <v>0.7</v>
      </c>
      <c r="O67" s="2525"/>
      <c r="P67" s="2525"/>
      <c r="Q67" s="1276"/>
    </row>
    <row r="68" spans="1:36" ht="13.5" thickBot="1">
      <c r="A68" s="55" t="s">
        <v>46</v>
      </c>
      <c r="B68" s="56" t="s">
        <v>1775</v>
      </c>
      <c r="C68" s="2758">
        <f ca="1">IF(C67&lt;=0,0,ROUND(C67*D68,0))</f>
        <v>11</v>
      </c>
      <c r="D68" s="2210">
        <f>'数据-取费表'!E29</f>
        <v>5.5000000000000007E-2</v>
      </c>
      <c r="E68" s="57"/>
      <c r="F68" s="2950"/>
      <c r="G68" s="2950"/>
      <c r="H68" s="2952"/>
      <c r="I68" s="31"/>
      <c r="K68" s="3566"/>
      <c r="L68" s="2526" t="s">
        <v>2714</v>
      </c>
      <c r="M68" s="2526">
        <f ca="1">IF(N49&gt;10000,N49*0.5%,IF(AND(N49&gt;5000,N49&lt;=10000),N49*1%,IF(AND(N49&gt;1000,N49&lt;=5000),N49*2%,IF(AND(N49&gt;200,N49&lt;=1000),N49*3%,N49*5%))))</f>
        <v>6.4799999999999995</v>
      </c>
      <c r="N68" s="2527">
        <f ca="1">ROUND(M68,1)</f>
        <v>6.5</v>
      </c>
      <c r="O68" s="2525"/>
      <c r="P68" s="2525"/>
      <c r="Q68" s="1276"/>
    </row>
    <row r="69" spans="1:36" s="1433" customFormat="1" ht="7.5" customHeight="1">
      <c r="A69" s="1445"/>
      <c r="B69" s="1446"/>
      <c r="C69" s="1447"/>
      <c r="D69" s="1448"/>
      <c r="E69" s="1449"/>
      <c r="F69" s="811"/>
      <c r="G69" s="811"/>
      <c r="H69" s="1438"/>
      <c r="I69" s="1429"/>
      <c r="J69" s="2810"/>
      <c r="K69" s="3566"/>
      <c r="L69" s="2526" t="s">
        <v>54</v>
      </c>
      <c r="M69" s="2526"/>
      <c r="N69" s="2527">
        <f ca="1">ROUND(SUM(N63:N68),0)</f>
        <v>18</v>
      </c>
      <c r="O69" s="2528">
        <f ca="1">N69/N49</f>
        <v>8.3333333333333329E-2</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70" t="s">
        <v>1778</v>
      </c>
      <c r="B70" s="3571"/>
      <c r="C70" s="3571"/>
      <c r="D70" s="3571"/>
      <c r="E70" s="3571"/>
      <c r="F70" s="3571"/>
      <c r="G70" s="3571"/>
      <c r="H70" s="3571"/>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83" t="s">
        <v>1758</v>
      </c>
      <c r="B71" s="3484"/>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206</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5" t="s">
        <v>1788</v>
      </c>
      <c r="F76" s="3453"/>
      <c r="G76" s="3453"/>
      <c r="H76" s="3496"/>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485" t="s">
        <v>1793</v>
      </c>
      <c r="F78" s="3486"/>
      <c r="G78" s="3486"/>
      <c r="H78" s="3487"/>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205</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205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123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70" t="s">
        <v>1797</v>
      </c>
      <c r="B83" s="3571"/>
      <c r="C83" s="3571"/>
      <c r="D83" s="3571"/>
      <c r="E83" s="3571"/>
      <c r="F83" s="3571"/>
      <c r="G83" s="3571"/>
      <c r="H83" s="3571"/>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83" t="s">
        <v>1758</v>
      </c>
      <c r="B84" s="3484"/>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206</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497" t="s">
        <v>2676</v>
      </c>
      <c r="H90" s="3497"/>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485" t="s">
        <v>1805</v>
      </c>
      <c r="F91" s="3486"/>
      <c r="G91" s="3486"/>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485" t="s">
        <v>1808</v>
      </c>
      <c r="F92" s="3486"/>
      <c r="G92" s="3486"/>
      <c r="H92" s="3487"/>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485" t="s">
        <v>1793</v>
      </c>
      <c r="F93" s="3486"/>
      <c r="G93" s="3486"/>
      <c r="H93" s="3487"/>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485" t="s">
        <v>1810</v>
      </c>
      <c r="F94" s="3486"/>
      <c r="G94" s="3486"/>
      <c r="H94" s="3487"/>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205</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205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123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488" t="s">
        <v>1812</v>
      </c>
      <c r="B99" s="3489"/>
      <c r="C99" s="3489"/>
      <c r="D99" s="3490"/>
      <c r="E99" s="1429"/>
      <c r="F99" s="3567" t="s">
        <v>1813</v>
      </c>
      <c r="G99" s="3568"/>
      <c r="H99" s="3568"/>
      <c r="I99" s="3569"/>
      <c r="J99" s="2828"/>
    </row>
    <row r="100" spans="1:36" ht="15">
      <c r="A100" s="3499" t="s">
        <v>1814</v>
      </c>
      <c r="B100" s="3500"/>
      <c r="C100" s="1275" t="str">
        <f>C4</f>
        <v>比较法-办公</v>
      </c>
      <c r="D100" s="2776" t="str">
        <f>D4</f>
        <v>收益法</v>
      </c>
      <c r="E100" s="1429"/>
      <c r="F100" s="3501" t="s">
        <v>2720</v>
      </c>
      <c r="G100" s="3502"/>
      <c r="H100" s="3501" t="s">
        <v>2721</v>
      </c>
      <c r="I100" s="3504"/>
      <c r="J100" s="2829"/>
    </row>
    <row r="101" spans="1:36" ht="12.75">
      <c r="A101" s="3574" t="s">
        <v>2753</v>
      </c>
      <c r="B101" s="2275" t="str">
        <f>IF(H19="元","总价（元）","总价（万元）")</f>
        <v>总价（万元）</v>
      </c>
      <c r="C101" s="1275">
        <f ca="1">C19</f>
        <v>236</v>
      </c>
      <c r="D101" s="2776">
        <f ca="1">D19</f>
        <v>169</v>
      </c>
      <c r="E101" s="1429"/>
      <c r="F101" s="3501" t="str">
        <f>项目基本情况!I1</f>
        <v>北京市房地产</v>
      </c>
      <c r="G101" s="3502"/>
      <c r="H101" s="3508">
        <f>项目基本情况!C12</f>
        <v>118.86</v>
      </c>
      <c r="I101" s="3504"/>
      <c r="J101" s="2829"/>
    </row>
    <row r="102" spans="1:36" ht="12.75">
      <c r="A102" s="3574"/>
      <c r="B102" s="2275" t="s">
        <v>2754</v>
      </c>
      <c r="C102" s="2777">
        <f ca="1">C20</f>
        <v>19861</v>
      </c>
      <c r="D102" s="2778">
        <f ca="1">D20</f>
        <v>14226</v>
      </c>
      <c r="E102" s="1429"/>
      <c r="F102" s="3509" t="s">
        <v>2750</v>
      </c>
      <c r="G102" s="3510"/>
      <c r="H102" s="2786" t="str">
        <f>C106</f>
        <v>总价（万元）</v>
      </c>
      <c r="I102" s="2787">
        <f ca="1">H121</f>
        <v>216</v>
      </c>
      <c r="J102" s="2829"/>
    </row>
    <row r="103" spans="1:36" ht="12.75">
      <c r="A103" s="3574" t="s">
        <v>2755</v>
      </c>
      <c r="B103" s="2213" t="str">
        <f>B101</f>
        <v>总价（万元）</v>
      </c>
      <c r="C103" s="2781">
        <f ca="1">H121</f>
        <v>216</v>
      </c>
      <c r="D103" s="2779"/>
      <c r="E103" s="1429"/>
      <c r="F103" s="3509"/>
      <c r="G103" s="3510"/>
      <c r="H103" s="2786" t="s">
        <v>2723</v>
      </c>
      <c r="I103" s="52">
        <f ca="1">I121</f>
        <v>18173</v>
      </c>
      <c r="J103" s="2813"/>
    </row>
    <row r="104" spans="1:36" ht="13.5" thickBot="1">
      <c r="A104" s="3546"/>
      <c r="B104" s="2783" t="s">
        <v>2754</v>
      </c>
      <c r="C104" s="2784">
        <f ca="1">I121</f>
        <v>18173</v>
      </c>
      <c r="D104" s="2785"/>
      <c r="E104" s="1429"/>
      <c r="F104" s="3509"/>
      <c r="G104" s="3510"/>
      <c r="H104" s="3511"/>
      <c r="I104" s="3512"/>
      <c r="J104" s="2830"/>
    </row>
    <row r="105" spans="1:36" ht="15">
      <c r="A105" s="3488" t="s">
        <v>1815</v>
      </c>
      <c r="B105" s="3489"/>
      <c r="C105" s="3489"/>
      <c r="D105" s="3490"/>
      <c r="E105" s="1429"/>
      <c r="F105" s="3518" t="s">
        <v>2724</v>
      </c>
      <c r="G105" s="3519"/>
      <c r="H105" s="2788" t="str">
        <f>C108</f>
        <v>总额（万元）</v>
      </c>
      <c r="I105" s="2787">
        <f>SUMIF(I106:I108,"&lt;9E307")</f>
        <v>0</v>
      </c>
      <c r="J105" s="2829"/>
    </row>
    <row r="106" spans="1:36" ht="14.25">
      <c r="A106" s="3509" t="s">
        <v>2747</v>
      </c>
      <c r="B106" s="3510"/>
      <c r="C106" s="2786" t="str">
        <f>B101</f>
        <v>总价（万元）</v>
      </c>
      <c r="D106" s="2787">
        <f ca="1">H121</f>
        <v>216</v>
      </c>
      <c r="E106" s="1429"/>
      <c r="F106" s="3516" t="s">
        <v>2725</v>
      </c>
      <c r="G106" s="3517"/>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509"/>
      <c r="B107" s="3510"/>
      <c r="C107" s="2786" t="s">
        <v>2748</v>
      </c>
      <c r="D107" s="52">
        <f ca="1">I121</f>
        <v>18173</v>
      </c>
      <c r="E107" s="1429"/>
      <c r="F107" s="3516" t="s">
        <v>2726</v>
      </c>
      <c r="G107" s="3517"/>
      <c r="H107" s="2788" t="str">
        <f>C110</f>
        <v>总额（万元）</v>
      </c>
      <c r="I107" s="52">
        <f>C37</f>
        <v>0</v>
      </c>
      <c r="J107" s="2813"/>
    </row>
    <row r="108" spans="1:36" ht="12.75">
      <c r="A108" s="3520" t="s">
        <v>2724</v>
      </c>
      <c r="B108" s="3521"/>
      <c r="C108" s="2788" t="str">
        <f>IF(H19="元","总额（元）","总额（万元）")</f>
        <v>总额（万元）</v>
      </c>
      <c r="D108" s="2787">
        <f>IF(D36="正常操作",I106+I107+I108,I107+I108)</f>
        <v>0</v>
      </c>
      <c r="E108" s="1429"/>
      <c r="F108" s="3516" t="s">
        <v>2751</v>
      </c>
      <c r="G108" s="3517"/>
      <c r="H108" s="2788" t="str">
        <f>C111</f>
        <v>总额（万元）</v>
      </c>
      <c r="I108" s="52">
        <f>C38</f>
        <v>0</v>
      </c>
      <c r="J108" s="2813"/>
    </row>
    <row r="109" spans="1:36" ht="12.75">
      <c r="A109" s="3516" t="s">
        <v>2725</v>
      </c>
      <c r="B109" s="3517"/>
      <c r="C109" s="2788" t="str">
        <f>C108</f>
        <v>总额（万元）</v>
      </c>
      <c r="D109" s="52">
        <f>IF(D36="同一抵押权人同一抵押物续贷",C36&amp;"（未扣减，详见特别提示）",C36)</f>
        <v>0</v>
      </c>
      <c r="E109" s="1429"/>
      <c r="F109" s="3509"/>
      <c r="G109" s="3510"/>
      <c r="H109" s="3522"/>
      <c r="I109" s="3523"/>
      <c r="J109" s="2831"/>
    </row>
    <row r="110" spans="1:36" ht="28.5" customHeight="1">
      <c r="A110" s="3516" t="s">
        <v>2749</v>
      </c>
      <c r="B110" s="3517"/>
      <c r="C110" s="2788" t="str">
        <f>C108</f>
        <v>总额（万元）</v>
      </c>
      <c r="D110" s="52">
        <f>C37</f>
        <v>0</v>
      </c>
      <c r="E110" s="1429"/>
      <c r="F110" s="3524" t="str">
        <f>IF(项目基本情况!F5="已注销","——","3.房地产抵押价值")</f>
        <v>3.房地产抵押价值</v>
      </c>
      <c r="G110" s="3446"/>
      <c r="H110" s="2774" t="str">
        <f>C112</f>
        <v>总价（万元）</v>
      </c>
      <c r="I110" s="2787">
        <f ca="1">IF(F110="——","——",I102-I105)</f>
        <v>216</v>
      </c>
      <c r="J110" s="2829"/>
    </row>
    <row r="111" spans="1:36" ht="12.75">
      <c r="A111" s="3516" t="s">
        <v>2728</v>
      </c>
      <c r="B111" s="3517"/>
      <c r="C111" s="2788" t="str">
        <f>C108</f>
        <v>总额（万元）</v>
      </c>
      <c r="D111" s="52">
        <f>C38</f>
        <v>0</v>
      </c>
      <c r="E111" s="1429"/>
      <c r="F111" s="3525"/>
      <c r="G111" s="3526"/>
      <c r="H111" s="2786" t="s">
        <v>2723</v>
      </c>
      <c r="I111" s="2790">
        <f ca="1">D113</f>
        <v>18173</v>
      </c>
      <c r="J111" s="2832"/>
    </row>
    <row r="112" spans="1:36" ht="26.25" customHeight="1">
      <c r="A112" s="3509" t="str">
        <f>IF(项目基本情况!F5="已注销","——","3.房地产抵押价值")</f>
        <v>3.房地产抵押价值</v>
      </c>
      <c r="B112" s="3510"/>
      <c r="C112" s="2786" t="str">
        <f>B101</f>
        <v>总价（万元）</v>
      </c>
      <c r="D112" s="2787">
        <f ca="1">IF(A112="——","——",D106-D108)</f>
        <v>216</v>
      </c>
      <c r="E112" s="1429"/>
      <c r="F112" s="3524" t="str">
        <f>IF(项目基本情况!F5="已注销及未注销","4.抵押担保权已注销时的房地产抵押价值",IF(项目基本情况!F5="已注销","3.抵押担保权已注销时的房地产抵押价值","——"))</f>
        <v>——</v>
      </c>
      <c r="G112" s="3446"/>
      <c r="H112" s="2774" t="str">
        <f>C114</f>
        <v>总价（万元）</v>
      </c>
      <c r="I112" s="2787" t="str">
        <f>IF(F112="——","——",I102-I107-I108)</f>
        <v>——</v>
      </c>
      <c r="J112" s="2829"/>
    </row>
    <row r="113" spans="1:16" ht="12.75">
      <c r="A113" s="3509"/>
      <c r="B113" s="3510"/>
      <c r="C113" s="2786" t="s">
        <v>2716</v>
      </c>
      <c r="D113" s="52">
        <f ca="1">ROUND(IF(D112=D106,D107,IF(H19="元",D112/项目基本情况!C12,D112*10000/项目基本情况!C12)),0)</f>
        <v>18173</v>
      </c>
      <c r="E113" s="1429"/>
      <c r="F113" s="3525"/>
      <c r="G113" s="3526"/>
      <c r="H113" s="2786" t="s">
        <v>2752</v>
      </c>
      <c r="I113" s="52" t="str">
        <f>D115</f>
        <v>——</v>
      </c>
      <c r="J113" s="2813"/>
    </row>
    <row r="114" spans="1:16" ht="12.75">
      <c r="A114" s="3509" t="str">
        <f>IF(项目基本情况!F5="已注销及未注销","4.抵押担保权已注销时的房地产抵押价值",IF(项目基本情况!F5="已注销","3.抵押担保权已注销时的房地产抵押价值","——"))</f>
        <v>——</v>
      </c>
      <c r="B114" s="3510"/>
      <c r="C114" s="2786" t="str">
        <f>B101</f>
        <v>总价（万元）</v>
      </c>
      <c r="D114" s="2787" t="str">
        <f>IF(A114="——","——",D106-D110-D111)</f>
        <v>——</v>
      </c>
      <c r="E114" s="1429"/>
      <c r="F114" s="3524" t="str">
        <f>IF(项目基本情况!G5="抵押净值",IF(OR(项目基本情况!F5="已注销",项目基本情况!F5="房地产抵押价值"),"4.抵押净值","5.抵押净值"),"——")</f>
        <v>——</v>
      </c>
      <c r="G114" s="3446"/>
      <c r="H114" s="2786" t="str">
        <f>C116</f>
        <v>总价（万元）</v>
      </c>
      <c r="I114" s="2787" t="str">
        <f>IF(F114="——","——",O59)</f>
        <v>——</v>
      </c>
      <c r="J114" s="2829"/>
    </row>
    <row r="115" spans="1:16" ht="13.5" thickBot="1">
      <c r="A115" s="3509"/>
      <c r="B115" s="3510"/>
      <c r="C115" s="2786" t="s">
        <v>2716</v>
      </c>
      <c r="D115" s="52" t="str">
        <f>IF(A114="——","——",ROUND(IF(D114=D106,D107,IF(H19="元",D114/项目基本情况!C12,D114*10000/项目基本情况!C12)),0))</f>
        <v>——</v>
      </c>
      <c r="E115" s="1429"/>
      <c r="F115" s="3532"/>
      <c r="G115" s="3533"/>
      <c r="H115" s="2791" t="s">
        <v>2716</v>
      </c>
      <c r="I115" s="2775" t="str">
        <f ca="1">D117</f>
        <v>——</v>
      </c>
      <c r="J115" s="2813"/>
    </row>
    <row r="116" spans="1:16" ht="15.75">
      <c r="A116" s="3509" t="str">
        <f>IF(项目基本情况!G5="抵押净值",IF(OR(项目基本情况!F5="已注销",项目基本情况!F5="房地产抵押价值"),"4.抵押净值","5.抵押净值"),"——")</f>
        <v>——</v>
      </c>
      <c r="B116" s="3510"/>
      <c r="C116" s="2786" t="str">
        <f>B101</f>
        <v>总价（万元）</v>
      </c>
      <c r="D116" s="2787" t="str">
        <f>IF(A116="——","——",O59)</f>
        <v>——</v>
      </c>
      <c r="E116" s="1429"/>
      <c r="F116" s="3536"/>
      <c r="G116" s="3536"/>
      <c r="H116" s="3537"/>
      <c r="I116" s="3537"/>
      <c r="J116" s="2833"/>
      <c r="O116" s="32"/>
      <c r="P116" s="32"/>
    </row>
    <row r="117" spans="1:16" ht="13.5" thickBot="1">
      <c r="A117" s="3534"/>
      <c r="B117" s="3535"/>
      <c r="C117" s="2791" t="s">
        <v>2716</v>
      </c>
      <c r="D117" s="2775" t="str">
        <f ca="1">IF(D116=D112,D113,IF(A116="——","——",O61))</f>
        <v>——</v>
      </c>
      <c r="E117" s="1429"/>
      <c r="F117" s="3577" t="str">
        <f>IF(B32="总价","（以上估价结果中单价为总价除以建筑面积得出）","（以上估价结果中总价为楼面单价乘以建筑面积得出）")</f>
        <v>（以上估价结果中单价为总价除以建筑面积得出）</v>
      </c>
      <c r="G117" s="3577"/>
      <c r="H117" s="3577"/>
      <c r="I117" s="3577"/>
      <c r="J117" s="2834"/>
      <c r="O117" s="32"/>
      <c r="P117" s="32"/>
    </row>
    <row r="118" spans="1:16" ht="15">
      <c r="A118" s="3539" t="s">
        <v>1816</v>
      </c>
      <c r="B118" s="3540"/>
      <c r="C118" s="3540"/>
      <c r="D118" s="3540"/>
      <c r="E118" s="3540"/>
      <c r="F118" s="3540"/>
      <c r="G118" s="3540"/>
      <c r="H118" s="3540"/>
      <c r="I118" s="3540"/>
      <c r="J118" s="2835"/>
    </row>
    <row r="119" spans="1:16" ht="12.75">
      <c r="A119" s="3481" t="s">
        <v>2734</v>
      </c>
      <c r="B119" s="3527" t="s">
        <v>2744</v>
      </c>
      <c r="C119" s="3527" t="s">
        <v>2745</v>
      </c>
      <c r="D119" s="3529" t="s">
        <v>2736</v>
      </c>
      <c r="E119" s="3530"/>
      <c r="F119" s="3459" t="s">
        <v>2746</v>
      </c>
      <c r="G119" s="3459"/>
      <c r="H119" s="3459" t="s">
        <v>2737</v>
      </c>
      <c r="I119" s="3531"/>
      <c r="J119" s="2813"/>
    </row>
    <row r="120" spans="1:16" ht="12.75">
      <c r="A120" s="3481"/>
      <c r="B120" s="3528"/>
      <c r="C120" s="3528"/>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118.86</v>
      </c>
      <c r="C121" s="2060">
        <f>项目基本情况!C13</f>
        <v>0</v>
      </c>
      <c r="D121" s="2060">
        <f ca="1">ROUND(IF(B32="总价",C34,IF('数据-取费表'!B3="万元",E121*B121/10000,E121*B121)),0)</f>
        <v>134</v>
      </c>
      <c r="E121" s="2060">
        <f ca="1">ROUND(IF(B32="楼面单价",C34,IF(H19="元",D121/B121,D121*10000/B121)),0)</f>
        <v>11274</v>
      </c>
      <c r="F121" s="2060">
        <f ca="1">ROUND(IF(B32="总价",C35,IF('数据-取费表'!B3="万元",G121*B121/10000,G121*B121)),0)</f>
        <v>82</v>
      </c>
      <c r="G121" s="2060">
        <f ca="1">ROUND(IF(B32="楼面单价",C35,IF(H19="元",F121/B121,F121*10000/B121)),0)</f>
        <v>6899</v>
      </c>
      <c r="H121" s="2060">
        <f ca="1">ROUND(IF(B32="总价",C32,IF('数据-取费表'!B3="万元",I121*B121/10000,I121*B121)),0)</f>
        <v>216</v>
      </c>
      <c r="I121" s="52">
        <f ca="1">ROUND(IF(B32="楼面单价",C32,IF(H19="元",H121/B121,H121*10000/B121)),0)</f>
        <v>18173</v>
      </c>
      <c r="J121" s="2813"/>
    </row>
    <row r="122" spans="1:16" ht="12.75">
      <c r="A122" s="3481" t="s">
        <v>2740</v>
      </c>
      <c r="B122" s="3459"/>
      <c r="C122" s="3459"/>
      <c r="D122" s="3555" t="str">
        <f ca="1">IF(H19="元",NUMBERSTRING(INT(D121),2)&amp;"元整",NUMBERSTRING(INT(D121*10000),2)&amp;"元整")</f>
        <v>壹佰叁拾肆万元整</v>
      </c>
      <c r="E122" s="3556"/>
      <c r="F122" s="3555" t="str">
        <f ca="1">IF(H19="元",NUMBERSTRING(INT(F121),2)&amp;"元整",NUMBERSTRING(INT(F121*10000),2)&amp;"元整")</f>
        <v>捌拾贰万元整</v>
      </c>
      <c r="G122" s="3556"/>
      <c r="H122" s="3555" t="str">
        <f ca="1">IF(H19="元",NUMBERSTRING(INT(H121),2)&amp;"元整",NUMBERSTRING(INT(H121*10000),2)&amp;"元整")</f>
        <v>贰佰壹拾陆万元整</v>
      </c>
      <c r="I122" s="3557"/>
      <c r="J122" s="2836"/>
    </row>
    <row r="123" spans="1:16" ht="12.75">
      <c r="A123" s="3501" t="str">
        <f>IF(项目基本情况!D5="房地产市场价值","——",MID(A108,3,LEN(A108)-2))</f>
        <v>估价师所知悉的法定优先受偿款</v>
      </c>
      <c r="B123" s="3503"/>
      <c r="C123" s="3502"/>
      <c r="D123" s="3508">
        <f>I105</f>
        <v>0</v>
      </c>
      <c r="E123" s="3503"/>
      <c r="F123" s="3503"/>
      <c r="G123" s="3503"/>
      <c r="H123" s="3503"/>
      <c r="I123" s="3504"/>
      <c r="J123" s="2829"/>
    </row>
    <row r="124" spans="1:16" ht="12.75">
      <c r="A124" s="3551" t="s">
        <v>2740</v>
      </c>
      <c r="B124" s="3453"/>
      <c r="C124" s="3456"/>
      <c r="D124" s="3552">
        <f>H109</f>
        <v>0</v>
      </c>
      <c r="E124" s="3553"/>
      <c r="F124" s="3553"/>
      <c r="G124" s="3553"/>
      <c r="H124" s="3553"/>
      <c r="I124" s="3554"/>
      <c r="J124" s="2837"/>
    </row>
    <row r="125" spans="1:16" ht="12.75">
      <c r="A125" s="3509" t="str">
        <f>IF(项目基本情况!D5="房地产市场价值","——",MID(A112,3,LEN(A112)-2))</f>
        <v>房地产抵押价值</v>
      </c>
      <c r="B125" s="3510"/>
      <c r="C125" s="3510"/>
      <c r="D125" s="3508">
        <f ca="1">I110</f>
        <v>216</v>
      </c>
      <c r="E125" s="3503"/>
      <c r="F125" s="3503"/>
      <c r="G125" s="3503"/>
      <c r="H125" s="3503"/>
      <c r="I125" s="3504"/>
      <c r="J125" s="2829"/>
    </row>
    <row r="126" spans="1:16" ht="12.75">
      <c r="A126" s="3481" t="s">
        <v>2740</v>
      </c>
      <c r="B126" s="3459"/>
      <c r="C126" s="3459"/>
      <c r="D126" s="3552">
        <f ca="1">I111</f>
        <v>18173</v>
      </c>
      <c r="E126" s="3553"/>
      <c r="F126" s="3553"/>
      <c r="G126" s="3553"/>
      <c r="H126" s="3553"/>
      <c r="I126" s="3554"/>
      <c r="J126" s="2837"/>
    </row>
    <row r="127" spans="1:16" ht="13.5" thickBot="1">
      <c r="A127" s="3509" t="str">
        <f>IF(项目基本情况!D5="房地产市场价值","——",MID(A114,3,LEN(A114)-2))</f>
        <v/>
      </c>
      <c r="B127" s="3510"/>
      <c r="C127" s="3510"/>
      <c r="D127" s="3444" t="str">
        <f>I112</f>
        <v>——</v>
      </c>
      <c r="E127" s="3445"/>
      <c r="F127" s="3445"/>
      <c r="G127" s="3445"/>
      <c r="H127" s="3445"/>
      <c r="I127" s="3548"/>
      <c r="J127" s="2829"/>
    </row>
    <row r="128" spans="1:16" ht="14.25" thickTop="1" thickBot="1">
      <c r="A128" s="3481" t="s">
        <v>2740</v>
      </c>
      <c r="B128" s="3459"/>
      <c r="C128" s="3455"/>
      <c r="D128" s="3549" t="str">
        <f>I113</f>
        <v>——</v>
      </c>
      <c r="E128" s="3549"/>
      <c r="F128" s="3549"/>
      <c r="G128" s="3549"/>
      <c r="H128" s="3549"/>
      <c r="I128" s="3549"/>
      <c r="J128" s="2837"/>
    </row>
    <row r="129" spans="1:10" ht="14.25" thickTop="1" thickBot="1">
      <c r="A129" s="3509" t="str">
        <f>IF(项目基本情况!D5="房地产市场价值","——",MID(F114,3,LEN(F114)-2))</f>
        <v/>
      </c>
      <c r="B129" s="3510"/>
      <c r="C129" s="3508"/>
      <c r="D129" s="3550" t="str">
        <f>I114</f>
        <v>——</v>
      </c>
      <c r="E129" s="3550"/>
      <c r="F129" s="3550"/>
      <c r="G129" s="3550"/>
      <c r="H129" s="3550"/>
      <c r="I129" s="3550"/>
      <c r="J129" s="2829"/>
    </row>
    <row r="130" spans="1:10" ht="14.25" thickTop="1" thickBot="1">
      <c r="A130" s="3478" t="s">
        <v>2740</v>
      </c>
      <c r="B130" s="3479"/>
      <c r="C130" s="3479"/>
      <c r="D130" s="3541">
        <f>H116</f>
        <v>0</v>
      </c>
      <c r="E130" s="3542"/>
      <c r="F130" s="3542"/>
      <c r="G130" s="3542"/>
      <c r="H130" s="3542"/>
      <c r="I130" s="3543"/>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44" t="str">
        <f>IF(B32="总价","（以上估价结果中楼面单价为总价除以建筑面积得出）","（以上估价结果中总价为楼面单价乘以建筑面积得出）")</f>
        <v>（以上估价结果中楼面单价为总价除以建筑面积得出）</v>
      </c>
      <c r="B132" s="3544"/>
      <c r="C132" s="3544"/>
      <c r="D132" s="3544"/>
      <c r="E132" s="3544"/>
      <c r="F132" s="3544"/>
      <c r="G132" s="3544"/>
      <c r="H132" s="3544"/>
      <c r="I132" s="3544"/>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64</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23772</v>
      </c>
      <c r="D10" s="1141">
        <f>IF('数据-取费表'!B10&lt;&gt;"住宅",IF(B1="仅计算典型户型",'数据-取费表'!E5,'数据-取费表'!B5),0)</f>
        <v>118.86</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118.86</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504798</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451668</v>
      </c>
      <c r="D34" s="1136"/>
      <c r="E34" s="115"/>
      <c r="F34" s="1147" t="str">
        <f>IF('数据-取费表'!B26=0,"",'数据-取费表'!E20)</f>
        <v/>
      </c>
      <c r="G34" s="95"/>
    </row>
    <row r="35" spans="1:123" ht="13.5" customHeight="1">
      <c r="A35" s="92" t="s">
        <v>1867</v>
      </c>
      <c r="B35" s="93" t="s">
        <v>1916</v>
      </c>
      <c r="C35" s="115">
        <f>ROUND(C34*F35,0)</f>
        <v>22583</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23772</v>
      </c>
      <c r="D37" s="1136">
        <f>IF(B1="仅计算典型户型",'数据-取费表'!E5,'数据-取费表'!B5)</f>
        <v>118.86</v>
      </c>
      <c r="E37" s="115">
        <f>'数据-取费表'!E23</f>
        <v>200</v>
      </c>
      <c r="F37" s="1148"/>
      <c r="G37" s="124" t="s">
        <v>1921</v>
      </c>
    </row>
    <row r="38" spans="1:123" ht="13.5" customHeight="1">
      <c r="A38" s="92" t="s">
        <v>1922</v>
      </c>
      <c r="B38" s="93" t="s">
        <v>1923</v>
      </c>
      <c r="C38" s="115">
        <f>ROUND(C34*F38,0)</f>
        <v>6775</v>
      </c>
      <c r="D38" s="115"/>
      <c r="E38" s="115"/>
      <c r="F38" s="1148">
        <f>'数据-取费表'!E24</f>
        <v>1.4999999999999999E-2</v>
      </c>
      <c r="G38" s="95" t="s">
        <v>1917</v>
      </c>
    </row>
    <row r="39" spans="1:123" s="91" customFormat="1" ht="13.5" customHeight="1">
      <c r="A39" s="120" t="s">
        <v>1882</v>
      </c>
      <c r="B39" s="89" t="s">
        <v>1885</v>
      </c>
      <c r="C39" s="99">
        <f>ROUND(C33*F20,0)</f>
        <v>15144</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21838</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21202</v>
      </c>
      <c r="D42" s="104"/>
      <c r="E42" s="104"/>
      <c r="F42" s="105"/>
      <c r="G42" s="3578" t="s">
        <v>1927</v>
      </c>
    </row>
    <row r="43" spans="1:123" ht="13.5" customHeight="1">
      <c r="A43" s="92" t="s">
        <v>1867</v>
      </c>
      <c r="B43" s="93" t="s">
        <v>1896</v>
      </c>
      <c r="C43" s="104">
        <f ca="1">ROUND(IF('数据-取费表'!B24&lt;=1,C39*F22*'数据-取费表'!B23/2,C39*(POWER((1+F22),'数据-取费表'!B23/2)-1)),0)</f>
        <v>636</v>
      </c>
      <c r="D43" s="104"/>
      <c r="E43" s="104"/>
      <c r="F43" s="105"/>
      <c r="G43" s="3579"/>
    </row>
    <row r="44" spans="1:123" ht="13.5" customHeight="1">
      <c r="A44" s="92" t="s">
        <v>1869</v>
      </c>
      <c r="B44" s="93" t="s">
        <v>1898</v>
      </c>
      <c r="C44" s="104">
        <f ca="1">ROUND(IF('数据-取费表'!B24&lt;=1,C40*F22*'数据-取费表'!B23/2,C40*(POWER((1+F22),'数据-取费表'!B23/2)-1)),4)</f>
        <v>1.2999999999999999E-3</v>
      </c>
      <c r="D44" s="104"/>
      <c r="E44" s="104"/>
      <c r="F44" s="105"/>
      <c r="G44" s="3580"/>
    </row>
    <row r="45" spans="1:123" s="91" customFormat="1" ht="13.5" customHeight="1">
      <c r="A45" s="120" t="s">
        <v>1891</v>
      </c>
      <c r="B45" s="110" t="s">
        <v>1903</v>
      </c>
      <c r="C45" s="111">
        <f>C46</f>
        <v>103988</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103988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709401</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638461</v>
      </c>
      <c r="D51" s="99"/>
      <c r="E51" s="99"/>
      <c r="F51" s="126"/>
      <c r="G51" s="100" t="s">
        <v>1941</v>
      </c>
    </row>
    <row r="52" spans="1:123" s="88" customFormat="1" ht="16.5" thickBot="1">
      <c r="A52" s="127" t="s">
        <v>1942</v>
      </c>
      <c r="B52" s="128"/>
      <c r="C52" s="129">
        <f ca="1">C31+C51</f>
        <v>638461</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267</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22487</v>
      </c>
      <c r="C3" s="1369" t="s">
        <v>1232</v>
      </c>
      <c r="D3" s="922"/>
      <c r="E3" s="922"/>
      <c r="F3" s="922"/>
      <c r="G3" s="922"/>
      <c r="H3" s="922"/>
      <c r="I3" s="922"/>
      <c r="J3" s="922"/>
      <c r="K3" s="922"/>
    </row>
    <row r="4" spans="1:33" s="143" customFormat="1" ht="16.5" customHeight="1">
      <c r="A4" s="140" t="s">
        <v>1233</v>
      </c>
      <c r="B4" s="141"/>
      <c r="C4" s="1092">
        <f>SUM(C8:K8)</f>
        <v>4160100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118.86</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4160100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451668</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22583</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2377</v>
      </c>
      <c r="D14" s="164">
        <f>IF(C1="仅计算典型户型",'数据-取费表'!E5,'数据-取费表'!B5)</f>
        <v>118.86</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6775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483403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118.86</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23772</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23772</v>
      </c>
      <c r="D20" s="164">
        <f>IF('数据-取费表'!B10&lt;&gt;"住宅",IF(C1="仅计算典型户型",'数据-取费表'!E5,'数据-取费表'!B5),0)</f>
        <v>118.86</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507175</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15215</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12480</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106974</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106974</v>
      </c>
      <c r="D30" s="193"/>
      <c r="E30" s="206"/>
      <c r="F30" s="203"/>
      <c r="G30" s="147"/>
      <c r="H30" s="170"/>
      <c r="I30" s="170"/>
      <c r="J30" s="170"/>
      <c r="K30" s="171"/>
    </row>
    <row r="31" spans="1:33" s="182" customFormat="1" ht="13.5" customHeight="1" thickBot="1">
      <c r="A31" s="1371" t="s">
        <v>1289</v>
      </c>
      <c r="B31" s="177" t="s">
        <v>1290</v>
      </c>
      <c r="C31" s="207">
        <f>ROUND(C4*F31/(1+'数据-取费表'!F30),0)</f>
        <v>217910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2672778</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7" t="s">
        <v>2837</v>
      </c>
      <c r="K2" s="3588"/>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9" t="s">
        <v>2847</v>
      </c>
      <c r="K3" s="3590"/>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9" t="s">
        <v>2849</v>
      </c>
      <c r="K4" s="3590"/>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95" t="s">
        <v>2853</v>
      </c>
      <c r="B6" s="3596"/>
      <c r="C6" s="3597"/>
      <c r="D6" s="3204"/>
      <c r="E6" s="3148"/>
      <c r="F6" s="3149"/>
      <c r="G6" s="3249"/>
      <c r="H6" s="3235"/>
      <c r="I6" s="3236"/>
      <c r="J6" s="3581">
        <v>1</v>
      </c>
      <c r="K6" s="3582"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81"/>
      <c r="K7" s="3583"/>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8" t="s">
        <v>2866</v>
      </c>
      <c r="C8" s="3599"/>
      <c r="D8" s="3158" t="s">
        <v>2867</v>
      </c>
      <c r="E8" s="3159" t="s">
        <v>2868</v>
      </c>
      <c r="F8" s="3142" t="s">
        <v>2869</v>
      </c>
      <c r="G8" s="3312" t="s">
        <v>2977</v>
      </c>
      <c r="H8" s="3235"/>
      <c r="I8" s="3236"/>
      <c r="J8" s="3581"/>
      <c r="K8" s="3583"/>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8" t="s">
        <v>2871</v>
      </c>
      <c r="C9" s="3599"/>
      <c r="D9" s="3158">
        <f>ROUND(D6*E9,0)</f>
        <v>0</v>
      </c>
      <c r="E9" s="3205"/>
      <c r="F9" s="3160" t="s">
        <v>2872</v>
      </c>
      <c r="G9" s="3258" t="s">
        <v>2975</v>
      </c>
      <c r="H9" s="3235"/>
      <c r="I9" s="3236"/>
      <c r="J9" s="3581"/>
      <c r="K9" s="3583"/>
      <c r="L9" s="3253" t="s">
        <v>2965</v>
      </c>
      <c r="M9" s="3254"/>
      <c r="N9" s="3254"/>
      <c r="O9" s="3255"/>
      <c r="P9" s="3255"/>
      <c r="Q9" s="3256">
        <v>365</v>
      </c>
      <c r="R9" s="3257">
        <f t="shared" si="0"/>
        <v>0</v>
      </c>
      <c r="S9" s="3233"/>
      <c r="T9" s="3233"/>
      <c r="U9" s="3233"/>
      <c r="V9" s="3236"/>
      <c r="W9" s="3235"/>
    </row>
    <row r="10" spans="1:23" s="3141" customFormat="1" ht="13.15" customHeight="1">
      <c r="A10" s="3157">
        <v>2</v>
      </c>
      <c r="B10" s="3598" t="s">
        <v>2873</v>
      </c>
      <c r="C10" s="3599"/>
      <c r="D10" s="3158">
        <f>ROUND(D6*E10,0)</f>
        <v>0</v>
      </c>
      <c r="E10" s="3205"/>
      <c r="F10" s="3160" t="s">
        <v>2874</v>
      </c>
      <c r="G10" s="3258" t="s">
        <v>2976</v>
      </c>
      <c r="H10" s="3235"/>
      <c r="I10" s="3236"/>
      <c r="J10" s="3581"/>
      <c r="K10" s="3583"/>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8" t="s">
        <v>2875</v>
      </c>
      <c r="C11" s="3599"/>
      <c r="D11" s="3158">
        <f>D12+D14+D15+D16</f>
        <v>0</v>
      </c>
      <c r="E11" s="3161" t="e">
        <f>D11/D6</f>
        <v>#DIV/0!</v>
      </c>
      <c r="F11" s="3142"/>
      <c r="G11" s="3258"/>
      <c r="H11" s="3235"/>
      <c r="I11" s="3236"/>
      <c r="J11" s="3581"/>
      <c r="K11" s="3583"/>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91" t="s">
        <v>2877</v>
      </c>
      <c r="C12" s="3592"/>
      <c r="D12" s="3163">
        <f>ROUND(D13*1.2%*(1-30%),0)</f>
        <v>0</v>
      </c>
      <c r="E12" s="3164">
        <v>1.2E-2</v>
      </c>
      <c r="F12" s="3142" t="s">
        <v>2878</v>
      </c>
      <c r="G12" s="3258"/>
      <c r="H12" s="3235"/>
      <c r="I12" s="3236"/>
      <c r="J12" s="3581"/>
      <c r="K12" s="3583"/>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81"/>
      <c r="K13" s="3583"/>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91" t="s">
        <v>2881</v>
      </c>
      <c r="C14" s="3592"/>
      <c r="D14" s="3163">
        <f>ROUND(E14*B5/10000,0)</f>
        <v>0</v>
      </c>
      <c r="E14" s="3207"/>
      <c r="F14" s="3142" t="s">
        <v>2882</v>
      </c>
      <c r="G14" s="3258"/>
      <c r="H14" s="3235"/>
      <c r="I14" s="3236"/>
      <c r="J14" s="3581"/>
      <c r="K14" s="3584"/>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91" t="s">
        <v>2885</v>
      </c>
      <c r="C15" s="3592"/>
      <c r="D15" s="3163">
        <f>ROUND(D6*E15,0)</f>
        <v>0</v>
      </c>
      <c r="E15" s="3164">
        <v>5.5E-2</v>
      </c>
      <c r="F15" s="3142" t="s">
        <v>2886</v>
      </c>
      <c r="G15" s="3258"/>
      <c r="H15" s="3235"/>
      <c r="I15" s="3236"/>
      <c r="J15" s="3581">
        <v>2</v>
      </c>
      <c r="K15" s="3582"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91" t="s">
        <v>2896</v>
      </c>
      <c r="C16" s="3592"/>
      <c r="D16" s="3208">
        <f>D6*E16</f>
        <v>0</v>
      </c>
      <c r="E16" s="3209"/>
      <c r="F16" s="3160" t="s">
        <v>2897</v>
      </c>
      <c r="G16" s="3258"/>
      <c r="H16" s="3235"/>
      <c r="I16" s="3236"/>
      <c r="J16" s="3581"/>
      <c r="K16" s="3583"/>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3" t="s">
        <v>2898</v>
      </c>
      <c r="C17" s="3594"/>
      <c r="D17" s="3169">
        <f>ROUND(D6*E17,0)</f>
        <v>0</v>
      </c>
      <c r="E17" s="3210"/>
      <c r="F17" s="3170" t="s">
        <v>2899</v>
      </c>
      <c r="G17" s="3311">
        <v>0.1</v>
      </c>
      <c r="H17" s="3235"/>
      <c r="I17" s="3236"/>
      <c r="J17" s="3581"/>
      <c r="K17" s="3583"/>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81"/>
      <c r="K18" s="3583"/>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81"/>
      <c r="K19" s="3584"/>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1">
        <v>3</v>
      </c>
      <c r="K20" s="3582"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81"/>
      <c r="K21" s="3583"/>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81"/>
      <c r="K22" s="3583"/>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81"/>
      <c r="K23" s="3583"/>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81"/>
      <c r="K24" s="3584"/>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85">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86"/>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7" t="s">
        <v>2935</v>
      </c>
      <c r="K32" s="3588"/>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9" t="s">
        <v>2939</v>
      </c>
      <c r="K33" s="3590"/>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9" t="s">
        <v>2941</v>
      </c>
      <c r="K34" s="3590"/>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81">
        <v>1</v>
      </c>
      <c r="K36" s="3582"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81"/>
      <c r="K37" s="3583"/>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1"/>
      <c r="K38" s="3583"/>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81"/>
      <c r="K39" s="3583"/>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81"/>
      <c r="K40" s="3584"/>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5">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86"/>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118.86</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17"/>
      <c r="B4" s="3618"/>
      <c r="C4" s="3618"/>
      <c r="D4" s="3619"/>
      <c r="E4" s="3619"/>
      <c r="F4" s="3619"/>
      <c r="G4" s="3619"/>
      <c r="H4" s="3619"/>
      <c r="I4" s="3619"/>
      <c r="J4" s="3620"/>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21"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22"/>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15" t="s">
        <v>2473</v>
      </c>
      <c r="X8" s="3616"/>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22"/>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16"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22"/>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1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22"/>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16"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21"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16"/>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23"/>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16"/>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23"/>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24"/>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00">
        <f>IF(E2="办公",2,IF(E2="工业",2,IF(E2="住宅",3,IF(E2="商业",IF(C8="不临58条商业街",2,3)))))</f>
        <v>2</v>
      </c>
      <c r="B16" s="1599" t="s">
        <v>2519</v>
      </c>
      <c r="C16" s="1575">
        <f>ROUND(IF(F17="与级别开发程度一致",0,(G17-E17)/C17),0)</f>
        <v>0</v>
      </c>
      <c r="D16" s="3613" t="s">
        <v>2523</v>
      </c>
      <c r="E16" s="3614"/>
      <c r="F16" s="3613" t="s">
        <v>2520</v>
      </c>
      <c r="G16" s="3614"/>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01"/>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44663</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0.95040000000000002</v>
      </c>
      <c r="D20" s="2170" t="s">
        <v>2535</v>
      </c>
      <c r="E20" s="3122">
        <f>存贷款利率!E18/100</f>
        <v>4.3499999999999997E-2</v>
      </c>
      <c r="F20" s="2170" t="s">
        <v>2524</v>
      </c>
      <c r="G20" s="3123">
        <f>SUMIF(M26:P26,E2,M28:P28)</f>
        <v>5.1999999999999998E-2</v>
      </c>
      <c r="H20" s="2170" t="s">
        <v>2536</v>
      </c>
      <c r="I20" s="2171">
        <f>'数据-取费表'!B13</f>
        <v>41.02</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118.86</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10"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11"/>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11"/>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12"/>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02" t="s">
        <v>2618</v>
      </c>
      <c r="B90" s="3602"/>
      <c r="C90" s="3602"/>
      <c r="D90" s="3602"/>
      <c r="E90" s="3602"/>
      <c r="F90" s="3602"/>
      <c r="G90" s="3602"/>
      <c r="H90" s="3602"/>
      <c r="I90" s="3602"/>
      <c r="J90" s="3602"/>
      <c r="K90" s="2274"/>
      <c r="L90" s="2274"/>
      <c r="M90" s="2274"/>
      <c r="N90" s="2274"/>
      <c r="Q90" s="3025"/>
      <c r="R90" s="3025"/>
      <c r="S90" s="3025"/>
      <c r="T90" s="3025"/>
      <c r="U90" s="3025"/>
      <c r="V90" s="3025"/>
      <c r="W90" s="3025"/>
    </row>
    <row r="91" spans="1:33">
      <c r="A91" s="3604" t="s">
        <v>2619</v>
      </c>
      <c r="B91" s="3604"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604"/>
      <c r="B92" s="3604"/>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05"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0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0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0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0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0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06"/>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0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05"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06"/>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06"/>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06"/>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06"/>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06"/>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06"/>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06"/>
      <c r="B108" s="3608"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07"/>
      <c r="B109" s="3609"/>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03" t="s">
        <v>2626</v>
      </c>
      <c r="B110" s="3603"/>
      <c r="C110" s="3603"/>
      <c r="D110" s="3603"/>
      <c r="E110" s="3603"/>
      <c r="F110" s="3603"/>
      <c r="G110" s="3603"/>
      <c r="H110" s="3603"/>
      <c r="I110" s="3603"/>
      <c r="J110" s="3603"/>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118.86</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28" t="s">
        <v>2187</v>
      </c>
      <c r="D4" s="3629"/>
      <c r="E4" s="3630" t="s">
        <v>2188</v>
      </c>
      <c r="F4" s="3631"/>
      <c r="G4" s="3628" t="s">
        <v>2189</v>
      </c>
      <c r="H4" s="3629"/>
      <c r="I4" s="3628" t="s">
        <v>2190</v>
      </c>
      <c r="J4" s="3629"/>
      <c r="K4" s="1633" t="s">
        <v>2191</v>
      </c>
      <c r="L4" s="2964"/>
      <c r="M4" s="2965"/>
      <c r="N4" s="2965"/>
      <c r="O4" s="2965"/>
      <c r="P4" s="3632" t="s">
        <v>2192</v>
      </c>
      <c r="Q4" s="3633"/>
      <c r="R4" s="3638" t="s">
        <v>2188</v>
      </c>
      <c r="S4" s="3639"/>
      <c r="T4" s="3638" t="s">
        <v>2189</v>
      </c>
      <c r="U4" s="3639"/>
      <c r="V4" s="3644" t="s">
        <v>2190</v>
      </c>
      <c r="W4" s="3644"/>
      <c r="X4" s="1634"/>
      <c r="Y4" s="3638" t="s">
        <v>2192</v>
      </c>
      <c r="Z4" s="3639"/>
      <c r="AA4" s="3625" t="s">
        <v>2188</v>
      </c>
      <c r="AB4" s="3625" t="s">
        <v>2189</v>
      </c>
      <c r="AC4" s="3625" t="s">
        <v>2190</v>
      </c>
    </row>
    <row r="5" spans="1:29" ht="15">
      <c r="A5" s="1636"/>
      <c r="B5" s="1637"/>
      <c r="C5" s="3647" t="s">
        <v>2193</v>
      </c>
      <c r="D5" s="3648"/>
      <c r="E5" s="3645" t="s">
        <v>2194</v>
      </c>
      <c r="F5" s="3646"/>
      <c r="G5" s="3647" t="s">
        <v>2195</v>
      </c>
      <c r="H5" s="3648"/>
      <c r="I5" s="3647" t="s">
        <v>2196</v>
      </c>
      <c r="J5" s="3648"/>
      <c r="K5" s="1638"/>
      <c r="L5" s="2964"/>
      <c r="M5" s="2965"/>
      <c r="N5" s="2965"/>
      <c r="O5" s="2965"/>
      <c r="P5" s="3634"/>
      <c r="Q5" s="3635"/>
      <c r="R5" s="3640"/>
      <c r="S5" s="3641"/>
      <c r="T5" s="3640"/>
      <c r="U5" s="3641"/>
      <c r="V5" s="3644"/>
      <c r="W5" s="3644"/>
      <c r="X5" s="1634"/>
      <c r="Y5" s="3640"/>
      <c r="Z5" s="3641"/>
      <c r="AA5" s="3626"/>
      <c r="AB5" s="3626"/>
      <c r="AC5" s="3626"/>
    </row>
    <row r="6" spans="1:29" ht="15.75" thickBot="1">
      <c r="A6" s="1639"/>
      <c r="B6" s="1640"/>
      <c r="C6" s="3649" t="s">
        <v>2197</v>
      </c>
      <c r="D6" s="3650"/>
      <c r="E6" s="3651" t="s">
        <v>2197</v>
      </c>
      <c r="F6" s="3652"/>
      <c r="G6" s="3649" t="s">
        <v>2197</v>
      </c>
      <c r="H6" s="3650"/>
      <c r="I6" s="3649" t="s">
        <v>2197</v>
      </c>
      <c r="J6" s="3650"/>
      <c r="K6" s="1638" t="s">
        <v>2198</v>
      </c>
      <c r="L6" s="2964"/>
      <c r="M6" s="2965"/>
      <c r="N6" s="2965"/>
      <c r="O6" s="2965"/>
      <c r="P6" s="3636"/>
      <c r="Q6" s="3637"/>
      <c r="R6" s="3640"/>
      <c r="S6" s="3641"/>
      <c r="T6" s="3642"/>
      <c r="U6" s="3643"/>
      <c r="V6" s="3644"/>
      <c r="W6" s="3644"/>
      <c r="X6" s="1634"/>
      <c r="Y6" s="3642"/>
      <c r="Z6" s="3643"/>
      <c r="AA6" s="3627"/>
      <c r="AB6" s="3627"/>
      <c r="AC6" s="3627"/>
    </row>
    <row r="7" spans="1:29" s="1653" customFormat="1" ht="15.75" thickBot="1">
      <c r="A7" s="1641" t="s">
        <v>2199</v>
      </c>
      <c r="B7" s="1642"/>
      <c r="C7" s="1643">
        <f>'数据-取费表'!B2</f>
        <v>44663</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60" t="s">
        <v>2200</v>
      </c>
      <c r="Q7" s="3662"/>
      <c r="R7" s="1649" t="s">
        <v>34</v>
      </c>
      <c r="S7" s="1650">
        <f t="shared" ref="S7:S15" si="0">F7</f>
        <v>0</v>
      </c>
      <c r="T7" s="1649" t="s">
        <v>34</v>
      </c>
      <c r="U7" s="1650">
        <f t="shared" ref="U7:U15" si="1">H7</f>
        <v>0</v>
      </c>
      <c r="V7" s="1649" t="s">
        <v>34</v>
      </c>
      <c r="W7" s="1650">
        <f t="shared" ref="W7:W15" si="2">J7</f>
        <v>0</v>
      </c>
      <c r="X7" s="1651"/>
      <c r="Y7" s="3660" t="s">
        <v>2200</v>
      </c>
      <c r="Z7" s="3661"/>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60" t="s">
        <v>2203</v>
      </c>
      <c r="Q8" s="3661"/>
      <c r="R8" s="1649" t="s">
        <v>34</v>
      </c>
      <c r="S8" s="1650">
        <f t="shared" si="0"/>
        <v>0</v>
      </c>
      <c r="T8" s="1649" t="s">
        <v>34</v>
      </c>
      <c r="U8" s="1650">
        <f t="shared" si="1"/>
        <v>0</v>
      </c>
      <c r="V8" s="1649" t="s">
        <v>34</v>
      </c>
      <c r="W8" s="1650">
        <f t="shared" si="2"/>
        <v>0</v>
      </c>
      <c r="X8" s="1651"/>
      <c r="Y8" s="3660" t="s">
        <v>2203</v>
      </c>
      <c r="Z8" s="3661"/>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63" t="s">
        <v>2206</v>
      </c>
      <c r="Q9" s="160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63"/>
      <c r="Q10" s="1603" t="str">
        <f t="shared" si="6"/>
        <v>土地使用年限（年）</v>
      </c>
      <c r="R10" s="1649" t="s">
        <v>25</v>
      </c>
      <c r="S10" s="1650">
        <f t="shared" si="0"/>
        <v>100</v>
      </c>
      <c r="T10" s="1649" t="s">
        <v>25</v>
      </c>
      <c r="U10" s="1650">
        <f t="shared" si="1"/>
        <v>100</v>
      </c>
      <c r="V10" s="1649" t="s">
        <v>25</v>
      </c>
      <c r="W10" s="1650">
        <f t="shared" si="2"/>
        <v>100</v>
      </c>
      <c r="X10" s="1651"/>
      <c r="Y10" s="3440"/>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63"/>
      <c r="Q11" s="1603" t="str">
        <f t="shared" si="6"/>
        <v>容积率</v>
      </c>
      <c r="R11" s="1649" t="s">
        <v>28</v>
      </c>
      <c r="S11" s="1650" t="e">
        <f t="shared" si="0"/>
        <v>#N/A</v>
      </c>
      <c r="T11" s="1649" t="s">
        <v>28</v>
      </c>
      <c r="U11" s="1650" t="e">
        <f t="shared" si="1"/>
        <v>#N/A</v>
      </c>
      <c r="V11" s="1649" t="s">
        <v>28</v>
      </c>
      <c r="W11" s="1650" t="e">
        <f t="shared" si="2"/>
        <v>#N/A</v>
      </c>
      <c r="X11" s="1651"/>
      <c r="Y11" s="3440"/>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63"/>
      <c r="Q12" s="1603">
        <f t="shared" si="6"/>
        <v>111</v>
      </c>
      <c r="R12" s="1649" t="s">
        <v>28</v>
      </c>
      <c r="S12" s="1650">
        <f t="shared" si="0"/>
        <v>100</v>
      </c>
      <c r="T12" s="1649" t="s">
        <v>28</v>
      </c>
      <c r="U12" s="1650">
        <f t="shared" si="1"/>
        <v>100</v>
      </c>
      <c r="V12" s="1649" t="s">
        <v>28</v>
      </c>
      <c r="W12" s="1650">
        <f t="shared" si="2"/>
        <v>100</v>
      </c>
      <c r="X12" s="1651"/>
      <c r="Y12" s="3440"/>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63"/>
      <c r="Q13" s="1603">
        <f t="shared" si="6"/>
        <v>111</v>
      </c>
      <c r="R13" s="1649" t="s">
        <v>28</v>
      </c>
      <c r="S13" s="1650">
        <f t="shared" si="0"/>
        <v>100</v>
      </c>
      <c r="T13" s="1649" t="s">
        <v>28</v>
      </c>
      <c r="U13" s="1650">
        <f t="shared" si="1"/>
        <v>100</v>
      </c>
      <c r="V13" s="1649" t="s">
        <v>28</v>
      </c>
      <c r="W13" s="1650">
        <f t="shared" si="2"/>
        <v>100</v>
      </c>
      <c r="X13" s="1651"/>
      <c r="Y13" s="3440"/>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63"/>
      <c r="Q14" s="1603">
        <f t="shared" si="6"/>
        <v>111</v>
      </c>
      <c r="R14" s="1649" t="s">
        <v>28</v>
      </c>
      <c r="S14" s="1650">
        <f t="shared" si="0"/>
        <v>100</v>
      </c>
      <c r="T14" s="1649" t="s">
        <v>28</v>
      </c>
      <c r="U14" s="1650">
        <f t="shared" si="1"/>
        <v>100</v>
      </c>
      <c r="V14" s="1649" t="s">
        <v>28</v>
      </c>
      <c r="W14" s="1650">
        <f t="shared" si="2"/>
        <v>100</v>
      </c>
      <c r="X14" s="1651"/>
      <c r="Y14" s="3440"/>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66" t="s">
        <v>2211</v>
      </c>
      <c r="Q15" s="1584" t="str">
        <f t="shared" si="6"/>
        <v>居住社区成熟度</v>
      </c>
      <c r="R15" s="1694" t="s">
        <v>28</v>
      </c>
      <c r="S15" s="1695">
        <f t="shared" si="0"/>
        <v>100</v>
      </c>
      <c r="T15" s="1694" t="s">
        <v>28</v>
      </c>
      <c r="U15" s="1695">
        <f t="shared" si="1"/>
        <v>100</v>
      </c>
      <c r="V15" s="1694" t="s">
        <v>28</v>
      </c>
      <c r="W15" s="1695">
        <f t="shared" si="2"/>
        <v>100</v>
      </c>
      <c r="X15" s="1634"/>
      <c r="Y15" s="3653"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67"/>
      <c r="Q16" s="1584"/>
      <c r="R16" s="1694"/>
      <c r="S16" s="1695"/>
      <c r="T16" s="1694"/>
      <c r="U16" s="1695"/>
      <c r="V16" s="1694"/>
      <c r="W16" s="1695"/>
      <c r="X16" s="1634"/>
      <c r="Y16" s="3654"/>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67"/>
      <c r="Q17" s="1584" t="str">
        <f>B17</f>
        <v>交通便捷度</v>
      </c>
      <c r="R17" s="1694" t="s">
        <v>28</v>
      </c>
      <c r="S17" s="1695">
        <f>F17</f>
        <v>100</v>
      </c>
      <c r="T17" s="1694" t="s">
        <v>28</v>
      </c>
      <c r="U17" s="1695">
        <f>H17</f>
        <v>100</v>
      </c>
      <c r="V17" s="1694" t="s">
        <v>28</v>
      </c>
      <c r="W17" s="1695">
        <f>J17</f>
        <v>100</v>
      </c>
      <c r="X17" s="1634"/>
      <c r="Y17" s="3654"/>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67"/>
      <c r="Q18" s="1584"/>
      <c r="R18" s="1694"/>
      <c r="S18" s="1695"/>
      <c r="T18" s="1694"/>
      <c r="U18" s="1695"/>
      <c r="V18" s="1694"/>
      <c r="W18" s="1695"/>
      <c r="X18" s="1634"/>
      <c r="Y18" s="3654"/>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67"/>
      <c r="Q19" s="1584" t="str">
        <f>B19</f>
        <v>公共配套设施</v>
      </c>
      <c r="R19" s="1694" t="s">
        <v>28</v>
      </c>
      <c r="S19" s="1695">
        <f>F19</f>
        <v>100</v>
      </c>
      <c r="T19" s="1694" t="s">
        <v>28</v>
      </c>
      <c r="U19" s="1695">
        <f>H19</f>
        <v>100</v>
      </c>
      <c r="V19" s="1694" t="s">
        <v>28</v>
      </c>
      <c r="W19" s="1695">
        <f>J19</f>
        <v>100</v>
      </c>
      <c r="X19" s="1634"/>
      <c r="Y19" s="3654"/>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67"/>
      <c r="Q20" s="1584"/>
      <c r="R20" s="1694"/>
      <c r="S20" s="1695"/>
      <c r="T20" s="1694"/>
      <c r="U20" s="1695"/>
      <c r="V20" s="1694"/>
      <c r="W20" s="1695"/>
      <c r="X20" s="1634"/>
      <c r="Y20" s="3654"/>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67"/>
      <c r="Q21" s="1584" t="str">
        <f>B21</f>
        <v>基础设施水平</v>
      </c>
      <c r="R21" s="1694" t="s">
        <v>28</v>
      </c>
      <c r="S21" s="1695">
        <f>F21</f>
        <v>100</v>
      </c>
      <c r="T21" s="1694" t="s">
        <v>28</v>
      </c>
      <c r="U21" s="1695">
        <f>H21</f>
        <v>100</v>
      </c>
      <c r="V21" s="1694" t="s">
        <v>28</v>
      </c>
      <c r="W21" s="1695">
        <f>J21</f>
        <v>100</v>
      </c>
      <c r="X21" s="1634"/>
      <c r="Y21" s="3654"/>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67"/>
      <c r="Q22" s="1584"/>
      <c r="R22" s="1694"/>
      <c r="S22" s="1695"/>
      <c r="T22" s="1694"/>
      <c r="U22" s="1695"/>
      <c r="V22" s="1694"/>
      <c r="W22" s="1695"/>
      <c r="X22" s="1634"/>
      <c r="Y22" s="3654"/>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67"/>
      <c r="Q23" s="1584" t="str">
        <f>B23</f>
        <v>自然及人文环境</v>
      </c>
      <c r="R23" s="1694" t="s">
        <v>28</v>
      </c>
      <c r="S23" s="1695">
        <f>F23</f>
        <v>100</v>
      </c>
      <c r="T23" s="1694" t="s">
        <v>28</v>
      </c>
      <c r="U23" s="1695">
        <f>H23</f>
        <v>100</v>
      </c>
      <c r="V23" s="1694" t="s">
        <v>28</v>
      </c>
      <c r="W23" s="1695">
        <f>J23</f>
        <v>100</v>
      </c>
      <c r="X23" s="1634"/>
      <c r="Y23" s="3654"/>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67"/>
      <c r="Q24" s="1584"/>
      <c r="R24" s="1694"/>
      <c r="S24" s="1695"/>
      <c r="T24" s="1694"/>
      <c r="U24" s="1695"/>
      <c r="V24" s="1694"/>
      <c r="W24" s="1695"/>
      <c r="X24" s="1634"/>
      <c r="Y24" s="3654"/>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67"/>
      <c r="Q25" s="1584" t="str">
        <f t="shared" ref="Q25:Q46" si="11">B25</f>
        <v>楼层-1</v>
      </c>
      <c r="R25" s="1694" t="s">
        <v>28</v>
      </c>
      <c r="S25" s="1695">
        <f>F25</f>
        <v>100</v>
      </c>
      <c r="T25" s="1694" t="s">
        <v>28</v>
      </c>
      <c r="U25" s="1695">
        <f>H25</f>
        <v>100</v>
      </c>
      <c r="V25" s="1694" t="s">
        <v>28</v>
      </c>
      <c r="W25" s="1695">
        <f>J25</f>
        <v>100</v>
      </c>
      <c r="X25" s="1634"/>
      <c r="Y25" s="3654"/>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67"/>
      <c r="Q26" s="1584" t="str">
        <f t="shared" si="11"/>
        <v>朝向</v>
      </c>
      <c r="R26" s="1694" t="s">
        <v>28</v>
      </c>
      <c r="S26" s="1695">
        <f>F26</f>
        <v>100</v>
      </c>
      <c r="T26" s="1694" t="s">
        <v>28</v>
      </c>
      <c r="U26" s="1695">
        <f>H26</f>
        <v>100</v>
      </c>
      <c r="V26" s="1694" t="s">
        <v>28</v>
      </c>
      <c r="W26" s="1695">
        <f>J26</f>
        <v>100</v>
      </c>
      <c r="X26" s="1634"/>
      <c r="Y26" s="3654"/>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67"/>
      <c r="Q27" s="1603" t="str">
        <f t="shared" si="11"/>
        <v>道路级别</v>
      </c>
      <c r="R27" s="1649" t="s">
        <v>28</v>
      </c>
      <c r="S27" s="1650">
        <f>F27</f>
        <v>100</v>
      </c>
      <c r="T27" s="1649" t="s">
        <v>28</v>
      </c>
      <c r="U27" s="1650">
        <f>H27</f>
        <v>100</v>
      </c>
      <c r="V27" s="1649" t="s">
        <v>28</v>
      </c>
      <c r="W27" s="1650">
        <f>J27</f>
        <v>100</v>
      </c>
      <c r="X27" s="1651"/>
      <c r="Y27" s="3654"/>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67"/>
      <c r="Q28" s="1584">
        <f t="shared" si="11"/>
        <v>111</v>
      </c>
      <c r="R28" s="1694" t="s">
        <v>28</v>
      </c>
      <c r="S28" s="1695">
        <f t="shared" ref="S28:S46" si="12">F28</f>
        <v>100</v>
      </c>
      <c r="T28" s="1694" t="s">
        <v>28</v>
      </c>
      <c r="U28" s="1695">
        <f t="shared" ref="U28:U46" si="13">H28</f>
        <v>100</v>
      </c>
      <c r="V28" s="1694" t="s">
        <v>28</v>
      </c>
      <c r="W28" s="1695">
        <f t="shared" ref="W28:W46" si="14">J28</f>
        <v>100</v>
      </c>
      <c r="X28" s="1634"/>
      <c r="Y28" s="3654"/>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67"/>
      <c r="Q29" s="1584">
        <f t="shared" si="11"/>
        <v>111</v>
      </c>
      <c r="R29" s="1694" t="s">
        <v>28</v>
      </c>
      <c r="S29" s="1695">
        <f t="shared" si="12"/>
        <v>100</v>
      </c>
      <c r="T29" s="1694" t="s">
        <v>28</v>
      </c>
      <c r="U29" s="1695">
        <f t="shared" si="13"/>
        <v>100</v>
      </c>
      <c r="V29" s="1694" t="s">
        <v>28</v>
      </c>
      <c r="W29" s="1695">
        <f t="shared" si="14"/>
        <v>100</v>
      </c>
      <c r="X29" s="1634"/>
      <c r="Y29" s="3654"/>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67"/>
      <c r="Q30" s="1584">
        <f t="shared" si="11"/>
        <v>111</v>
      </c>
      <c r="R30" s="1694" t="s">
        <v>28</v>
      </c>
      <c r="S30" s="1695">
        <f t="shared" si="12"/>
        <v>100</v>
      </c>
      <c r="T30" s="1694" t="s">
        <v>28</v>
      </c>
      <c r="U30" s="1695">
        <f t="shared" si="13"/>
        <v>100</v>
      </c>
      <c r="V30" s="1694" t="s">
        <v>28</v>
      </c>
      <c r="W30" s="1695">
        <f t="shared" si="14"/>
        <v>100</v>
      </c>
      <c r="X30" s="1634"/>
      <c r="Y30" s="3654"/>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67"/>
      <c r="Q31" s="1584">
        <f t="shared" si="11"/>
        <v>111</v>
      </c>
      <c r="R31" s="1694" t="s">
        <v>28</v>
      </c>
      <c r="S31" s="1695">
        <f t="shared" si="12"/>
        <v>100</v>
      </c>
      <c r="T31" s="1694" t="s">
        <v>28</v>
      </c>
      <c r="U31" s="1695">
        <f t="shared" si="13"/>
        <v>100</v>
      </c>
      <c r="V31" s="1694" t="s">
        <v>28</v>
      </c>
      <c r="W31" s="1695">
        <f t="shared" si="14"/>
        <v>100</v>
      </c>
      <c r="X31" s="1634"/>
      <c r="Y31" s="3654"/>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55" t="s">
        <v>2217</v>
      </c>
      <c r="Q32" s="1584" t="str">
        <f t="shared" si="11"/>
        <v>建筑类型</v>
      </c>
      <c r="R32" s="1694" t="s">
        <v>28</v>
      </c>
      <c r="S32" s="1695">
        <f t="shared" si="12"/>
        <v>100</v>
      </c>
      <c r="T32" s="1694" t="s">
        <v>28</v>
      </c>
      <c r="U32" s="1695">
        <f t="shared" si="13"/>
        <v>100</v>
      </c>
      <c r="V32" s="1694" t="s">
        <v>28</v>
      </c>
      <c r="W32" s="1695">
        <f t="shared" si="14"/>
        <v>100</v>
      </c>
      <c r="X32" s="1634"/>
      <c r="Y32" s="3658"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56"/>
      <c r="Q33" s="1735" t="str">
        <f t="shared" si="11"/>
        <v>项目建筑规模</v>
      </c>
      <c r="R33" s="1736" t="s">
        <v>28</v>
      </c>
      <c r="S33" s="1737" t="e">
        <f t="shared" si="12"/>
        <v>#N/A</v>
      </c>
      <c r="T33" s="1736" t="s">
        <v>28</v>
      </c>
      <c r="U33" s="1737" t="e">
        <f t="shared" si="13"/>
        <v>#N/A</v>
      </c>
      <c r="V33" s="1736" t="s">
        <v>28</v>
      </c>
      <c r="W33" s="1737" t="e">
        <f t="shared" si="14"/>
        <v>#N/A</v>
      </c>
      <c r="X33" s="1738"/>
      <c r="Y33" s="3658"/>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56"/>
      <c r="Q34" s="1584" t="str">
        <f t="shared" si="11"/>
        <v>建筑结构</v>
      </c>
      <c r="R34" s="1694" t="s">
        <v>28</v>
      </c>
      <c r="S34" s="1695">
        <f t="shared" si="12"/>
        <v>100</v>
      </c>
      <c r="T34" s="1694" t="s">
        <v>28</v>
      </c>
      <c r="U34" s="1695">
        <f t="shared" si="13"/>
        <v>100</v>
      </c>
      <c r="V34" s="1694" t="s">
        <v>28</v>
      </c>
      <c r="W34" s="1695">
        <f t="shared" si="14"/>
        <v>100</v>
      </c>
      <c r="X34" s="1634"/>
      <c r="Y34" s="3658"/>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56"/>
      <c r="Q35" s="1584" t="str">
        <f t="shared" si="11"/>
        <v>建筑品质</v>
      </c>
      <c r="R35" s="1694" t="s">
        <v>28</v>
      </c>
      <c r="S35" s="1695">
        <f t="shared" si="12"/>
        <v>100</v>
      </c>
      <c r="T35" s="1694" t="s">
        <v>28</v>
      </c>
      <c r="U35" s="1695">
        <f t="shared" si="13"/>
        <v>100</v>
      </c>
      <c r="V35" s="1694" t="s">
        <v>28</v>
      </c>
      <c r="W35" s="1695">
        <f t="shared" si="14"/>
        <v>100</v>
      </c>
      <c r="X35" s="1634"/>
      <c r="Y35" s="3658"/>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56"/>
      <c r="Q36" s="1584" t="str">
        <f t="shared" si="11"/>
        <v>公共部分装修</v>
      </c>
      <c r="R36" s="1694" t="s">
        <v>28</v>
      </c>
      <c r="S36" s="1695">
        <f t="shared" si="12"/>
        <v>100</v>
      </c>
      <c r="T36" s="1694" t="s">
        <v>28</v>
      </c>
      <c r="U36" s="1695">
        <f t="shared" si="13"/>
        <v>100</v>
      </c>
      <c r="V36" s="1694" t="s">
        <v>28</v>
      </c>
      <c r="W36" s="1695">
        <f t="shared" si="14"/>
        <v>100</v>
      </c>
      <c r="X36" s="1634"/>
      <c r="Y36" s="3658"/>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56"/>
      <c r="Q37" s="1603" t="str">
        <f t="shared" si="11"/>
        <v>成新度</v>
      </c>
      <c r="R37" s="1649" t="s">
        <v>28</v>
      </c>
      <c r="S37" s="1650" t="e">
        <f t="shared" si="12"/>
        <v>#N/A</v>
      </c>
      <c r="T37" s="1649" t="s">
        <v>28</v>
      </c>
      <c r="U37" s="1650" t="e">
        <f t="shared" si="13"/>
        <v>#N/A</v>
      </c>
      <c r="V37" s="1649" t="s">
        <v>28</v>
      </c>
      <c r="W37" s="1650" t="e">
        <f t="shared" si="14"/>
        <v>#N/A</v>
      </c>
      <c r="X37" s="1651"/>
      <c r="Y37" s="3658"/>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56" t="s">
        <v>2217</v>
      </c>
      <c r="Q38" s="1584" t="str">
        <f t="shared" si="11"/>
        <v>物业管理</v>
      </c>
      <c r="R38" s="1694" t="s">
        <v>28</v>
      </c>
      <c r="S38" s="1695">
        <f t="shared" si="12"/>
        <v>100</v>
      </c>
      <c r="T38" s="1694" t="s">
        <v>28</v>
      </c>
      <c r="U38" s="1695">
        <f t="shared" si="13"/>
        <v>100</v>
      </c>
      <c r="V38" s="1694" t="s">
        <v>28</v>
      </c>
      <c r="W38" s="1695">
        <f t="shared" si="14"/>
        <v>100</v>
      </c>
      <c r="X38" s="1634"/>
      <c r="Y38" s="3658"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56"/>
      <c r="Q39" s="1584" t="str">
        <f t="shared" si="11"/>
        <v>市政基础设施</v>
      </c>
      <c r="R39" s="1694" t="s">
        <v>28</v>
      </c>
      <c r="S39" s="1695">
        <f t="shared" si="12"/>
        <v>100</v>
      </c>
      <c r="T39" s="1694" t="s">
        <v>28</v>
      </c>
      <c r="U39" s="1695">
        <f t="shared" si="13"/>
        <v>100</v>
      </c>
      <c r="V39" s="1694" t="s">
        <v>28</v>
      </c>
      <c r="W39" s="1695">
        <f t="shared" si="14"/>
        <v>100</v>
      </c>
      <c r="X39" s="1634"/>
      <c r="Y39" s="3658"/>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56"/>
      <c r="Q40" s="1584" t="str">
        <f t="shared" si="11"/>
        <v>房型</v>
      </c>
      <c r="R40" s="1694" t="s">
        <v>28</v>
      </c>
      <c r="S40" s="1695">
        <f t="shared" si="12"/>
        <v>100</v>
      </c>
      <c r="T40" s="1694" t="s">
        <v>28</v>
      </c>
      <c r="U40" s="1695">
        <f t="shared" si="13"/>
        <v>100</v>
      </c>
      <c r="V40" s="1694" t="s">
        <v>28</v>
      </c>
      <c r="W40" s="1695">
        <f t="shared" si="14"/>
        <v>100</v>
      </c>
      <c r="X40" s="1634"/>
      <c r="Y40" s="3658"/>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56"/>
      <c r="Q41" s="1735" t="str">
        <f t="shared" si="11"/>
        <v>单套/主力户型建筑面积</v>
      </c>
      <c r="R41" s="1736" t="s">
        <v>28</v>
      </c>
      <c r="S41" s="1737">
        <f t="shared" si="12"/>
        <v>100</v>
      </c>
      <c r="T41" s="1736" t="s">
        <v>28</v>
      </c>
      <c r="U41" s="1737">
        <f t="shared" si="13"/>
        <v>100</v>
      </c>
      <c r="V41" s="1736" t="s">
        <v>28</v>
      </c>
      <c r="W41" s="1737">
        <f t="shared" si="14"/>
        <v>100</v>
      </c>
      <c r="X41" s="1738"/>
      <c r="Y41" s="3658"/>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56"/>
      <c r="Q42" s="1584" t="str">
        <f t="shared" si="11"/>
        <v>内部装修</v>
      </c>
      <c r="R42" s="1694" t="s">
        <v>28</v>
      </c>
      <c r="S42" s="1695">
        <f t="shared" si="12"/>
        <v>100</v>
      </c>
      <c r="T42" s="1694" t="s">
        <v>28</v>
      </c>
      <c r="U42" s="1695">
        <f t="shared" si="13"/>
        <v>100</v>
      </c>
      <c r="V42" s="1694" t="s">
        <v>28</v>
      </c>
      <c r="W42" s="1695">
        <f t="shared" si="14"/>
        <v>100</v>
      </c>
      <c r="X42" s="1634"/>
      <c r="Y42" s="3658"/>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56"/>
      <c r="Q43" s="1584" t="str">
        <f t="shared" si="11"/>
        <v>内部装修维护情况</v>
      </c>
      <c r="R43" s="1694" t="s">
        <v>28</v>
      </c>
      <c r="S43" s="1695">
        <f t="shared" si="12"/>
        <v>100</v>
      </c>
      <c r="T43" s="1694" t="s">
        <v>28</v>
      </c>
      <c r="U43" s="1695">
        <f t="shared" si="13"/>
        <v>100</v>
      </c>
      <c r="V43" s="1694" t="s">
        <v>28</v>
      </c>
      <c r="W43" s="1695">
        <f t="shared" si="14"/>
        <v>100</v>
      </c>
      <c r="X43" s="1634"/>
      <c r="Y43" s="3658"/>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56"/>
      <c r="Q44" s="1603">
        <f t="shared" si="11"/>
        <v>111</v>
      </c>
      <c r="R44" s="1649" t="s">
        <v>28</v>
      </c>
      <c r="S44" s="1650">
        <f t="shared" si="12"/>
        <v>100</v>
      </c>
      <c r="T44" s="1649" t="s">
        <v>28</v>
      </c>
      <c r="U44" s="1650">
        <f t="shared" si="13"/>
        <v>100</v>
      </c>
      <c r="V44" s="1649" t="s">
        <v>28</v>
      </c>
      <c r="W44" s="1650">
        <f t="shared" si="14"/>
        <v>100</v>
      </c>
      <c r="X44" s="1651"/>
      <c r="Y44" s="3658"/>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56"/>
      <c r="Q45" s="1584">
        <f t="shared" si="11"/>
        <v>111</v>
      </c>
      <c r="R45" s="1694" t="s">
        <v>28</v>
      </c>
      <c r="S45" s="1695">
        <f t="shared" si="12"/>
        <v>100</v>
      </c>
      <c r="T45" s="1694" t="s">
        <v>28</v>
      </c>
      <c r="U45" s="1695">
        <f t="shared" si="13"/>
        <v>100</v>
      </c>
      <c r="V45" s="1694" t="s">
        <v>28</v>
      </c>
      <c r="W45" s="1695">
        <f t="shared" si="14"/>
        <v>100</v>
      </c>
      <c r="X45" s="1634"/>
      <c r="Y45" s="3658"/>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57"/>
      <c r="Q46" s="1584">
        <f t="shared" si="11"/>
        <v>111</v>
      </c>
      <c r="R46" s="1694" t="s">
        <v>27</v>
      </c>
      <c r="S46" s="1695">
        <f t="shared" si="12"/>
        <v>100</v>
      </c>
      <c r="T46" s="1694" t="s">
        <v>27</v>
      </c>
      <c r="U46" s="1695">
        <f t="shared" si="13"/>
        <v>100</v>
      </c>
      <c r="V46" s="1694" t="s">
        <v>27</v>
      </c>
      <c r="W46" s="1695">
        <f t="shared" si="14"/>
        <v>100</v>
      </c>
      <c r="X46" s="1634"/>
      <c r="Y46" s="3659"/>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64" t="str">
        <f>A47</f>
        <v>成交单价（元/平方米）</v>
      </c>
      <c r="Q47" s="3664"/>
      <c r="R47" s="3665">
        <f>E47</f>
        <v>0</v>
      </c>
      <c r="S47" s="3665"/>
      <c r="T47" s="3665">
        <f>G47</f>
        <v>0</v>
      </c>
      <c r="U47" s="3665"/>
      <c r="V47" s="3665">
        <f>I47</f>
        <v>0</v>
      </c>
      <c r="W47" s="3665"/>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64" t="str">
        <f>A48</f>
        <v>比较价值（元/平方米）</v>
      </c>
      <c r="Q48" s="3664"/>
      <c r="R48" s="3665" t="e">
        <f>IF(E1="售价",ROUND(PRODUCT(R47,AA7:AA46),0),ROUND(PRODUCT(R47,AA7:AA46),1))</f>
        <v>#DIV/0!</v>
      </c>
      <c r="S48" s="3665"/>
      <c r="T48" s="3668" t="e">
        <f>IF(E1="售价",ROUND(PRODUCT(T47,AB7:AB46),0),ROUND(PRODUCT(T47,AB7:AB46),1))</f>
        <v>#DIV/0!</v>
      </c>
      <c r="U48" s="3669"/>
      <c r="V48" s="3665" t="e">
        <f>IF(E1="售价",ROUND(PRODUCT(V47,AC7:AC46),0),ROUND(PRODUCT(V47,AC7:AC46),1))</f>
        <v>#DIV/0!</v>
      </c>
      <c r="W48" s="3665"/>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70" t="str">
        <f>A49</f>
        <v>估价对象XX用房的比较价值（楼面单价，元/平方米）</v>
      </c>
      <c r="Q49" s="3671"/>
      <c r="R49" s="3672" t="e">
        <f>IF(E1="售价",ROUND(IF(D48="简单平均",AVERAGE(R48:V48),R48*F48+T48*H48+V48*J48),0),ROUND(IF(D48="简单平均",AVERAGE(R48:V48),R48*F48+T48*H48+V48*J48),1))</f>
        <v>#DIV/0!</v>
      </c>
      <c r="S49" s="3672"/>
      <c r="T49" s="3672"/>
      <c r="U49" s="3672"/>
      <c r="V49" s="3672"/>
      <c r="W49" s="3672"/>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549</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118.86</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2043"/>
      <c r="Y4" s="3638" t="s">
        <v>2192</v>
      </c>
      <c r="Z4" s="3639"/>
      <c r="AA4" s="3625" t="s">
        <v>2188</v>
      </c>
      <c r="AB4" s="3644" t="s">
        <v>2189</v>
      </c>
      <c r="AC4" s="3625" t="s">
        <v>2190</v>
      </c>
    </row>
    <row r="5" spans="1:29" ht="15">
      <c r="A5" s="1636"/>
      <c r="B5" s="1637"/>
      <c r="C5" s="3647" t="s">
        <v>2193</v>
      </c>
      <c r="D5" s="3648"/>
      <c r="E5" s="3674" t="s">
        <v>3082</v>
      </c>
      <c r="F5" s="3646"/>
      <c r="G5" s="3673" t="s">
        <v>3084</v>
      </c>
      <c r="H5" s="3648"/>
      <c r="I5" s="3673" t="s">
        <v>3083</v>
      </c>
      <c r="J5" s="3648"/>
      <c r="K5" s="1934"/>
      <c r="L5" s="2964"/>
      <c r="M5" s="2965"/>
      <c r="N5" s="2965"/>
      <c r="O5" s="2965"/>
      <c r="P5" s="3634"/>
      <c r="Q5" s="3635"/>
      <c r="R5" s="3640"/>
      <c r="S5" s="3641"/>
      <c r="T5" s="3640"/>
      <c r="U5" s="3641"/>
      <c r="V5" s="3644"/>
      <c r="W5" s="3644"/>
      <c r="X5" s="2043"/>
      <c r="Y5" s="3640"/>
      <c r="Z5" s="3641"/>
      <c r="AA5" s="3626"/>
      <c r="AB5" s="3644"/>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2043"/>
      <c r="Y6" s="3642"/>
      <c r="Z6" s="3643"/>
      <c r="AA6" s="3627"/>
      <c r="AB6" s="3644"/>
      <c r="AC6" s="3627"/>
    </row>
    <row r="7" spans="1:29" s="1653" customFormat="1" ht="15.75" thickBot="1">
      <c r="A7" s="1641" t="s">
        <v>2199</v>
      </c>
      <c r="B7" s="1642"/>
      <c r="C7" s="1643">
        <f>'数据-取费表'!B2</f>
        <v>44663</v>
      </c>
      <c r="D7" s="1644">
        <v>100</v>
      </c>
      <c r="E7" s="1645">
        <f>C7</f>
        <v>44663</v>
      </c>
      <c r="F7" s="1646">
        <f>SUMIF(58:58,YEAR(E7)&amp;"-"&amp;MONTH(E7),59:59)</f>
        <v>100</v>
      </c>
      <c r="G7" s="1645">
        <f>E7</f>
        <v>44663</v>
      </c>
      <c r="H7" s="1644">
        <f>SUMIF(58:58,YEAR(G7)&amp;"-"&amp;MONTH(G7),59:59)</f>
        <v>100</v>
      </c>
      <c r="I7" s="1645">
        <f>G7</f>
        <v>44663</v>
      </c>
      <c r="J7" s="1644">
        <f>SUMIF(58:58,YEAR(I7)&amp;"-"&amp;MONTH(I7),59:59)</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63" t="s">
        <v>2206</v>
      </c>
      <c r="Q9" s="2034"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63"/>
      <c r="Q10" s="2034" t="str">
        <f t="shared" si="6"/>
        <v>土地使用年限（年）</v>
      </c>
      <c r="R10" s="1649" t="s">
        <v>25</v>
      </c>
      <c r="S10" s="1650">
        <f t="shared" si="0"/>
        <v>102</v>
      </c>
      <c r="T10" s="1649" t="s">
        <v>25</v>
      </c>
      <c r="U10" s="1650">
        <f t="shared" si="1"/>
        <v>102</v>
      </c>
      <c r="V10" s="1649" t="s">
        <v>25</v>
      </c>
      <c r="W10" s="1650">
        <f t="shared" si="2"/>
        <v>102</v>
      </c>
      <c r="X10" s="1651"/>
      <c r="Y10" s="3440"/>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63"/>
      <c r="Q11" s="2034"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63"/>
      <c r="Q12" s="2034">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63"/>
      <c r="Q13" s="2034">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63"/>
      <c r="Q14" s="2034">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66" t="s">
        <v>2211</v>
      </c>
      <c r="Q15" s="2040" t="str">
        <f t="shared" si="6"/>
        <v>商业繁华度</v>
      </c>
      <c r="R15" s="1694" t="s">
        <v>25</v>
      </c>
      <c r="S15" s="1695">
        <f t="shared" si="0"/>
        <v>105</v>
      </c>
      <c r="T15" s="1694" t="s">
        <v>25</v>
      </c>
      <c r="U15" s="1695">
        <f t="shared" si="1"/>
        <v>105</v>
      </c>
      <c r="V15" s="1694" t="s">
        <v>25</v>
      </c>
      <c r="W15" s="1695">
        <f t="shared" si="2"/>
        <v>100</v>
      </c>
      <c r="X15" s="2043"/>
      <c r="Y15" s="3653"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67"/>
      <c r="Q16" s="2040"/>
      <c r="R16" s="1694"/>
      <c r="S16" s="1695"/>
      <c r="T16" s="1694"/>
      <c r="U16" s="1695"/>
      <c r="V16" s="1694"/>
      <c r="W16" s="1695"/>
      <c r="X16" s="2043"/>
      <c r="Y16" s="3654"/>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67"/>
      <c r="Q17" s="2040" t="str">
        <f>B17</f>
        <v>交通便捷度</v>
      </c>
      <c r="R17" s="1694" t="s">
        <v>25</v>
      </c>
      <c r="S17" s="1695">
        <f>F17</f>
        <v>103</v>
      </c>
      <c r="T17" s="1694" t="s">
        <v>25</v>
      </c>
      <c r="U17" s="1695">
        <f>H17</f>
        <v>100</v>
      </c>
      <c r="V17" s="1694" t="s">
        <v>25</v>
      </c>
      <c r="W17" s="1695">
        <f>J17</f>
        <v>100</v>
      </c>
      <c r="X17" s="2043"/>
      <c r="Y17" s="3654"/>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67"/>
      <c r="Q18" s="2040"/>
      <c r="R18" s="1694"/>
      <c r="S18" s="1695"/>
      <c r="T18" s="1694"/>
      <c r="U18" s="1695"/>
      <c r="V18" s="1694"/>
      <c r="W18" s="1695"/>
      <c r="X18" s="2043"/>
      <c r="Y18" s="3654"/>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67"/>
      <c r="Q19" s="2040" t="str">
        <f>B19</f>
        <v>公共配套设施</v>
      </c>
      <c r="R19" s="1694" t="s">
        <v>25</v>
      </c>
      <c r="S19" s="1695">
        <f>F19</f>
        <v>100</v>
      </c>
      <c r="T19" s="1694" t="s">
        <v>25</v>
      </c>
      <c r="U19" s="1695">
        <f>H19</f>
        <v>100</v>
      </c>
      <c r="V19" s="1694" t="s">
        <v>25</v>
      </c>
      <c r="W19" s="1695">
        <f>J19</f>
        <v>100</v>
      </c>
      <c r="X19" s="2043"/>
      <c r="Y19" s="3654"/>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67"/>
      <c r="Q20" s="2040"/>
      <c r="R20" s="1694"/>
      <c r="S20" s="1695"/>
      <c r="T20" s="1694"/>
      <c r="U20" s="1695"/>
      <c r="V20" s="1694"/>
      <c r="W20" s="1695"/>
      <c r="X20" s="2043"/>
      <c r="Y20" s="3654"/>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67"/>
      <c r="Q21" s="2040" t="str">
        <f>B21</f>
        <v>基础设施水平</v>
      </c>
      <c r="R21" s="1694" t="s">
        <v>25</v>
      </c>
      <c r="S21" s="1695">
        <f>F21</f>
        <v>100</v>
      </c>
      <c r="T21" s="1694" t="s">
        <v>25</v>
      </c>
      <c r="U21" s="1695">
        <f>H21</f>
        <v>100</v>
      </c>
      <c r="V21" s="1694" t="s">
        <v>25</v>
      </c>
      <c r="W21" s="1695">
        <f>J21</f>
        <v>100</v>
      </c>
      <c r="X21" s="2043"/>
      <c r="Y21" s="3654"/>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67"/>
      <c r="Q22" s="2040"/>
      <c r="R22" s="1694"/>
      <c r="S22" s="1695"/>
      <c r="T22" s="1694"/>
      <c r="U22" s="1695"/>
      <c r="V22" s="1694"/>
      <c r="W22" s="1695"/>
      <c r="X22" s="2043"/>
      <c r="Y22" s="3654"/>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67"/>
      <c r="Q23" s="2040" t="str">
        <f>B23</f>
        <v>自然及人文环境</v>
      </c>
      <c r="R23" s="1694" t="s">
        <v>25</v>
      </c>
      <c r="S23" s="1695">
        <f>F23</f>
        <v>100</v>
      </c>
      <c r="T23" s="1694" t="s">
        <v>25</v>
      </c>
      <c r="U23" s="1695">
        <f>H23</f>
        <v>100</v>
      </c>
      <c r="V23" s="1694" t="s">
        <v>25</v>
      </c>
      <c r="W23" s="1695">
        <f>J23</f>
        <v>100</v>
      </c>
      <c r="X23" s="2043"/>
      <c r="Y23" s="3654"/>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67"/>
      <c r="Q24" s="2040"/>
      <c r="R24" s="1694"/>
      <c r="S24" s="1695"/>
      <c r="T24" s="1694"/>
      <c r="U24" s="1695"/>
      <c r="V24" s="1694"/>
      <c r="W24" s="1695"/>
      <c r="X24" s="2043"/>
      <c r="Y24" s="3654"/>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67"/>
      <c r="Q25" s="2040" t="str">
        <f t="shared" ref="Q25:Q46" si="11">B25</f>
        <v>临街状况</v>
      </c>
      <c r="R25" s="1694" t="s">
        <v>25</v>
      </c>
      <c r="S25" s="1695">
        <f>F25</f>
        <v>100</v>
      </c>
      <c r="T25" s="1694" t="s">
        <v>25</v>
      </c>
      <c r="U25" s="1695">
        <f>H25</f>
        <v>100</v>
      </c>
      <c r="V25" s="1694" t="s">
        <v>25</v>
      </c>
      <c r="W25" s="1695">
        <f>J25</f>
        <v>100</v>
      </c>
      <c r="X25" s="2043"/>
      <c r="Y25" s="3654"/>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67"/>
      <c r="Q26" s="2040" t="str">
        <f t="shared" si="11"/>
        <v>平面位置/可视性</v>
      </c>
      <c r="R26" s="1694" t="s">
        <v>25</v>
      </c>
      <c r="S26" s="1695">
        <f>F26</f>
        <v>100</v>
      </c>
      <c r="T26" s="1694" t="s">
        <v>25</v>
      </c>
      <c r="U26" s="1695">
        <f>H26</f>
        <v>100</v>
      </c>
      <c r="V26" s="1694" t="s">
        <v>25</v>
      </c>
      <c r="W26" s="1695">
        <f>J26</f>
        <v>100</v>
      </c>
      <c r="X26" s="2043"/>
      <c r="Y26" s="3654"/>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67"/>
      <c r="Q27" s="2034" t="str">
        <f t="shared" si="11"/>
        <v>人流量</v>
      </c>
      <c r="R27" s="1649" t="s">
        <v>25</v>
      </c>
      <c r="S27" s="1650">
        <f>F27</f>
        <v>103</v>
      </c>
      <c r="T27" s="1649" t="s">
        <v>25</v>
      </c>
      <c r="U27" s="1650">
        <f>H27</f>
        <v>103</v>
      </c>
      <c r="V27" s="1649" t="s">
        <v>25</v>
      </c>
      <c r="W27" s="1650">
        <f>J27</f>
        <v>100</v>
      </c>
      <c r="X27" s="1651"/>
      <c r="Y27" s="3654"/>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67"/>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54"/>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67"/>
      <c r="Q29" s="2040">
        <f t="shared" si="11"/>
        <v>111</v>
      </c>
      <c r="R29" s="1694" t="s">
        <v>25</v>
      </c>
      <c r="S29" s="1695">
        <f t="shared" si="12"/>
        <v>100</v>
      </c>
      <c r="T29" s="1694" t="s">
        <v>25</v>
      </c>
      <c r="U29" s="1695">
        <f t="shared" si="13"/>
        <v>100</v>
      </c>
      <c r="V29" s="1694" t="s">
        <v>25</v>
      </c>
      <c r="W29" s="1695">
        <f t="shared" si="14"/>
        <v>100</v>
      </c>
      <c r="X29" s="2043"/>
      <c r="Y29" s="3654"/>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67"/>
      <c r="Q30" s="2040">
        <f t="shared" si="11"/>
        <v>111</v>
      </c>
      <c r="R30" s="1694" t="s">
        <v>25</v>
      </c>
      <c r="S30" s="1695">
        <f t="shared" si="12"/>
        <v>100</v>
      </c>
      <c r="T30" s="1694" t="s">
        <v>25</v>
      </c>
      <c r="U30" s="1695">
        <f t="shared" si="13"/>
        <v>100</v>
      </c>
      <c r="V30" s="1694" t="s">
        <v>25</v>
      </c>
      <c r="W30" s="1695">
        <f t="shared" si="14"/>
        <v>100</v>
      </c>
      <c r="X30" s="2043"/>
      <c r="Y30" s="3654"/>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67"/>
      <c r="Q31" s="2040">
        <f t="shared" si="11"/>
        <v>111</v>
      </c>
      <c r="R31" s="1694" t="s">
        <v>25</v>
      </c>
      <c r="S31" s="1695">
        <f t="shared" si="12"/>
        <v>100</v>
      </c>
      <c r="T31" s="1694" t="s">
        <v>25</v>
      </c>
      <c r="U31" s="1695">
        <f t="shared" si="13"/>
        <v>100</v>
      </c>
      <c r="V31" s="1694" t="s">
        <v>25</v>
      </c>
      <c r="W31" s="1695">
        <f t="shared" si="14"/>
        <v>100</v>
      </c>
      <c r="X31" s="2043"/>
      <c r="Y31" s="3654"/>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55" t="s">
        <v>2217</v>
      </c>
      <c r="Q32" s="2040" t="str">
        <f t="shared" si="11"/>
        <v>商业类型</v>
      </c>
      <c r="R32" s="1694" t="s">
        <v>25</v>
      </c>
      <c r="S32" s="1695">
        <f t="shared" si="12"/>
        <v>100</v>
      </c>
      <c r="T32" s="1694" t="s">
        <v>25</v>
      </c>
      <c r="U32" s="1695">
        <f t="shared" si="13"/>
        <v>100</v>
      </c>
      <c r="V32" s="1694" t="s">
        <v>25</v>
      </c>
      <c r="W32" s="1695">
        <f t="shared" si="14"/>
        <v>100</v>
      </c>
      <c r="X32" s="2043"/>
      <c r="Y32" s="3658"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118.86</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56"/>
      <c r="Q33" s="1735" t="str">
        <f t="shared" si="11"/>
        <v>项目建筑规模</v>
      </c>
      <c r="R33" s="1736" t="s">
        <v>25</v>
      </c>
      <c r="S33" s="1737">
        <f t="shared" si="12"/>
        <v>101</v>
      </c>
      <c r="T33" s="1736" t="s">
        <v>25</v>
      </c>
      <c r="U33" s="1737">
        <f t="shared" si="13"/>
        <v>100</v>
      </c>
      <c r="V33" s="1736" t="s">
        <v>25</v>
      </c>
      <c r="W33" s="1737">
        <f t="shared" si="14"/>
        <v>99</v>
      </c>
      <c r="X33" s="1738"/>
      <c r="Y33" s="3658"/>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56"/>
      <c r="Q34" s="2040" t="str">
        <f t="shared" si="11"/>
        <v>建筑结构</v>
      </c>
      <c r="R34" s="1694" t="s">
        <v>25</v>
      </c>
      <c r="S34" s="1695">
        <f t="shared" si="12"/>
        <v>100</v>
      </c>
      <c r="T34" s="1694" t="s">
        <v>25</v>
      </c>
      <c r="U34" s="1695">
        <f t="shared" si="13"/>
        <v>100</v>
      </c>
      <c r="V34" s="1694" t="s">
        <v>25</v>
      </c>
      <c r="W34" s="1695">
        <f t="shared" si="14"/>
        <v>100</v>
      </c>
      <c r="X34" s="2043"/>
      <c r="Y34" s="3658"/>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56"/>
      <c r="Q35" s="2040" t="str">
        <f t="shared" si="11"/>
        <v>公共部分装修</v>
      </c>
      <c r="R35" s="1694" t="s">
        <v>25</v>
      </c>
      <c r="S35" s="1695">
        <f t="shared" si="12"/>
        <v>100</v>
      </c>
      <c r="T35" s="1694" t="s">
        <v>25</v>
      </c>
      <c r="U35" s="1695">
        <f t="shared" si="13"/>
        <v>100</v>
      </c>
      <c r="V35" s="1694" t="s">
        <v>25</v>
      </c>
      <c r="W35" s="1695">
        <f t="shared" si="14"/>
        <v>100</v>
      </c>
      <c r="X35" s="2043"/>
      <c r="Y35" s="3658"/>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56"/>
      <c r="Q36" s="2040" t="str">
        <f t="shared" si="11"/>
        <v>成新度</v>
      </c>
      <c r="R36" s="1694" t="s">
        <v>25</v>
      </c>
      <c r="S36" s="1695">
        <f t="shared" si="12"/>
        <v>100</v>
      </c>
      <c r="T36" s="1694" t="s">
        <v>25</v>
      </c>
      <c r="U36" s="1695">
        <f t="shared" si="13"/>
        <v>100</v>
      </c>
      <c r="V36" s="1694" t="s">
        <v>25</v>
      </c>
      <c r="W36" s="1695">
        <f t="shared" si="14"/>
        <v>100</v>
      </c>
      <c r="X36" s="2043"/>
      <c r="Y36" s="3658"/>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56"/>
      <c r="Q37" s="2034" t="str">
        <f t="shared" si="11"/>
        <v>市政基础设施</v>
      </c>
      <c r="R37" s="1649" t="s">
        <v>25</v>
      </c>
      <c r="S37" s="1650">
        <f t="shared" si="12"/>
        <v>100</v>
      </c>
      <c r="T37" s="1649" t="s">
        <v>25</v>
      </c>
      <c r="U37" s="1650">
        <f t="shared" si="13"/>
        <v>100</v>
      </c>
      <c r="V37" s="1649" t="s">
        <v>25</v>
      </c>
      <c r="W37" s="1650">
        <f t="shared" si="14"/>
        <v>100</v>
      </c>
      <c r="X37" s="1651"/>
      <c r="Y37" s="3658"/>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56" t="s">
        <v>2217</v>
      </c>
      <c r="Q38" s="2040" t="str">
        <f t="shared" si="11"/>
        <v>业态</v>
      </c>
      <c r="R38" s="1694" t="s">
        <v>25</v>
      </c>
      <c r="S38" s="1695">
        <f t="shared" si="12"/>
        <v>100</v>
      </c>
      <c r="T38" s="1694" t="s">
        <v>25</v>
      </c>
      <c r="U38" s="1695">
        <f t="shared" si="13"/>
        <v>100</v>
      </c>
      <c r="V38" s="1694" t="s">
        <v>25</v>
      </c>
      <c r="W38" s="1695">
        <f t="shared" si="14"/>
        <v>100</v>
      </c>
      <c r="X38" s="2043"/>
      <c r="Y38" s="3658"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56"/>
      <c r="Q39" s="2040" t="str">
        <f t="shared" si="11"/>
        <v>层高</v>
      </c>
      <c r="R39" s="1694" t="s">
        <v>25</v>
      </c>
      <c r="S39" s="1695">
        <f t="shared" si="12"/>
        <v>100</v>
      </c>
      <c r="T39" s="1694" t="s">
        <v>25</v>
      </c>
      <c r="U39" s="1695">
        <f t="shared" si="13"/>
        <v>100</v>
      </c>
      <c r="V39" s="1694" t="s">
        <v>25</v>
      </c>
      <c r="W39" s="1695">
        <f t="shared" si="14"/>
        <v>100</v>
      </c>
      <c r="X39" s="2043"/>
      <c r="Y39" s="3658"/>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56"/>
      <c r="Q40" s="2040" t="str">
        <f t="shared" si="11"/>
        <v>单套建筑面积</v>
      </c>
      <c r="R40" s="1694" t="s">
        <v>25</v>
      </c>
      <c r="S40" s="1695">
        <f t="shared" si="12"/>
        <v>100</v>
      </c>
      <c r="T40" s="1694" t="s">
        <v>25</v>
      </c>
      <c r="U40" s="1695">
        <f t="shared" si="13"/>
        <v>100</v>
      </c>
      <c r="V40" s="1694" t="s">
        <v>25</v>
      </c>
      <c r="W40" s="1695">
        <f t="shared" si="14"/>
        <v>100</v>
      </c>
      <c r="X40" s="2043"/>
      <c r="Y40" s="3658"/>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56"/>
      <c r="Q41" s="1735" t="str">
        <f t="shared" si="11"/>
        <v>进深比</v>
      </c>
      <c r="R41" s="1736" t="s">
        <v>25</v>
      </c>
      <c r="S41" s="1737">
        <f t="shared" si="12"/>
        <v>100</v>
      </c>
      <c r="T41" s="1736" t="s">
        <v>25</v>
      </c>
      <c r="U41" s="1737">
        <f t="shared" si="13"/>
        <v>100</v>
      </c>
      <c r="V41" s="1736" t="s">
        <v>25</v>
      </c>
      <c r="W41" s="1737">
        <f t="shared" si="14"/>
        <v>100</v>
      </c>
      <c r="X41" s="1738"/>
      <c r="Y41" s="3658"/>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56"/>
      <c r="Q42" s="2040" t="str">
        <f t="shared" si="11"/>
        <v>内部装修</v>
      </c>
      <c r="R42" s="1694" t="s">
        <v>25</v>
      </c>
      <c r="S42" s="1695">
        <f t="shared" si="12"/>
        <v>100</v>
      </c>
      <c r="T42" s="1694" t="s">
        <v>25</v>
      </c>
      <c r="U42" s="1695">
        <f t="shared" si="13"/>
        <v>100</v>
      </c>
      <c r="V42" s="1694" t="s">
        <v>25</v>
      </c>
      <c r="W42" s="1695">
        <f t="shared" si="14"/>
        <v>100</v>
      </c>
      <c r="X42" s="2043"/>
      <c r="Y42" s="3658"/>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56"/>
      <c r="Q43" s="2040" t="str">
        <f t="shared" si="11"/>
        <v>内部装修维护情况</v>
      </c>
      <c r="R43" s="1694" t="s">
        <v>25</v>
      </c>
      <c r="S43" s="1695">
        <f t="shared" si="12"/>
        <v>100</v>
      </c>
      <c r="T43" s="1694" t="s">
        <v>25</v>
      </c>
      <c r="U43" s="1695">
        <f t="shared" si="13"/>
        <v>100</v>
      </c>
      <c r="V43" s="1694" t="s">
        <v>25</v>
      </c>
      <c r="W43" s="1695">
        <f t="shared" si="14"/>
        <v>100</v>
      </c>
      <c r="X43" s="2043"/>
      <c r="Y43" s="3658"/>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56"/>
      <c r="Q44" s="2034">
        <f t="shared" si="11"/>
        <v>111</v>
      </c>
      <c r="R44" s="1649" t="s">
        <v>25</v>
      </c>
      <c r="S44" s="1650">
        <f t="shared" si="12"/>
        <v>100</v>
      </c>
      <c r="T44" s="1649" t="s">
        <v>25</v>
      </c>
      <c r="U44" s="1650">
        <f t="shared" si="13"/>
        <v>100</v>
      </c>
      <c r="V44" s="1649" t="s">
        <v>25</v>
      </c>
      <c r="W44" s="1650">
        <f t="shared" si="14"/>
        <v>100</v>
      </c>
      <c r="X44" s="1651"/>
      <c r="Y44" s="3658"/>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56"/>
      <c r="Q45" s="2040">
        <f t="shared" si="11"/>
        <v>111</v>
      </c>
      <c r="R45" s="1694" t="s">
        <v>25</v>
      </c>
      <c r="S45" s="1695">
        <f t="shared" si="12"/>
        <v>100</v>
      </c>
      <c r="T45" s="1694" t="s">
        <v>25</v>
      </c>
      <c r="U45" s="1695">
        <f t="shared" si="13"/>
        <v>100</v>
      </c>
      <c r="V45" s="1694" t="s">
        <v>25</v>
      </c>
      <c r="W45" s="1695">
        <f t="shared" si="14"/>
        <v>100</v>
      </c>
      <c r="X45" s="2043"/>
      <c r="Y45" s="3658"/>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57"/>
      <c r="Q46" s="2040">
        <f t="shared" si="11"/>
        <v>0.95</v>
      </c>
      <c r="R46" s="1694" t="s">
        <v>25</v>
      </c>
      <c r="S46" s="1695">
        <f t="shared" si="12"/>
        <v>100</v>
      </c>
      <c r="T46" s="1694" t="s">
        <v>25</v>
      </c>
      <c r="U46" s="1695">
        <f t="shared" si="13"/>
        <v>100</v>
      </c>
      <c r="V46" s="1694" t="s">
        <v>25</v>
      </c>
      <c r="W46" s="1695">
        <f t="shared" si="14"/>
        <v>100</v>
      </c>
      <c r="X46" s="2043"/>
      <c r="Y46" s="3659"/>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64" t="str">
        <f>A47</f>
        <v>成交单价（元/平方米）</v>
      </c>
      <c r="Q47" s="3664"/>
      <c r="R47" s="3665">
        <f>E47</f>
        <v>50588</v>
      </c>
      <c r="S47" s="3665"/>
      <c r="T47" s="3665">
        <f>G47</f>
        <v>46296</v>
      </c>
      <c r="U47" s="3665"/>
      <c r="V47" s="3665">
        <f>I47</f>
        <v>53009</v>
      </c>
      <c r="W47" s="3665"/>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64" t="str">
        <f>A48</f>
        <v>比较价值（元/平方米）</v>
      </c>
      <c r="Q48" s="3664"/>
      <c r="R48" s="3665">
        <f>IF(E1="售价",ROUND(PRODUCT(R47,AA7:AA46),0),ROUND(PRODUCT(R47,AA7:AA46),1))</f>
        <v>44082</v>
      </c>
      <c r="S48" s="3665"/>
      <c r="T48" s="3665">
        <f>IF(E1="售价",ROUND(PRODUCT(T47,AB7:AB46),0),ROUND(PRODUCT(T47,AB7:AB46),1))</f>
        <v>41968</v>
      </c>
      <c r="U48" s="3665"/>
      <c r="V48" s="3665">
        <f>IF(E1="售价",ROUND(PRODUCT(V47,AC7:AC46),0),ROUND(PRODUCT(V47,AC7:AC46),1))</f>
        <v>52495</v>
      </c>
      <c r="W48" s="3665"/>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70" t="str">
        <f>A49</f>
        <v>估价对象XX用房的比较价值（楼面单价，元/平方米）</v>
      </c>
      <c r="Q49" s="3671"/>
      <c r="R49" s="3672">
        <f>IF(E1="售价",ROUND(IF(D48="简单平均",AVERAGE(R48:V48),R48*F48+T48*H48+V48*J48),0),ROUND(IF(D48="简单平均",AVERAGE(R48:V48),R48*F48+T48*H48+V48*J48),1))</f>
        <v>46182</v>
      </c>
      <c r="S49" s="3672"/>
      <c r="T49" s="3672"/>
      <c r="U49" s="3672"/>
      <c r="V49" s="3672"/>
      <c r="W49" s="3672"/>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80" zoomScaleNormal="60" zoomScaleSheetLayoutView="80" workbookViewId="0">
      <selection activeCell="E52" sqref="E52"/>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236</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19861</v>
      </c>
      <c r="C3" s="1628" t="s">
        <v>2185</v>
      </c>
      <c r="D3" s="1628">
        <f>IF(C1="仅计算典型户型",'数据-取费表'!E5,'数据-取费表'!B5)</f>
        <v>118.86</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2043"/>
      <c r="Y4" s="3638" t="s">
        <v>2192</v>
      </c>
      <c r="Z4" s="3639"/>
      <c r="AA4" s="3625" t="s">
        <v>2188</v>
      </c>
      <c r="AB4" s="3625" t="s">
        <v>2189</v>
      </c>
      <c r="AC4" s="3625" t="s">
        <v>2190</v>
      </c>
    </row>
    <row r="5" spans="1:29" ht="15">
      <c r="A5" s="1636"/>
      <c r="B5" s="1637"/>
      <c r="C5" s="3647" t="s">
        <v>2193</v>
      </c>
      <c r="D5" s="3648"/>
      <c r="E5" s="3674" t="s">
        <v>3089</v>
      </c>
      <c r="F5" s="3646"/>
      <c r="G5" s="3673" t="s">
        <v>3088</v>
      </c>
      <c r="H5" s="3648"/>
      <c r="I5" s="3673" t="str">
        <f>G5</f>
        <v>绿地启航</v>
      </c>
      <c r="J5" s="3648"/>
      <c r="K5" s="1934"/>
      <c r="L5" s="2964"/>
      <c r="M5" s="2965"/>
      <c r="N5" s="2965"/>
      <c r="O5" s="2965"/>
      <c r="P5" s="3634"/>
      <c r="Q5" s="3635"/>
      <c r="R5" s="3640"/>
      <c r="S5" s="3641"/>
      <c r="T5" s="3640"/>
      <c r="U5" s="3641"/>
      <c r="V5" s="3644"/>
      <c r="W5" s="3644"/>
      <c r="X5" s="2043"/>
      <c r="Y5" s="3640"/>
      <c r="Z5" s="3641"/>
      <c r="AA5" s="3626"/>
      <c r="AB5" s="3626"/>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2043"/>
      <c r="Y6" s="3642"/>
      <c r="Z6" s="3643"/>
      <c r="AA6" s="3627"/>
      <c r="AB6" s="3627"/>
      <c r="AC6" s="362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64" t="s">
        <v>2206</v>
      </c>
      <c r="Q9" s="2882"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64"/>
      <c r="Q10" s="2882" t="str">
        <f t="shared" si="6"/>
        <v>土地使用年限（年）</v>
      </c>
      <c r="R10" s="1649" t="s">
        <v>25</v>
      </c>
      <c r="S10" s="1650">
        <f t="shared" si="0"/>
        <v>100</v>
      </c>
      <c r="T10" s="1649" t="s">
        <v>25</v>
      </c>
      <c r="U10" s="1650">
        <f t="shared" si="1"/>
        <v>100</v>
      </c>
      <c r="V10" s="1649" t="s">
        <v>25</v>
      </c>
      <c r="W10" s="1650">
        <f t="shared" si="2"/>
        <v>100</v>
      </c>
      <c r="X10" s="1651"/>
      <c r="Y10" s="3440"/>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64"/>
      <c r="Q11" s="2882"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64"/>
      <c r="Q12" s="2882">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64"/>
      <c r="Q13" s="2882">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64"/>
      <c r="Q14" s="2882">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53" t="s">
        <v>2211</v>
      </c>
      <c r="Q15" s="2883" t="str">
        <f t="shared" si="6"/>
        <v>办公集聚程度</v>
      </c>
      <c r="R15" s="1694" t="s">
        <v>25</v>
      </c>
      <c r="S15" s="1695">
        <f t="shared" si="0"/>
        <v>100</v>
      </c>
      <c r="T15" s="1694" t="s">
        <v>25</v>
      </c>
      <c r="U15" s="1695">
        <f t="shared" si="1"/>
        <v>100</v>
      </c>
      <c r="V15" s="1694" t="s">
        <v>25</v>
      </c>
      <c r="W15" s="1695">
        <f t="shared" si="2"/>
        <v>100</v>
      </c>
      <c r="X15" s="2043"/>
      <c r="Y15" s="3653"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54"/>
      <c r="Q16" s="2883"/>
      <c r="R16" s="1694"/>
      <c r="S16" s="1695"/>
      <c r="T16" s="1694"/>
      <c r="U16" s="1695"/>
      <c r="V16" s="1694"/>
      <c r="W16" s="1695"/>
      <c r="X16" s="2043"/>
      <c r="Y16" s="3654"/>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54"/>
      <c r="Q17" s="2883" t="str">
        <f>B17</f>
        <v>交通便捷度</v>
      </c>
      <c r="R17" s="1694" t="s">
        <v>25</v>
      </c>
      <c r="S17" s="1695">
        <f>F17</f>
        <v>100</v>
      </c>
      <c r="T17" s="1694" t="s">
        <v>25</v>
      </c>
      <c r="U17" s="1695">
        <f>H17</f>
        <v>100</v>
      </c>
      <c r="V17" s="1694" t="s">
        <v>25</v>
      </c>
      <c r="W17" s="1695">
        <f>J17</f>
        <v>100</v>
      </c>
      <c r="X17" s="2043"/>
      <c r="Y17" s="3654"/>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54"/>
      <c r="Q18" s="2883"/>
      <c r="R18" s="1694"/>
      <c r="S18" s="1695"/>
      <c r="T18" s="1694"/>
      <c r="U18" s="1695"/>
      <c r="V18" s="1694"/>
      <c r="W18" s="1695"/>
      <c r="X18" s="2043"/>
      <c r="Y18" s="3654"/>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54"/>
      <c r="Q19" s="2883" t="str">
        <f>B19</f>
        <v>公共配套设施</v>
      </c>
      <c r="R19" s="1694" t="s">
        <v>25</v>
      </c>
      <c r="S19" s="1695">
        <f>F19</f>
        <v>100</v>
      </c>
      <c r="T19" s="1694" t="s">
        <v>25</v>
      </c>
      <c r="U19" s="1695">
        <f>H19</f>
        <v>100</v>
      </c>
      <c r="V19" s="1694" t="s">
        <v>25</v>
      </c>
      <c r="W19" s="1695">
        <f>J19</f>
        <v>100</v>
      </c>
      <c r="X19" s="2043"/>
      <c r="Y19" s="3654"/>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54"/>
      <c r="Q20" s="2883"/>
      <c r="R20" s="1694"/>
      <c r="S20" s="1695"/>
      <c r="T20" s="1694"/>
      <c r="U20" s="1695"/>
      <c r="V20" s="1694"/>
      <c r="W20" s="1695"/>
      <c r="X20" s="2043"/>
      <c r="Y20" s="3654"/>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54"/>
      <c r="Q21" s="2883" t="str">
        <f>B21</f>
        <v>基础设施水平</v>
      </c>
      <c r="R21" s="1694" t="s">
        <v>25</v>
      </c>
      <c r="S21" s="1695">
        <f>F21</f>
        <v>100</v>
      </c>
      <c r="T21" s="1694" t="s">
        <v>25</v>
      </c>
      <c r="U21" s="1695">
        <f>H21</f>
        <v>100</v>
      </c>
      <c r="V21" s="1694" t="s">
        <v>25</v>
      </c>
      <c r="W21" s="1695">
        <f>J21</f>
        <v>100</v>
      </c>
      <c r="X21" s="2043"/>
      <c r="Y21" s="3654"/>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54"/>
      <c r="Q22" s="2883"/>
      <c r="R22" s="1694"/>
      <c r="S22" s="1695"/>
      <c r="T22" s="1694"/>
      <c r="U22" s="1695"/>
      <c r="V22" s="1694"/>
      <c r="W22" s="1695"/>
      <c r="X22" s="2043"/>
      <c r="Y22" s="3654"/>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54"/>
      <c r="Q23" s="2883" t="str">
        <f>B23</f>
        <v>环境质量</v>
      </c>
      <c r="R23" s="1694" t="s">
        <v>25</v>
      </c>
      <c r="S23" s="1695">
        <f>F23</f>
        <v>100</v>
      </c>
      <c r="T23" s="1694" t="s">
        <v>25</v>
      </c>
      <c r="U23" s="1695">
        <f>H23</f>
        <v>100</v>
      </c>
      <c r="V23" s="1694" t="s">
        <v>25</v>
      </c>
      <c r="W23" s="1695">
        <f>J23</f>
        <v>100</v>
      </c>
      <c r="X23" s="2043"/>
      <c r="Y23" s="3654"/>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54"/>
      <c r="Q24" s="2883"/>
      <c r="R24" s="1694"/>
      <c r="S24" s="1695"/>
      <c r="T24" s="1694"/>
      <c r="U24" s="1695"/>
      <c r="V24" s="1694"/>
      <c r="W24" s="1695"/>
      <c r="X24" s="2043"/>
      <c r="Y24" s="3654"/>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54"/>
      <c r="Q25" s="2883" t="str">
        <f>B25</f>
        <v>毗邻道路的类型与等级</v>
      </c>
      <c r="R25" s="1694" t="s">
        <v>25</v>
      </c>
      <c r="S25" s="1695">
        <f>F25</f>
        <v>100</v>
      </c>
      <c r="T25" s="1694" t="s">
        <v>25</v>
      </c>
      <c r="U25" s="1695">
        <f>H25</f>
        <v>100</v>
      </c>
      <c r="V25" s="1694" t="s">
        <v>25</v>
      </c>
      <c r="W25" s="1695">
        <f>J25</f>
        <v>100</v>
      </c>
      <c r="X25" s="2043"/>
      <c r="Y25" s="3654"/>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54"/>
      <c r="Q26" s="2883"/>
      <c r="R26" s="1694"/>
      <c r="S26" s="1695"/>
      <c r="T26" s="1694"/>
      <c r="U26" s="1695"/>
      <c r="V26" s="1694"/>
      <c r="W26" s="1695"/>
      <c r="X26" s="2043"/>
      <c r="Y26" s="3654"/>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54"/>
      <c r="Q27" s="2883" t="str">
        <f t="shared" ref="Q27:Q47" si="11">B27</f>
        <v>楼层</v>
      </c>
      <c r="R27" s="1694" t="s">
        <v>25</v>
      </c>
      <c r="S27" s="1695">
        <f>F27</f>
        <v>100</v>
      </c>
      <c r="T27" s="1694" t="s">
        <v>25</v>
      </c>
      <c r="U27" s="1695">
        <f>H27</f>
        <v>100</v>
      </c>
      <c r="V27" s="1694" t="s">
        <v>25</v>
      </c>
      <c r="W27" s="1695">
        <f>J27</f>
        <v>100</v>
      </c>
      <c r="X27" s="2043"/>
      <c r="Y27" s="3654"/>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54"/>
      <c r="Q28" s="2882" t="str">
        <f t="shared" si="11"/>
        <v>朝向</v>
      </c>
      <c r="R28" s="1649" t="s">
        <v>25</v>
      </c>
      <c r="S28" s="1650">
        <f>F28</f>
        <v>100</v>
      </c>
      <c r="T28" s="1649" t="s">
        <v>25</v>
      </c>
      <c r="U28" s="1650">
        <f>H28</f>
        <v>100</v>
      </c>
      <c r="V28" s="1649" t="s">
        <v>25</v>
      </c>
      <c r="W28" s="1650">
        <f>J28</f>
        <v>100</v>
      </c>
      <c r="X28" s="1651"/>
      <c r="Y28" s="3654"/>
      <c r="Z28" s="1662" t="str">
        <f>Q28</f>
        <v>朝向</v>
      </c>
      <c r="AA28" s="2038">
        <f>D28/F28</f>
        <v>1</v>
      </c>
      <c r="AB28" s="2038">
        <f>D28/H28</f>
        <v>1</v>
      </c>
      <c r="AC28" s="2038">
        <f>D28/J28</f>
        <v>1</v>
      </c>
    </row>
    <row r="29" spans="1:29" ht="15.75" thickBot="1">
      <c r="A29" s="1671"/>
      <c r="B29" s="3327" t="s">
        <v>3005</v>
      </c>
      <c r="C29" s="3328" t="s">
        <v>3000</v>
      </c>
      <c r="D29" s="1680">
        <v>100</v>
      </c>
      <c r="E29" s="3329" t="s">
        <v>3102</v>
      </c>
      <c r="F29" s="1680">
        <f>SUMIF(93:93,E29,94:94)-SUMIF(93:93,C29,94:94)+100</f>
        <v>98</v>
      </c>
      <c r="G29" s="3330" t="s">
        <v>3102</v>
      </c>
      <c r="H29" s="1680">
        <f>SUMIF(93:93,G29,94:94)-SUMIF(93:93,C29,94:94)+100</f>
        <v>98</v>
      </c>
      <c r="I29" s="3329" t="s">
        <v>3103</v>
      </c>
      <c r="J29" s="1680">
        <f>SUMIF(93:93,I29,94:94)-SUMIF(93:93,C29,94:94)+100</f>
        <v>100</v>
      </c>
      <c r="K29" s="1958"/>
      <c r="L29" s="2969"/>
      <c r="M29" s="2965"/>
      <c r="N29" s="2965"/>
      <c r="O29" s="2965"/>
      <c r="P29" s="3654"/>
      <c r="Q29" s="2883" t="str">
        <f t="shared" si="11"/>
        <v>楼层</v>
      </c>
      <c r="R29" s="1694" t="s">
        <v>25</v>
      </c>
      <c r="S29" s="1695">
        <f t="shared" ref="S29:S47" si="12">F29</f>
        <v>98</v>
      </c>
      <c r="T29" s="1694" t="s">
        <v>25</v>
      </c>
      <c r="U29" s="1695">
        <f t="shared" ref="U29:U47" si="13">H29</f>
        <v>98</v>
      </c>
      <c r="V29" s="1694" t="s">
        <v>25</v>
      </c>
      <c r="W29" s="1695">
        <f t="shared" ref="W29:W47" si="14">J29</f>
        <v>100</v>
      </c>
      <c r="X29" s="2043"/>
      <c r="Y29" s="3654"/>
      <c r="Z29" s="2047" t="str">
        <f t="shared" ref="Z29:Z47" si="15">Q29</f>
        <v>楼层</v>
      </c>
      <c r="AA29" s="2038">
        <f t="shared" si="3"/>
        <v>1.0204081632653061</v>
      </c>
      <c r="AB29" s="2038">
        <f t="shared" si="4"/>
        <v>1.0204081632653061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54"/>
      <c r="Q30" s="2883">
        <f t="shared" si="11"/>
        <v>111</v>
      </c>
      <c r="R30" s="1694" t="s">
        <v>25</v>
      </c>
      <c r="S30" s="1695">
        <f t="shared" si="12"/>
        <v>100</v>
      </c>
      <c r="T30" s="1694" t="s">
        <v>25</v>
      </c>
      <c r="U30" s="1695">
        <f t="shared" si="13"/>
        <v>100</v>
      </c>
      <c r="V30" s="1694" t="s">
        <v>25</v>
      </c>
      <c r="W30" s="1695">
        <f t="shared" si="14"/>
        <v>100</v>
      </c>
      <c r="X30" s="2043"/>
      <c r="Y30" s="3654"/>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54"/>
      <c r="Q31" s="2883">
        <f t="shared" si="11"/>
        <v>111</v>
      </c>
      <c r="R31" s="1694" t="s">
        <v>25</v>
      </c>
      <c r="S31" s="1695">
        <f t="shared" si="12"/>
        <v>100</v>
      </c>
      <c r="T31" s="1694" t="s">
        <v>25</v>
      </c>
      <c r="U31" s="1695">
        <f t="shared" si="13"/>
        <v>100</v>
      </c>
      <c r="V31" s="1694" t="s">
        <v>25</v>
      </c>
      <c r="W31" s="1695">
        <f t="shared" si="14"/>
        <v>100</v>
      </c>
      <c r="X31" s="2043"/>
      <c r="Y31" s="3654"/>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54"/>
      <c r="Q32" s="2883">
        <f t="shared" si="11"/>
        <v>111</v>
      </c>
      <c r="R32" s="1694" t="s">
        <v>25</v>
      </c>
      <c r="S32" s="1695">
        <f t="shared" si="12"/>
        <v>100</v>
      </c>
      <c r="T32" s="1694" t="s">
        <v>25</v>
      </c>
      <c r="U32" s="1695">
        <f t="shared" si="13"/>
        <v>100</v>
      </c>
      <c r="V32" s="1694" t="s">
        <v>25</v>
      </c>
      <c r="W32" s="1695">
        <f t="shared" si="14"/>
        <v>100</v>
      </c>
      <c r="X32" s="2043"/>
      <c r="Y32" s="3654"/>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5" t="s">
        <v>2217</v>
      </c>
      <c r="Q33" s="2883" t="str">
        <f t="shared" si="11"/>
        <v>建筑类型</v>
      </c>
      <c r="R33" s="1694" t="s">
        <v>25</v>
      </c>
      <c r="S33" s="1695">
        <f t="shared" si="12"/>
        <v>100</v>
      </c>
      <c r="T33" s="1694" t="s">
        <v>25</v>
      </c>
      <c r="U33" s="1695">
        <f t="shared" si="13"/>
        <v>100</v>
      </c>
      <c r="V33" s="1694" t="s">
        <v>25</v>
      </c>
      <c r="W33" s="1695">
        <f t="shared" si="14"/>
        <v>100</v>
      </c>
      <c r="X33" s="2043"/>
      <c r="Y33" s="3658" t="s">
        <v>2217</v>
      </c>
      <c r="Z33" s="2047" t="str">
        <f t="shared" si="15"/>
        <v>建筑类型</v>
      </c>
      <c r="AA33" s="2038">
        <f t="shared" si="3"/>
        <v>1</v>
      </c>
      <c r="AB33" s="2038">
        <f t="shared" si="4"/>
        <v>1</v>
      </c>
      <c r="AC33" s="2038">
        <f t="shared" si="5"/>
        <v>1</v>
      </c>
    </row>
    <row r="34" spans="1:29" s="1740" customFormat="1" ht="15">
      <c r="A34" s="1733"/>
      <c r="B34" s="1664" t="s">
        <v>2218</v>
      </c>
      <c r="C34" s="1734">
        <f>'数据-取费表'!E5</f>
        <v>118.86</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58"/>
      <c r="Q34" s="1735" t="str">
        <f t="shared" si="11"/>
        <v>项目建筑规模</v>
      </c>
      <c r="R34" s="1736" t="s">
        <v>25</v>
      </c>
      <c r="S34" s="1737">
        <f t="shared" si="12"/>
        <v>100</v>
      </c>
      <c r="T34" s="1736" t="s">
        <v>25</v>
      </c>
      <c r="U34" s="1737">
        <f t="shared" si="13"/>
        <v>100</v>
      </c>
      <c r="V34" s="1736" t="s">
        <v>25</v>
      </c>
      <c r="W34" s="1737">
        <f t="shared" si="14"/>
        <v>100</v>
      </c>
      <c r="X34" s="1738"/>
      <c r="Y34" s="3658"/>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8"/>
      <c r="Q35" s="2883" t="str">
        <f t="shared" si="11"/>
        <v>建筑结构</v>
      </c>
      <c r="R35" s="1694" t="s">
        <v>25</v>
      </c>
      <c r="S35" s="1695">
        <f t="shared" si="12"/>
        <v>100</v>
      </c>
      <c r="T35" s="1694" t="s">
        <v>25</v>
      </c>
      <c r="U35" s="1695">
        <f t="shared" si="13"/>
        <v>100</v>
      </c>
      <c r="V35" s="1694" t="s">
        <v>25</v>
      </c>
      <c r="W35" s="1695">
        <f t="shared" si="14"/>
        <v>100</v>
      </c>
      <c r="X35" s="2043"/>
      <c r="Y35" s="3658"/>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8"/>
      <c r="Q36" s="2883" t="str">
        <f t="shared" si="11"/>
        <v>公共部分装修</v>
      </c>
      <c r="R36" s="1694" t="s">
        <v>25</v>
      </c>
      <c r="S36" s="1695">
        <f t="shared" si="12"/>
        <v>100</v>
      </c>
      <c r="T36" s="1694" t="s">
        <v>25</v>
      </c>
      <c r="U36" s="1695">
        <f t="shared" si="13"/>
        <v>100</v>
      </c>
      <c r="V36" s="1694" t="s">
        <v>25</v>
      </c>
      <c r="W36" s="1695">
        <f t="shared" si="14"/>
        <v>100</v>
      </c>
      <c r="X36" s="2043"/>
      <c r="Y36" s="3658"/>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58"/>
      <c r="Q37" s="2883" t="str">
        <f t="shared" si="11"/>
        <v>成新度</v>
      </c>
      <c r="R37" s="1694" t="s">
        <v>25</v>
      </c>
      <c r="S37" s="1695">
        <f t="shared" si="12"/>
        <v>100</v>
      </c>
      <c r="T37" s="1694" t="s">
        <v>25</v>
      </c>
      <c r="U37" s="1695">
        <f t="shared" si="13"/>
        <v>100</v>
      </c>
      <c r="V37" s="1694" t="s">
        <v>25</v>
      </c>
      <c r="W37" s="1695">
        <f t="shared" si="14"/>
        <v>100</v>
      </c>
      <c r="X37" s="2043"/>
      <c r="Y37" s="3658"/>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8"/>
      <c r="Q38" s="2882" t="str">
        <f t="shared" si="11"/>
        <v>写字楼等级</v>
      </c>
      <c r="R38" s="1649" t="s">
        <v>25</v>
      </c>
      <c r="S38" s="1650">
        <f t="shared" si="12"/>
        <v>100</v>
      </c>
      <c r="T38" s="1649" t="s">
        <v>25</v>
      </c>
      <c r="U38" s="1650">
        <f t="shared" si="13"/>
        <v>100</v>
      </c>
      <c r="V38" s="1649" t="s">
        <v>25</v>
      </c>
      <c r="W38" s="1650">
        <f t="shared" si="14"/>
        <v>100</v>
      </c>
      <c r="X38" s="1651"/>
      <c r="Y38" s="3658"/>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8" t="s">
        <v>2217</v>
      </c>
      <c r="Q39" s="2883" t="str">
        <f t="shared" si="11"/>
        <v>物业管理</v>
      </c>
      <c r="R39" s="1694" t="s">
        <v>25</v>
      </c>
      <c r="S39" s="1695">
        <f t="shared" si="12"/>
        <v>100</v>
      </c>
      <c r="T39" s="1694" t="s">
        <v>25</v>
      </c>
      <c r="U39" s="1695">
        <f t="shared" si="13"/>
        <v>100</v>
      </c>
      <c r="V39" s="1694" t="s">
        <v>25</v>
      </c>
      <c r="W39" s="1695">
        <f t="shared" si="14"/>
        <v>100</v>
      </c>
      <c r="X39" s="2043"/>
      <c r="Y39" s="3658"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58"/>
      <c r="Q40" s="2883" t="str">
        <f t="shared" si="11"/>
        <v>市政基础设施</v>
      </c>
      <c r="R40" s="1694" t="s">
        <v>25</v>
      </c>
      <c r="S40" s="1695">
        <f t="shared" si="12"/>
        <v>100</v>
      </c>
      <c r="T40" s="1694" t="s">
        <v>25</v>
      </c>
      <c r="U40" s="1695">
        <f t="shared" si="13"/>
        <v>100</v>
      </c>
      <c r="V40" s="1694" t="s">
        <v>25</v>
      </c>
      <c r="W40" s="1695">
        <f t="shared" si="14"/>
        <v>100</v>
      </c>
      <c r="X40" s="2043"/>
      <c r="Y40" s="3658"/>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58"/>
      <c r="Q41" s="2883" t="str">
        <f t="shared" si="11"/>
        <v>层高</v>
      </c>
      <c r="R41" s="1694" t="s">
        <v>25</v>
      </c>
      <c r="S41" s="1695">
        <f t="shared" si="12"/>
        <v>100</v>
      </c>
      <c r="T41" s="1694" t="s">
        <v>25</v>
      </c>
      <c r="U41" s="1695">
        <f t="shared" si="13"/>
        <v>100</v>
      </c>
      <c r="V41" s="1694" t="s">
        <v>25</v>
      </c>
      <c r="W41" s="1695">
        <f t="shared" si="14"/>
        <v>100</v>
      </c>
      <c r="X41" s="2043"/>
      <c r="Y41" s="3658"/>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8"/>
      <c r="Q42" s="1735" t="str">
        <f t="shared" si="11"/>
        <v>单套建筑面积</v>
      </c>
      <c r="R42" s="1736" t="s">
        <v>25</v>
      </c>
      <c r="S42" s="1737">
        <f t="shared" si="12"/>
        <v>100</v>
      </c>
      <c r="T42" s="1736" t="s">
        <v>25</v>
      </c>
      <c r="U42" s="1737">
        <f t="shared" si="13"/>
        <v>100</v>
      </c>
      <c r="V42" s="1736" t="s">
        <v>25</v>
      </c>
      <c r="W42" s="1737">
        <f t="shared" si="14"/>
        <v>100</v>
      </c>
      <c r="X42" s="1738"/>
      <c r="Y42" s="3658"/>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58"/>
      <c r="Q43" s="2883" t="str">
        <f t="shared" si="11"/>
        <v>内部装修</v>
      </c>
      <c r="R43" s="1694" t="s">
        <v>25</v>
      </c>
      <c r="S43" s="1695">
        <f t="shared" si="12"/>
        <v>98</v>
      </c>
      <c r="T43" s="1694" t="s">
        <v>25</v>
      </c>
      <c r="U43" s="1695">
        <f t="shared" si="13"/>
        <v>102</v>
      </c>
      <c r="V43" s="1694" t="s">
        <v>25</v>
      </c>
      <c r="W43" s="1695">
        <f t="shared" si="14"/>
        <v>96</v>
      </c>
      <c r="X43" s="2043"/>
      <c r="Y43" s="3658"/>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58"/>
      <c r="Q44" s="2883" t="str">
        <f t="shared" si="11"/>
        <v>内部装修维护情况</v>
      </c>
      <c r="R44" s="1694" t="s">
        <v>25</v>
      </c>
      <c r="S44" s="1695">
        <f t="shared" si="12"/>
        <v>100</v>
      </c>
      <c r="T44" s="1694" t="s">
        <v>25</v>
      </c>
      <c r="U44" s="1695">
        <f t="shared" si="13"/>
        <v>100</v>
      </c>
      <c r="V44" s="1694" t="s">
        <v>25</v>
      </c>
      <c r="W44" s="1695">
        <f t="shared" si="14"/>
        <v>100</v>
      </c>
      <c r="X44" s="2043"/>
      <c r="Y44" s="3658"/>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8"/>
      <c r="Q45" s="2882">
        <f t="shared" si="11"/>
        <v>111</v>
      </c>
      <c r="R45" s="1649" t="s">
        <v>25</v>
      </c>
      <c r="S45" s="1650">
        <f t="shared" si="12"/>
        <v>100</v>
      </c>
      <c r="T45" s="1649" t="s">
        <v>25</v>
      </c>
      <c r="U45" s="1650">
        <f t="shared" si="13"/>
        <v>100</v>
      </c>
      <c r="V45" s="1649" t="s">
        <v>25</v>
      </c>
      <c r="W45" s="1650">
        <f t="shared" si="14"/>
        <v>100</v>
      </c>
      <c r="X45" s="1651"/>
      <c r="Y45" s="3658"/>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8"/>
      <c r="Q46" s="2883">
        <f t="shared" si="11"/>
        <v>111</v>
      </c>
      <c r="R46" s="1694" t="s">
        <v>25</v>
      </c>
      <c r="S46" s="1695">
        <f t="shared" si="12"/>
        <v>100</v>
      </c>
      <c r="T46" s="1694" t="s">
        <v>25</v>
      </c>
      <c r="U46" s="1695">
        <f t="shared" si="13"/>
        <v>100</v>
      </c>
      <c r="V46" s="1694" t="s">
        <v>25</v>
      </c>
      <c r="W46" s="1695">
        <f t="shared" si="14"/>
        <v>100</v>
      </c>
      <c r="X46" s="2043"/>
      <c r="Y46" s="3658"/>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9"/>
      <c r="Q47" s="2883">
        <f t="shared" si="11"/>
        <v>111</v>
      </c>
      <c r="R47" s="1694" t="s">
        <v>25</v>
      </c>
      <c r="S47" s="1695">
        <f t="shared" si="12"/>
        <v>100</v>
      </c>
      <c r="T47" s="1694" t="s">
        <v>25</v>
      </c>
      <c r="U47" s="1695">
        <f t="shared" si="13"/>
        <v>100</v>
      </c>
      <c r="V47" s="1694" t="s">
        <v>25</v>
      </c>
      <c r="W47" s="1695">
        <f t="shared" si="14"/>
        <v>100</v>
      </c>
      <c r="X47" s="2043"/>
      <c r="Y47" s="3659"/>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64" t="str">
        <f>A48</f>
        <v>成交单价（元/平方米）</v>
      </c>
      <c r="Q48" s="3664"/>
      <c r="R48" s="3665">
        <f>E48</f>
        <v>18000</v>
      </c>
      <c r="S48" s="3665"/>
      <c r="T48" s="3665">
        <f>G48</f>
        <v>20000</v>
      </c>
      <c r="U48" s="3665"/>
      <c r="V48" s="3665">
        <f>I48</f>
        <v>20000</v>
      </c>
      <c r="W48" s="3665"/>
      <c r="X48" s="1760"/>
      <c r="Y48" s="2042"/>
      <c r="Z48" s="1760"/>
      <c r="AA48" s="1760"/>
      <c r="AB48" s="1760"/>
      <c r="AC48" s="1760"/>
    </row>
    <row r="49" spans="1:29" ht="15.75" thickBot="1">
      <c r="A49" s="1762" t="s">
        <v>2312</v>
      </c>
      <c r="B49" s="1763"/>
      <c r="C49" s="1764">
        <f>R50</f>
        <v>19861</v>
      </c>
      <c r="D49" s="1765" t="s">
        <v>2686</v>
      </c>
      <c r="E49" s="1766">
        <f>R49</f>
        <v>18742</v>
      </c>
      <c r="F49" s="1767"/>
      <c r="G49" s="1764">
        <f>T49</f>
        <v>20008</v>
      </c>
      <c r="H49" s="1767"/>
      <c r="I49" s="1766">
        <f>V49</f>
        <v>20833</v>
      </c>
      <c r="J49" s="1767"/>
      <c r="K49" s="2479">
        <f>F49+H49+J49</f>
        <v>0</v>
      </c>
      <c r="L49" s="2970"/>
      <c r="M49" s="2965"/>
      <c r="N49" s="2965"/>
      <c r="O49" s="2965"/>
      <c r="P49" s="3664" t="str">
        <f>A49</f>
        <v>比较价值（元/平方米）</v>
      </c>
      <c r="Q49" s="3664"/>
      <c r="R49" s="3665">
        <f>IF(E1="售价",ROUND(PRODUCT(R48,AA7:AA47),0),ROUND(PRODUCT(R48,AA7:AA47),1))</f>
        <v>18742</v>
      </c>
      <c r="S49" s="3665"/>
      <c r="T49" s="3665">
        <f>IF(E1="售价",ROUND(PRODUCT(T48,AB7:AB47),0),ROUND(PRODUCT(T48,AB7:AB47),1))</f>
        <v>20008</v>
      </c>
      <c r="U49" s="3665"/>
      <c r="V49" s="3665">
        <f>IF(E1="售价",ROUND(PRODUCT(V48,AC7:AC47),0),ROUND(PRODUCT(V48,AC7:AC47),1))</f>
        <v>20833</v>
      </c>
      <c r="W49" s="3665"/>
      <c r="X49" s="1760"/>
      <c r="Y49" s="1760"/>
      <c r="Z49" s="1760"/>
      <c r="AA49" s="1760"/>
      <c r="AB49" s="1760"/>
      <c r="AC49" s="1760"/>
    </row>
    <row r="50" spans="1:29" ht="15.75" thickBot="1">
      <c r="A50" s="1768" t="s">
        <v>2335</v>
      </c>
      <c r="B50" s="1769"/>
      <c r="C50" s="1771">
        <f>R50</f>
        <v>19861</v>
      </c>
      <c r="D50" s="1771"/>
      <c r="E50" s="1771"/>
      <c r="F50" s="1771"/>
      <c r="G50" s="1771"/>
      <c r="H50" s="1771"/>
      <c r="I50" s="1771"/>
      <c r="J50" s="1771"/>
      <c r="K50" s="1987"/>
      <c r="L50" s="2970"/>
      <c r="M50" s="2965"/>
      <c r="N50" s="2965"/>
      <c r="O50" s="2965"/>
      <c r="P50" s="3670" t="str">
        <f>A50</f>
        <v>估价对象XX用房的比较价值（楼面单价，元/平方米）</v>
      </c>
      <c r="Q50" s="3671"/>
      <c r="R50" s="3672">
        <f>IF(E1="售价",ROUND(IF(D49="简单平均",AVERAGE(R49:V49),R49*F49+T49*H49+V49*J49),0),ROUND(IF(D49="简单平均",AVERAGE(R49:V49),R49*F49+T49*H49+V49*J49),1))</f>
        <v>19861</v>
      </c>
      <c r="S50" s="3672"/>
      <c r="T50" s="3672"/>
      <c r="U50" s="3672"/>
      <c r="V50" s="3672"/>
      <c r="W50" s="3672"/>
      <c r="X50" s="1760"/>
      <c r="Y50" s="1760"/>
      <c r="Z50" s="1760"/>
      <c r="AA50" s="1760"/>
      <c r="AB50" s="1760"/>
      <c r="AC50" s="1760"/>
    </row>
    <row r="51" spans="1:29">
      <c r="G51" s="2974"/>
    </row>
    <row r="53" spans="1:29" ht="13.5" customHeight="1">
      <c r="C53" s="383" t="s">
        <v>2314</v>
      </c>
      <c r="D53" s="1776"/>
      <c r="E53" s="1777">
        <f>IF(E48&lt;E49,E49/E48-1,E48/E49-1)</f>
        <v>4.1222222222222271E-2</v>
      </c>
      <c r="F53" s="1778" t="str">
        <f>IF(OR(E53&gt;=0.3,E53&lt;=-0.3),"超过30%","")</f>
        <v/>
      </c>
      <c r="G53" s="1777">
        <f>IF(G48&lt;G49,G49/G48-1,G48/G49-1)</f>
        <v>3.9999999999995595E-4</v>
      </c>
      <c r="H53" s="1778" t="str">
        <f>IF(OR(G53&gt;=0.3,G53&lt;=-0.3),"超过30%","")</f>
        <v/>
      </c>
      <c r="I53" s="1777">
        <f>IF(I48&lt;I49,I49/I48-1,I48/I49-1)</f>
        <v>4.1649999999999965E-2</v>
      </c>
      <c r="J53" s="1778" t="str">
        <f>IF(OR(I53&gt;=0.3,I53&lt;=-0.3),"超过30%","")</f>
        <v/>
      </c>
    </row>
    <row r="54" spans="1:29" ht="13.5" customHeight="1">
      <c r="C54" s="383" t="s">
        <v>2315</v>
      </c>
      <c r="D54" s="1779"/>
      <c r="E54" s="1777">
        <f>IF(E49&lt;G49,G49/E49-1,E49/G49-1)</f>
        <v>6.7548820830220846E-2</v>
      </c>
      <c r="F54" s="1778" t="str">
        <f>IF(OR(E54&gt;=0.2,E54&lt;=-0.2),"超过20%","")</f>
        <v/>
      </c>
      <c r="G54" s="1777">
        <f>IF(G49&lt;I49,I49/G49-1,G49/I49-1)</f>
        <v>4.1233506597361025E-2</v>
      </c>
      <c r="H54" s="1778" t="str">
        <f>IF(OR(G54&gt;=0.2,G54&lt;=-0.2),"超过20%","")</f>
        <v/>
      </c>
      <c r="I54" s="1777">
        <f>IF(I49&lt;E49,E49/I49-1,I49/E49-1)</f>
        <v>0.11156760217692874</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169</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14226</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97736</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97614</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118.86</v>
      </c>
      <c r="G7" s="949"/>
      <c r="H7" s="237"/>
      <c r="I7" s="238"/>
      <c r="J7" s="239"/>
      <c r="K7" s="240"/>
      <c r="L7" s="235" t="s">
        <v>1959</v>
      </c>
      <c r="M7" s="236">
        <f>IF('数据-取费表'!B42="",IF(D1="仅计算典型户型",'数据-取费表'!E5,'数据-取费表'!B5),'数据-取费表'!B42)</f>
        <v>118.86</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122</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638461</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451668</v>
      </c>
      <c r="D14" s="1296" t="s">
        <v>1977</v>
      </c>
      <c r="E14" s="1297"/>
      <c r="F14" s="798"/>
      <c r="G14" s="950"/>
      <c r="H14" s="253" t="s">
        <v>1956</v>
      </c>
      <c r="I14" s="235" t="s">
        <v>1978</v>
      </c>
      <c r="J14" s="13">
        <f ca="1">C29</f>
        <v>709401</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22583</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16600</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23772</v>
      </c>
      <c r="D17" s="235" t="s">
        <v>1991</v>
      </c>
      <c r="E17" s="235" t="s">
        <v>1992</v>
      </c>
      <c r="F17" s="15">
        <f>'数据-取费表'!E23</f>
        <v>200</v>
      </c>
      <c r="G17" s="950"/>
      <c r="H17" s="253" t="s">
        <v>1993</v>
      </c>
      <c r="I17" s="235" t="s">
        <v>1994</v>
      </c>
      <c r="J17" s="2794">
        <f ca="1">ROUND(IF(AND(项目基本情况!B7="自然人",项目基本情况!B6="北京市"),J6*M17/(1+'数据-取费表'!F30),J18+J19+J20),0)</f>
        <v>5959</v>
      </c>
      <c r="K17" s="1296" t="s">
        <v>1995</v>
      </c>
      <c r="L17" s="1299" t="s">
        <v>1996</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6775</v>
      </c>
      <c r="D18" s="235" t="s">
        <v>1981</v>
      </c>
      <c r="E18" s="235" t="s">
        <v>1982</v>
      </c>
      <c r="F18" s="258">
        <f>'数据-取费表'!E24</f>
        <v>1.4999999999999999E-2</v>
      </c>
      <c r="G18" s="949"/>
      <c r="H18" s="253" t="s">
        <v>1999</v>
      </c>
      <c r="I18" s="235" t="s">
        <v>2000</v>
      </c>
      <c r="J18" s="13">
        <f>IF(项目基本情况!B7="自然人","——",ROUND(J6*M18/(1+'数据-取费表'!F30),0))</f>
        <v>0</v>
      </c>
      <c r="K18" s="1299" t="s">
        <v>2669</v>
      </c>
      <c r="L18" s="235" t="s">
        <v>1982</v>
      </c>
      <c r="M18" s="258">
        <f>'数据-取费表'!E29</f>
        <v>5.5000000000000007E-2</v>
      </c>
    </row>
    <row r="19" spans="1:37" s="257" customFormat="1" ht="18" customHeight="1">
      <c r="A19" s="253" t="s">
        <v>1993</v>
      </c>
      <c r="B19" s="235" t="s">
        <v>2001</v>
      </c>
      <c r="C19" s="13">
        <f>SUM(C14:C18)</f>
        <v>504798</v>
      </c>
      <c r="D19" s="33" t="s">
        <v>2002</v>
      </c>
      <c r="E19" s="1301"/>
      <c r="F19" s="15"/>
      <c r="G19" s="950"/>
      <c r="H19" s="253" t="s">
        <v>1979</v>
      </c>
      <c r="I19" s="235" t="s">
        <v>2003</v>
      </c>
      <c r="J19" s="13">
        <f ca="1">IF(项目基本情况!B7="自然人","——",IF(K19="按租金收入计税",ROUND(J6*M19/(1+'数据-取费表'!F30),0),ROUND(C29*M19*0.7,0)))</f>
        <v>5959</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15144</v>
      </c>
      <c r="D20" s="259" t="s">
        <v>2006</v>
      </c>
      <c r="E20" s="235" t="s">
        <v>2007</v>
      </c>
      <c r="F20" s="258">
        <f>'数据-取费表'!E25</f>
        <v>0.03</v>
      </c>
      <c r="G20" s="950"/>
      <c r="H20" s="253" t="s">
        <v>1985</v>
      </c>
      <c r="I20" s="36" t="s">
        <v>2008</v>
      </c>
      <c r="J20" s="14">
        <f>IF(项目基本情况!B7="自然人","——",ROUND(M20*M21,0))</f>
        <v>0</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10641</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21838</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0.03</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-16600</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103988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709401</v>
      </c>
      <c r="D29" s="1074"/>
      <c r="E29" s="1072"/>
      <c r="F29" s="1075"/>
      <c r="G29" s="651"/>
      <c r="H29" s="271" t="s">
        <v>24</v>
      </c>
      <c r="I29" s="272" t="s">
        <v>2051</v>
      </c>
      <c r="J29" s="273">
        <f ca="1">ROUND(J26/(1+F40)^F41,0)</f>
        <v>0</v>
      </c>
      <c r="K29" s="274" t="s">
        <v>2052</v>
      </c>
      <c r="L29" s="275"/>
      <c r="M29" s="276">
        <f>IF(D1="仅计算典型户型",'数据-取费表'!E5,'数据-取费表'!B5)</f>
        <v>118.86</v>
      </c>
    </row>
    <row r="30" spans="1:37" ht="18" customHeight="1" thickTop="1">
      <c r="A30" s="1061" t="s">
        <v>14</v>
      </c>
      <c r="B30" s="1062" t="s">
        <v>2053</v>
      </c>
      <c r="C30" s="243">
        <f ca="1">ROUND(C31+C36+C37+C38,0)</f>
        <v>30800</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16269</v>
      </c>
      <c r="D31" s="1296" t="s">
        <v>2055</v>
      </c>
      <c r="E31" s="1299" t="s">
        <v>2056</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1975</v>
      </c>
      <c r="B32" s="235" t="s">
        <v>2057</v>
      </c>
      <c r="C32" s="13">
        <f>IF(项目基本情况!B7="自然人","——",ROUND(C6*F32/(1+'数据-取费表'!F30),0))</f>
        <v>5113</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11156</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10641</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958</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2932</v>
      </c>
      <c r="D38" s="1074" t="s">
        <v>2028</v>
      </c>
      <c r="E38" s="1072" t="s">
        <v>2024</v>
      </c>
      <c r="F38" s="1067">
        <f>'数据-取费表'!B47</f>
        <v>0.03</v>
      </c>
      <c r="G38" s="651"/>
      <c r="H38" s="941"/>
      <c r="I38" s="280" t="s">
        <v>2066</v>
      </c>
      <c r="J38" s="136">
        <f ca="1">ROUND(J34/C39,3)</f>
        <v>0</v>
      </c>
      <c r="K38" s="946"/>
      <c r="L38" s="941"/>
      <c r="M38" s="941"/>
    </row>
    <row r="39" spans="1:18" ht="18" customHeight="1" thickTop="1">
      <c r="A39" s="1061" t="s">
        <v>22</v>
      </c>
      <c r="B39" s="1076" t="s">
        <v>2067</v>
      </c>
      <c r="C39" s="243">
        <f ca="1">C5-C30</f>
        <v>66936</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1676318</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41.02</v>
      </c>
      <c r="H41" s="948"/>
      <c r="I41" s="135" t="s">
        <v>1944</v>
      </c>
      <c r="J41" s="136">
        <f ca="1">ROUND(C13/C40,3)</f>
        <v>0.38100000000000001</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0.61899999999999999</v>
      </c>
      <c r="K42" s="945"/>
      <c r="L42" s="948"/>
      <c r="M42" s="948"/>
      <c r="Q42" s="655"/>
    </row>
    <row r="43" spans="1:18" s="651" customFormat="1" ht="18" customHeight="1" thickBot="1">
      <c r="A43" s="271" t="s">
        <v>24</v>
      </c>
      <c r="B43" s="272" t="s">
        <v>2073</v>
      </c>
      <c r="C43" s="273">
        <f ca="1">ROUND(C40/F43,0)</f>
        <v>14103</v>
      </c>
      <c r="D43" s="274" t="s">
        <v>2074</v>
      </c>
      <c r="E43" s="275" t="s">
        <v>2075</v>
      </c>
      <c r="F43" s="276">
        <f>IF(D1="仅计算典型户型",'数据-取费表'!E5,'数据-取费表'!B5)</f>
        <v>118.86</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1676318</v>
      </c>
      <c r="R45" s="1048" t="s">
        <v>2082</v>
      </c>
    </row>
    <row r="46" spans="1:18" s="651" customFormat="1" ht="18" customHeight="1" thickBot="1">
      <c r="A46" s="648"/>
      <c r="D46" s="648"/>
      <c r="E46" s="648"/>
      <c r="F46" s="648"/>
      <c r="K46" s="652"/>
      <c r="O46" s="1045" t="s">
        <v>950</v>
      </c>
      <c r="P46" s="1046" t="s">
        <v>2083</v>
      </c>
      <c r="Q46" s="1047">
        <f ca="1">J61</f>
        <v>14608</v>
      </c>
      <c r="R46" s="1048" t="s">
        <v>2084</v>
      </c>
    </row>
    <row r="47" spans="1:18" s="651" customFormat="1" ht="21.75" thickBot="1">
      <c r="A47" s="1495" t="s">
        <v>2085</v>
      </c>
      <c r="C47" s="990">
        <f ca="1">IF(C2="元",C69-C40,ROUND((C69-C40)/10000,0))</f>
        <v>-283</v>
      </c>
      <c r="D47" s="1496" t="str">
        <f>C2</f>
        <v>万元</v>
      </c>
      <c r="E47" s="648"/>
      <c r="F47" s="648"/>
      <c r="I47" s="1497" t="s">
        <v>2086</v>
      </c>
      <c r="J47" s="1021"/>
      <c r="K47" s="1022"/>
      <c r="L47" s="1035">
        <f ca="1">IF(M48="住宅",0,IF(L49&gt;J52,L61,J61))</f>
        <v>14608</v>
      </c>
      <c r="O47" s="1049" t="s">
        <v>951</v>
      </c>
      <c r="P47" s="1046" t="s">
        <v>2087</v>
      </c>
      <c r="Q47" s="1047">
        <f ca="1">C29</f>
        <v>709401</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41.02</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2015</v>
      </c>
      <c r="K50" s="1505" t="s">
        <v>2103</v>
      </c>
      <c r="L50" s="1024"/>
      <c r="O50" s="1049" t="s">
        <v>954</v>
      </c>
      <c r="P50" s="1046" t="s">
        <v>2104</v>
      </c>
      <c r="Q50" s="1047">
        <f>J54</f>
        <v>41.02</v>
      </c>
      <c r="R50" s="1048" t="s">
        <v>2105</v>
      </c>
    </row>
    <row r="51" spans="1:18" s="651" customFormat="1" ht="15.75" thickBot="1">
      <c r="A51" s="237"/>
      <c r="B51" s="238"/>
      <c r="C51" s="239"/>
      <c r="D51" s="240"/>
      <c r="E51" s="255" t="s">
        <v>1959</v>
      </c>
      <c r="F51" s="983">
        <f>F7</f>
        <v>118.86</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169</v>
      </c>
      <c r="R51" s="1048" t="s">
        <v>956</v>
      </c>
    </row>
    <row r="52" spans="1:18" s="651" customFormat="1" ht="16.5" thickBot="1">
      <c r="A52" s="237"/>
      <c r="B52" s="238"/>
      <c r="C52" s="239"/>
      <c r="D52" s="240"/>
      <c r="E52" s="235" t="s">
        <v>1961</v>
      </c>
      <c r="F52" s="236">
        <f>F8</f>
        <v>365</v>
      </c>
      <c r="I52" s="1506" t="s">
        <v>2108</v>
      </c>
      <c r="J52" s="1026">
        <f>IF(J50="",J51,J50+J51-YEAR('数据-取费表'!B2))</f>
        <v>53</v>
      </c>
      <c r="K52" s="1507" t="s">
        <v>2109</v>
      </c>
      <c r="L52" s="1027">
        <f ca="1">ROUND(-PV('数据-取费表'!B15,J52,(C40-C13*J35)),0)</f>
        <v>31000824</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41.02</v>
      </c>
      <c r="K54" s="3676" t="s">
        <v>2641</v>
      </c>
      <c r="L54" s="3677"/>
      <c r="O54" s="1045" t="s">
        <v>949</v>
      </c>
      <c r="P54" s="1046" t="s">
        <v>2081</v>
      </c>
      <c r="Q54" s="1047">
        <f ca="1">C40+J29</f>
        <v>1676318</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638461</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709401</v>
      </c>
      <c r="D58" s="981"/>
      <c r="E58" s="982"/>
      <c r="F58" s="989"/>
      <c r="I58" s="1516" t="s">
        <v>2121</v>
      </c>
      <c r="J58" s="1032">
        <f>IF(OR(M48="住宅",J52&lt;L49,J57="是"),"——",J52-L49)</f>
        <v>11.979999999999997</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71189</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 ca="1">ROUND(IF(AND(项目基本情况!B7="自然人",项目基本情况!B6="北京市"),C50*F60/(1+'数据-取费表'!F30),C61+C62+C63),0)</f>
        <v>59590</v>
      </c>
      <c r="D60" s="1296" t="s">
        <v>2055</v>
      </c>
      <c r="E60" s="1299" t="s">
        <v>2056</v>
      </c>
      <c r="F60" s="2793" t="str">
        <f>IF(项目基本情况!B7="企业","——",IF('数据-取费表'!B10="住宅",IF(F50*F51*F52/12/(1+'数据-取费表'!F30)&gt;100000,4%,2.5%),IF(F50*F51*F52/12/(1+'数据-取费表'!F30)&gt;100000,12%,7%)))</f>
        <v>——</v>
      </c>
      <c r="I60" s="1516" t="s">
        <v>2128</v>
      </c>
      <c r="J60" s="1032">
        <f ca="1">IF(OR(M48="住宅",J52&lt;L49,J57="是"),"——",ROUND(C29*J59,0))</f>
        <v>283760</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168</v>
      </c>
      <c r="R60" s="1048" t="s">
        <v>956</v>
      </c>
    </row>
    <row r="61" spans="1:18" s="651"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7" t="s">
        <v>2129</v>
      </c>
      <c r="J61" s="1031">
        <f ca="1">IF(OR(M48="住宅",J52&lt;L49,J57="是"),"0",ROUND(J60/(1+J53)^J54,0))</f>
        <v>14608</v>
      </c>
      <c r="K61" s="1518" t="s">
        <v>2130</v>
      </c>
      <c r="L61" s="1031">
        <f>IF(OR(M48="住宅",L49&lt;J52),0,ROUND(L58*(L59/L60-1),0))</f>
        <v>0</v>
      </c>
      <c r="O61" s="1039" t="s">
        <v>2131</v>
      </c>
      <c r="P61" s="1040"/>
      <c r="Q61" s="1036"/>
      <c r="R61" s="1040"/>
    </row>
    <row r="62" spans="1:18" s="651" customFormat="1" ht="15.75" thickBot="1">
      <c r="A62" s="253" t="s">
        <v>17</v>
      </c>
      <c r="B62" s="235" t="s">
        <v>2132</v>
      </c>
      <c r="C62" s="13">
        <f ca="1">IF(项目基本情况!B7="自然人","——",IF(D62="按租金收入计税",ROUND(C50*F62/(1+'数据-取费表'!F30),0),IF(D62="按房产原值计税",ROUND(C58*F62*0.7,0),'数据-取费表'!B44)))</f>
        <v>59590</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f>IF(项目基本情况!B7="自然人","——",ROUND(F63*F64,0))</f>
        <v>0</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1676318</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10641</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31000824</v>
      </c>
      <c r="R65" s="1052" t="s">
        <v>2144</v>
      </c>
    </row>
    <row r="66" spans="1:18" s="651" customFormat="1" ht="20.25" thickBot="1">
      <c r="A66" s="253" t="s">
        <v>20</v>
      </c>
      <c r="B66" s="235" t="s">
        <v>2022</v>
      </c>
      <c r="C66" s="13">
        <f ca="1">ROUND(C57*F66,0)</f>
        <v>958</v>
      </c>
      <c r="D66" s="1299" t="s">
        <v>2023</v>
      </c>
      <c r="E66" s="235" t="s">
        <v>2024</v>
      </c>
      <c r="F66" s="266">
        <f t="shared" si="0"/>
        <v>1.5E-3</v>
      </c>
      <c r="I66" s="1519" t="s">
        <v>2145</v>
      </c>
      <c r="J66" s="1291">
        <v>40</v>
      </c>
      <c r="K66" s="1291">
        <v>30</v>
      </c>
      <c r="L66" s="1291">
        <v>50</v>
      </c>
      <c r="M66" s="1289">
        <v>0.02</v>
      </c>
      <c r="O66" s="1049" t="s">
        <v>952</v>
      </c>
      <c r="P66" s="1053" t="s">
        <v>2146</v>
      </c>
      <c r="Q66" s="1047">
        <f ca="1">ROUND(Q67-Q68*Q69,0)</f>
        <v>66936</v>
      </c>
      <c r="R66" s="1048"/>
    </row>
    <row r="67" spans="1:18" s="651" customFormat="1" ht="15.75" thickBot="1">
      <c r="A67" s="253" t="s">
        <v>21</v>
      </c>
      <c r="B67" s="235" t="s">
        <v>2005</v>
      </c>
      <c r="C67" s="13">
        <f ca="1">ROUND(C49*F67,0)</f>
        <v>0</v>
      </c>
      <c r="D67" s="1299" t="s">
        <v>2028</v>
      </c>
      <c r="E67" s="235" t="s">
        <v>2024</v>
      </c>
      <c r="F67" s="245">
        <f t="shared" si="0"/>
        <v>0.03</v>
      </c>
      <c r="O67" s="1049" t="s">
        <v>957</v>
      </c>
      <c r="P67" s="1053" t="s">
        <v>2147</v>
      </c>
      <c r="Q67" s="1047">
        <f ca="1">C39</f>
        <v>66936</v>
      </c>
      <c r="R67" s="1048" t="s">
        <v>2082</v>
      </c>
    </row>
    <row r="68" spans="1:18" ht="15.75" thickBot="1">
      <c r="A68" s="248" t="s">
        <v>22</v>
      </c>
      <c r="B68" s="41" t="s">
        <v>2032</v>
      </c>
      <c r="C68" s="250">
        <f ca="1">C49-C59</f>
        <v>-71189</v>
      </c>
      <c r="D68" s="1296" t="s">
        <v>2033</v>
      </c>
      <c r="E68" s="1298"/>
      <c r="F68" s="268"/>
      <c r="H68" s="651"/>
      <c r="I68" s="651"/>
      <c r="J68" s="651"/>
      <c r="K68" s="651"/>
      <c r="L68" s="651"/>
      <c r="M68" s="651"/>
      <c r="O68" s="1049" t="s">
        <v>958</v>
      </c>
      <c r="P68" s="1053" t="s">
        <v>2148</v>
      </c>
      <c r="Q68" s="1047">
        <f ca="1">C13</f>
        <v>638461</v>
      </c>
      <c r="R68" s="1048" t="s">
        <v>2082</v>
      </c>
    </row>
    <row r="69" spans="1:18" ht="15.75" thickBot="1">
      <c r="A69" s="232" t="s">
        <v>23</v>
      </c>
      <c r="B69" s="233" t="s">
        <v>2070</v>
      </c>
      <c r="C69" s="234">
        <f ca="1">ROUND(C68*(1-((1+F71)/(1+F69))^F70)/(F69-F71),0)</f>
        <v>-1150388</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41.02</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-9679</v>
      </c>
      <c r="D72" s="274" t="s">
        <v>2074</v>
      </c>
      <c r="E72" s="275" t="s">
        <v>2075</v>
      </c>
      <c r="F72" s="276">
        <f>F43</f>
        <v>118.86</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168</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118.86</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5" t="s">
        <v>2200</v>
      </c>
      <c r="Q7" s="3709"/>
      <c r="R7" s="626" t="s">
        <v>25</v>
      </c>
      <c r="S7" s="627">
        <f t="shared" ref="S7:S15" si="0">F7</f>
        <v>0</v>
      </c>
      <c r="T7" s="626" t="s">
        <v>25</v>
      </c>
      <c r="U7" s="627">
        <f t="shared" ref="U7:U15" si="1">H7</f>
        <v>0</v>
      </c>
      <c r="V7" s="626" t="s">
        <v>25</v>
      </c>
      <c r="W7" s="627">
        <f t="shared" ref="W7:W15" si="2">J7</f>
        <v>0</v>
      </c>
      <c r="X7" s="628"/>
      <c r="Y7" s="3685" t="s">
        <v>2200</v>
      </c>
      <c r="Z7" s="3686"/>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82" t="s">
        <v>2206</v>
      </c>
      <c r="Q9" s="1295" t="str">
        <f t="shared" ref="Q9:Q15" si="6">B9</f>
        <v>用途</v>
      </c>
      <c r="R9" s="626" t="s">
        <v>25</v>
      </c>
      <c r="S9" s="627">
        <f t="shared" si="0"/>
        <v>100</v>
      </c>
      <c r="T9" s="626" t="s">
        <v>25</v>
      </c>
      <c r="U9" s="627">
        <f t="shared" si="1"/>
        <v>100</v>
      </c>
      <c r="V9" s="626" t="s">
        <v>25</v>
      </c>
      <c r="W9" s="627">
        <f t="shared" si="2"/>
        <v>100</v>
      </c>
      <c r="X9" s="628"/>
      <c r="Y9" s="3712"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82"/>
      <c r="Q11" s="1295" t="str">
        <f t="shared" si="6"/>
        <v>容积率</v>
      </c>
      <c r="R11" s="626" t="s">
        <v>25</v>
      </c>
      <c r="S11" s="627" t="e">
        <f t="shared" si="0"/>
        <v>#N/A</v>
      </c>
      <c r="T11" s="626" t="s">
        <v>25</v>
      </c>
      <c r="U11" s="627" t="e">
        <f t="shared" si="1"/>
        <v>#N/A</v>
      </c>
      <c r="V11" s="626" t="s">
        <v>25</v>
      </c>
      <c r="W11" s="627" t="e">
        <f t="shared" si="2"/>
        <v>#N/A</v>
      </c>
      <c r="X11" s="628"/>
      <c r="Y11" s="3712"/>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82"/>
      <c r="Q14" s="1295">
        <f t="shared" si="6"/>
        <v>111</v>
      </c>
      <c r="R14" s="626" t="s">
        <v>25</v>
      </c>
      <c r="S14" s="627">
        <f t="shared" si="0"/>
        <v>100</v>
      </c>
      <c r="T14" s="626" t="s">
        <v>25</v>
      </c>
      <c r="U14" s="627">
        <f t="shared" si="1"/>
        <v>100</v>
      </c>
      <c r="V14" s="626" t="s">
        <v>25</v>
      </c>
      <c r="W14" s="627">
        <f t="shared" si="2"/>
        <v>100</v>
      </c>
      <c r="X14" s="628"/>
      <c r="Y14" s="3712"/>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710" t="s">
        <v>2211</v>
      </c>
      <c r="Q15" s="1302" t="str">
        <f t="shared" si="6"/>
        <v>产业集聚程度</v>
      </c>
      <c r="R15" s="630" t="s">
        <v>25</v>
      </c>
      <c r="S15" s="631">
        <f t="shared" si="0"/>
        <v>100</v>
      </c>
      <c r="T15" s="630" t="s">
        <v>25</v>
      </c>
      <c r="U15" s="631">
        <f t="shared" si="1"/>
        <v>100</v>
      </c>
      <c r="V15" s="630" t="s">
        <v>25</v>
      </c>
      <c r="W15" s="631">
        <f t="shared" si="2"/>
        <v>100</v>
      </c>
      <c r="X15" s="1303"/>
      <c r="Y15" s="3710"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711"/>
      <c r="Q16" s="1302"/>
      <c r="R16" s="630"/>
      <c r="S16" s="631"/>
      <c r="T16" s="630"/>
      <c r="U16" s="631"/>
      <c r="V16" s="630"/>
      <c r="W16" s="631"/>
      <c r="X16" s="1303"/>
      <c r="Y16" s="3711"/>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711"/>
      <c r="Q17" s="1302" t="str">
        <f>B17</f>
        <v>交通便捷度</v>
      </c>
      <c r="R17" s="630" t="s">
        <v>25</v>
      </c>
      <c r="S17" s="631">
        <f>F17</f>
        <v>100</v>
      </c>
      <c r="T17" s="630" t="s">
        <v>25</v>
      </c>
      <c r="U17" s="631">
        <f>H17</f>
        <v>100</v>
      </c>
      <c r="V17" s="630" t="s">
        <v>25</v>
      </c>
      <c r="W17" s="631">
        <f>J17</f>
        <v>100</v>
      </c>
      <c r="X17" s="1303"/>
      <c r="Y17" s="3711"/>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711"/>
      <c r="Q18" s="1302"/>
      <c r="R18" s="630"/>
      <c r="S18" s="631"/>
      <c r="T18" s="630"/>
      <c r="U18" s="631"/>
      <c r="V18" s="630"/>
      <c r="W18" s="631"/>
      <c r="X18" s="1303"/>
      <c r="Y18" s="3711"/>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711"/>
      <c r="Q19" s="1302" t="str">
        <f>B19</f>
        <v>公共配套设施</v>
      </c>
      <c r="R19" s="630" t="s">
        <v>25</v>
      </c>
      <c r="S19" s="631">
        <f>F19</f>
        <v>100</v>
      </c>
      <c r="T19" s="630" t="s">
        <v>25</v>
      </c>
      <c r="U19" s="631">
        <f>H19</f>
        <v>100</v>
      </c>
      <c r="V19" s="630" t="s">
        <v>25</v>
      </c>
      <c r="W19" s="631">
        <f>J19</f>
        <v>100</v>
      </c>
      <c r="X19" s="1303"/>
      <c r="Y19" s="3711"/>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711"/>
      <c r="Q20" s="1302"/>
      <c r="R20" s="630"/>
      <c r="S20" s="631"/>
      <c r="T20" s="630"/>
      <c r="U20" s="631"/>
      <c r="V20" s="630"/>
      <c r="W20" s="631"/>
      <c r="X20" s="1303"/>
      <c r="Y20" s="3711"/>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711"/>
      <c r="Q21" s="1302" t="str">
        <f>B21</f>
        <v>基础设施水平</v>
      </c>
      <c r="R21" s="630" t="s">
        <v>25</v>
      </c>
      <c r="S21" s="631">
        <f>F21</f>
        <v>100</v>
      </c>
      <c r="T21" s="630" t="s">
        <v>25</v>
      </c>
      <c r="U21" s="631">
        <f>H21</f>
        <v>100</v>
      </c>
      <c r="V21" s="630" t="s">
        <v>25</v>
      </c>
      <c r="W21" s="631">
        <f>J21</f>
        <v>100</v>
      </c>
      <c r="X21" s="1303"/>
      <c r="Y21" s="3711"/>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711"/>
      <c r="Q22" s="1302"/>
      <c r="R22" s="630"/>
      <c r="S22" s="631"/>
      <c r="T22" s="630"/>
      <c r="U22" s="631"/>
      <c r="V22" s="630"/>
      <c r="W22" s="631"/>
      <c r="X22" s="1303"/>
      <c r="Y22" s="3711"/>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711"/>
      <c r="Q23" s="1302" t="str">
        <f>B23</f>
        <v>环境质量</v>
      </c>
      <c r="R23" s="630" t="s">
        <v>25</v>
      </c>
      <c r="S23" s="631">
        <f>F23</f>
        <v>100</v>
      </c>
      <c r="T23" s="630" t="s">
        <v>25</v>
      </c>
      <c r="U23" s="631">
        <f>H23</f>
        <v>100</v>
      </c>
      <c r="V23" s="630" t="s">
        <v>25</v>
      </c>
      <c r="W23" s="631">
        <f>J23</f>
        <v>100</v>
      </c>
      <c r="X23" s="1303"/>
      <c r="Y23" s="3711"/>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711"/>
      <c r="Q24" s="1302"/>
      <c r="R24" s="630"/>
      <c r="S24" s="631"/>
      <c r="T24" s="630"/>
      <c r="U24" s="631"/>
      <c r="V24" s="630"/>
      <c r="W24" s="631"/>
      <c r="X24" s="1303"/>
      <c r="Y24" s="3711"/>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711"/>
      <c r="Q25" s="1302">
        <f>B25</f>
        <v>111</v>
      </c>
      <c r="R25" s="630" t="s">
        <v>25</v>
      </c>
      <c r="S25" s="631">
        <f>F25</f>
        <v>100</v>
      </c>
      <c r="T25" s="630" t="s">
        <v>25</v>
      </c>
      <c r="U25" s="631">
        <f>H25</f>
        <v>100</v>
      </c>
      <c r="V25" s="630" t="s">
        <v>25</v>
      </c>
      <c r="W25" s="631">
        <f>J25</f>
        <v>100</v>
      </c>
      <c r="X25" s="1303"/>
      <c r="Y25" s="3711"/>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711"/>
      <c r="Q26" s="1302">
        <f t="shared" ref="Q26:Q40" si="11">B26</f>
        <v>111</v>
      </c>
      <c r="R26" s="630" t="s">
        <v>25</v>
      </c>
      <c r="S26" s="631">
        <f>F26</f>
        <v>100</v>
      </c>
      <c r="T26" s="630" t="s">
        <v>25</v>
      </c>
      <c r="U26" s="631">
        <f>H26</f>
        <v>100</v>
      </c>
      <c r="V26" s="630" t="s">
        <v>25</v>
      </c>
      <c r="W26" s="631">
        <f>J26</f>
        <v>100</v>
      </c>
      <c r="X26" s="1303"/>
      <c r="Y26" s="3711"/>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711"/>
      <c r="Q27" s="1295">
        <f t="shared" si="11"/>
        <v>111</v>
      </c>
      <c r="R27" s="626" t="s">
        <v>25</v>
      </c>
      <c r="S27" s="627">
        <f>F27</f>
        <v>100</v>
      </c>
      <c r="T27" s="626" t="s">
        <v>25</v>
      </c>
      <c r="U27" s="627">
        <f>H27</f>
        <v>100</v>
      </c>
      <c r="V27" s="626" t="s">
        <v>25</v>
      </c>
      <c r="W27" s="627">
        <f>J27</f>
        <v>100</v>
      </c>
      <c r="X27" s="628"/>
      <c r="Y27" s="3711"/>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711"/>
      <c r="Q28" s="1302">
        <f t="shared" si="11"/>
        <v>111</v>
      </c>
      <c r="R28" s="630" t="s">
        <v>25</v>
      </c>
      <c r="S28" s="631">
        <f t="shared" ref="S28:S40" si="12">F28</f>
        <v>100</v>
      </c>
      <c r="T28" s="630" t="s">
        <v>25</v>
      </c>
      <c r="U28" s="631">
        <f t="shared" ref="U28:U40" si="13">H28</f>
        <v>100</v>
      </c>
      <c r="V28" s="630" t="s">
        <v>25</v>
      </c>
      <c r="W28" s="631">
        <f t="shared" ref="W28:W40" si="14">J28</f>
        <v>100</v>
      </c>
      <c r="X28" s="1303"/>
      <c r="Y28" s="3711"/>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713" t="s">
        <v>2217</v>
      </c>
      <c r="Q29" s="1302" t="str">
        <f t="shared" si="11"/>
        <v>建筑类型</v>
      </c>
      <c r="R29" s="630" t="s">
        <v>25</v>
      </c>
      <c r="S29" s="631">
        <f t="shared" si="12"/>
        <v>100</v>
      </c>
      <c r="T29" s="630" t="s">
        <v>25</v>
      </c>
      <c r="U29" s="631">
        <f t="shared" si="13"/>
        <v>100</v>
      </c>
      <c r="V29" s="630" t="s">
        <v>25</v>
      </c>
      <c r="W29" s="631">
        <f t="shared" si="14"/>
        <v>100</v>
      </c>
      <c r="X29" s="1303"/>
      <c r="Y29" s="3714"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714"/>
      <c r="Q30" s="632" t="str">
        <f t="shared" si="11"/>
        <v>项目建筑规模</v>
      </c>
      <c r="R30" s="633" t="s">
        <v>25</v>
      </c>
      <c r="S30" s="634" t="e">
        <f t="shared" si="12"/>
        <v>#N/A</v>
      </c>
      <c r="T30" s="633" t="s">
        <v>25</v>
      </c>
      <c r="U30" s="634" t="e">
        <f t="shared" si="13"/>
        <v>#N/A</v>
      </c>
      <c r="V30" s="633" t="s">
        <v>25</v>
      </c>
      <c r="W30" s="634" t="e">
        <f t="shared" si="14"/>
        <v>#N/A</v>
      </c>
      <c r="X30" s="635"/>
      <c r="Y30" s="3714"/>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714"/>
      <c r="Q31" s="1302" t="str">
        <f t="shared" si="11"/>
        <v>建筑结构</v>
      </c>
      <c r="R31" s="630" t="s">
        <v>25</v>
      </c>
      <c r="S31" s="631">
        <f t="shared" si="12"/>
        <v>100</v>
      </c>
      <c r="T31" s="630" t="s">
        <v>25</v>
      </c>
      <c r="U31" s="631">
        <f t="shared" si="13"/>
        <v>100</v>
      </c>
      <c r="V31" s="630" t="s">
        <v>25</v>
      </c>
      <c r="W31" s="631">
        <f t="shared" si="14"/>
        <v>100</v>
      </c>
      <c r="X31" s="1303"/>
      <c r="Y31" s="3714"/>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714"/>
      <c r="Q32" s="1302" t="str">
        <f t="shared" si="11"/>
        <v>公共部分装修</v>
      </c>
      <c r="R32" s="630" t="s">
        <v>25</v>
      </c>
      <c r="S32" s="631">
        <f t="shared" si="12"/>
        <v>100</v>
      </c>
      <c r="T32" s="630" t="s">
        <v>25</v>
      </c>
      <c r="U32" s="631">
        <f t="shared" si="13"/>
        <v>100</v>
      </c>
      <c r="V32" s="630" t="s">
        <v>25</v>
      </c>
      <c r="W32" s="631">
        <f t="shared" si="14"/>
        <v>100</v>
      </c>
      <c r="X32" s="1303"/>
      <c r="Y32" s="3714"/>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714"/>
      <c r="Q33" s="1302" t="str">
        <f t="shared" si="11"/>
        <v>成新度</v>
      </c>
      <c r="R33" s="630" t="s">
        <v>25</v>
      </c>
      <c r="S33" s="631" t="e">
        <f t="shared" si="12"/>
        <v>#N/A</v>
      </c>
      <c r="T33" s="630" t="s">
        <v>25</v>
      </c>
      <c r="U33" s="631" t="e">
        <f t="shared" si="13"/>
        <v>#N/A</v>
      </c>
      <c r="V33" s="630" t="s">
        <v>25</v>
      </c>
      <c r="W33" s="631" t="e">
        <f t="shared" si="14"/>
        <v>#N/A</v>
      </c>
      <c r="X33" s="1303"/>
      <c r="Y33" s="3714"/>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714"/>
      <c r="Q34" s="1295" t="str">
        <f t="shared" si="11"/>
        <v>物业管理</v>
      </c>
      <c r="R34" s="626" t="s">
        <v>25</v>
      </c>
      <c r="S34" s="627">
        <f t="shared" si="12"/>
        <v>100</v>
      </c>
      <c r="T34" s="626" t="s">
        <v>25</v>
      </c>
      <c r="U34" s="627">
        <f t="shared" si="13"/>
        <v>100</v>
      </c>
      <c r="V34" s="626" t="s">
        <v>25</v>
      </c>
      <c r="W34" s="627">
        <f t="shared" si="14"/>
        <v>100</v>
      </c>
      <c r="X34" s="628"/>
      <c r="Y34" s="3714"/>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714" t="s">
        <v>2217</v>
      </c>
      <c r="Q35" s="1302" t="str">
        <f t="shared" si="11"/>
        <v>市政基础设施</v>
      </c>
      <c r="R35" s="630" t="s">
        <v>25</v>
      </c>
      <c r="S35" s="631">
        <f t="shared" si="12"/>
        <v>100</v>
      </c>
      <c r="T35" s="630" t="s">
        <v>25</v>
      </c>
      <c r="U35" s="631">
        <f t="shared" si="13"/>
        <v>100</v>
      </c>
      <c r="V35" s="630" t="s">
        <v>25</v>
      </c>
      <c r="W35" s="631">
        <f t="shared" si="14"/>
        <v>100</v>
      </c>
      <c r="X35" s="1303"/>
      <c r="Y35" s="3714"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714"/>
      <c r="Q36" s="1302" t="str">
        <f t="shared" si="11"/>
        <v>内部装修</v>
      </c>
      <c r="R36" s="630" t="s">
        <v>25</v>
      </c>
      <c r="S36" s="631">
        <f t="shared" si="12"/>
        <v>100</v>
      </c>
      <c r="T36" s="630" t="s">
        <v>25</v>
      </c>
      <c r="U36" s="631">
        <f t="shared" si="13"/>
        <v>100</v>
      </c>
      <c r="V36" s="630" t="s">
        <v>25</v>
      </c>
      <c r="W36" s="631">
        <f t="shared" si="14"/>
        <v>100</v>
      </c>
      <c r="X36" s="1303"/>
      <c r="Y36" s="3714"/>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714"/>
      <c r="Q37" s="1302" t="str">
        <f t="shared" si="11"/>
        <v>内部装修状况</v>
      </c>
      <c r="R37" s="630" t="s">
        <v>25</v>
      </c>
      <c r="S37" s="631">
        <f t="shared" si="12"/>
        <v>100</v>
      </c>
      <c r="T37" s="630" t="s">
        <v>25</v>
      </c>
      <c r="U37" s="631">
        <f t="shared" si="13"/>
        <v>100</v>
      </c>
      <c r="V37" s="630" t="s">
        <v>25</v>
      </c>
      <c r="W37" s="631">
        <f t="shared" si="14"/>
        <v>100</v>
      </c>
      <c r="X37" s="1303"/>
      <c r="Y37" s="3714"/>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714"/>
      <c r="Q38" s="632">
        <f t="shared" si="11"/>
        <v>111</v>
      </c>
      <c r="R38" s="633" t="s">
        <v>25</v>
      </c>
      <c r="S38" s="634">
        <f t="shared" si="12"/>
        <v>100</v>
      </c>
      <c r="T38" s="633" t="s">
        <v>25</v>
      </c>
      <c r="U38" s="634">
        <f t="shared" si="13"/>
        <v>100</v>
      </c>
      <c r="V38" s="633" t="s">
        <v>25</v>
      </c>
      <c r="W38" s="634">
        <f t="shared" si="14"/>
        <v>100</v>
      </c>
      <c r="X38" s="635"/>
      <c r="Y38" s="3714"/>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714"/>
      <c r="Q39" s="1302">
        <f t="shared" si="11"/>
        <v>111</v>
      </c>
      <c r="R39" s="630" t="s">
        <v>25</v>
      </c>
      <c r="S39" s="631">
        <f t="shared" si="12"/>
        <v>100</v>
      </c>
      <c r="T39" s="630" t="s">
        <v>25</v>
      </c>
      <c r="U39" s="631">
        <f t="shared" si="13"/>
        <v>100</v>
      </c>
      <c r="V39" s="630" t="s">
        <v>25</v>
      </c>
      <c r="W39" s="631">
        <f t="shared" si="14"/>
        <v>100</v>
      </c>
      <c r="X39" s="1303"/>
      <c r="Y39" s="3714"/>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715"/>
      <c r="Q40" s="1302">
        <f t="shared" si="11"/>
        <v>111</v>
      </c>
      <c r="R40" s="630" t="s">
        <v>25</v>
      </c>
      <c r="S40" s="631">
        <f t="shared" si="12"/>
        <v>100</v>
      </c>
      <c r="T40" s="630" t="s">
        <v>25</v>
      </c>
      <c r="U40" s="631">
        <f t="shared" si="13"/>
        <v>100</v>
      </c>
      <c r="V40" s="630" t="s">
        <v>25</v>
      </c>
      <c r="W40" s="631">
        <f t="shared" si="14"/>
        <v>100</v>
      </c>
      <c r="X40" s="1303"/>
      <c r="Y40" s="3715"/>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82" t="str">
        <f>A41</f>
        <v>成交单价（元/平方米）</v>
      </c>
      <c r="Q41" s="3682"/>
      <c r="R41" s="3716">
        <f>E41</f>
        <v>0</v>
      </c>
      <c r="S41" s="3716"/>
      <c r="T41" s="3716">
        <f>G41</f>
        <v>0</v>
      </c>
      <c r="U41" s="3716"/>
      <c r="V41" s="3716">
        <f>I41</f>
        <v>0</v>
      </c>
      <c r="W41" s="3716"/>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82" t="str">
        <f>A42</f>
        <v>比较价值（元/平方米）</v>
      </c>
      <c r="Q42" s="3682"/>
      <c r="R42" s="3716" t="e">
        <f>IF(E1="售价",ROUND(PRODUCT(R41,AA7:AA40),0),ROUND(PRODUCT(R41,AA7:AA40),1))</f>
        <v>#DIV/0!</v>
      </c>
      <c r="S42" s="3716"/>
      <c r="T42" s="3716" t="e">
        <f>IF(E1="售价",ROUND(PRODUCT(T41,AB7:AB40),0),ROUND(PRODUCT(T41,AB7:AB40),1))</f>
        <v>#DIV/0!</v>
      </c>
      <c r="U42" s="3716"/>
      <c r="V42" s="3716" t="e">
        <f>IF(E1="售价",ROUND(PRODUCT(V41,AC7:AC40),0),ROUND(PRODUCT(V41,AC7:AC40),1))</f>
        <v>#DIV/0!</v>
      </c>
      <c r="W42" s="3716"/>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717" t="str">
        <f>A43</f>
        <v>估价对象XX用房的比较价值（楼面单价，元/平方米）</v>
      </c>
      <c r="Q43" s="3718"/>
      <c r="R43" s="3719" t="e">
        <f>IF(E1="售价",ROUND(IF(D42="简单平均",AVERAGE(R42:V42),R42*F42+T42*H42+V42*J42),0),ROUND(IF(D42="简单平均",AVERAGE(R42:V42),R42*F42+T42*H42+V42*J42),1))</f>
        <v>#DIV/0!</v>
      </c>
      <c r="S43" s="3719"/>
      <c r="T43" s="3719"/>
      <c r="U43" s="3719"/>
      <c r="V43" s="3719"/>
      <c r="W43" s="3719"/>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118.86</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5" t="s">
        <v>2200</v>
      </c>
      <c r="Q7" s="3709"/>
      <c r="R7" s="626" t="s">
        <v>25</v>
      </c>
      <c r="S7" s="627">
        <f t="shared" ref="S7:S14" si="0">F7</f>
        <v>0</v>
      </c>
      <c r="T7" s="626" t="s">
        <v>25</v>
      </c>
      <c r="U7" s="627">
        <f t="shared" ref="U7:U14" si="1">H7</f>
        <v>0</v>
      </c>
      <c r="V7" s="626" t="s">
        <v>25</v>
      </c>
      <c r="W7" s="627">
        <f t="shared" ref="W7:W14" si="2">J7</f>
        <v>0</v>
      </c>
      <c r="X7" s="628"/>
      <c r="Y7" s="3685" t="s">
        <v>2200</v>
      </c>
      <c r="Z7" s="3686"/>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82" t="s">
        <v>2206</v>
      </c>
      <c r="Q9" s="1295" t="str">
        <f t="shared" ref="Q9:Q14" si="6">B9</f>
        <v>用途</v>
      </c>
      <c r="R9" s="626" t="s">
        <v>25</v>
      </c>
      <c r="S9" s="627">
        <f t="shared" si="0"/>
        <v>100</v>
      </c>
      <c r="T9" s="626" t="s">
        <v>25</v>
      </c>
      <c r="U9" s="627">
        <f t="shared" si="1"/>
        <v>100</v>
      </c>
      <c r="V9" s="626" t="s">
        <v>25</v>
      </c>
      <c r="W9" s="627">
        <f t="shared" si="2"/>
        <v>100</v>
      </c>
      <c r="X9" s="628"/>
      <c r="Y9" s="3712"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82"/>
      <c r="Q11" s="1295">
        <f t="shared" si="6"/>
        <v>111</v>
      </c>
      <c r="R11" s="626" t="s">
        <v>25</v>
      </c>
      <c r="S11" s="627">
        <f t="shared" si="0"/>
        <v>100</v>
      </c>
      <c r="T11" s="626" t="s">
        <v>25</v>
      </c>
      <c r="U11" s="627">
        <f t="shared" si="1"/>
        <v>100</v>
      </c>
      <c r="V11" s="626" t="s">
        <v>25</v>
      </c>
      <c r="W11" s="627">
        <f t="shared" si="2"/>
        <v>100</v>
      </c>
      <c r="X11" s="628"/>
      <c r="Y11" s="371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710" t="s">
        <v>2211</v>
      </c>
      <c r="Q14" s="1302" t="str">
        <f t="shared" si="6"/>
        <v>交通便捷度</v>
      </c>
      <c r="R14" s="630" t="s">
        <v>25</v>
      </c>
      <c r="S14" s="631">
        <f t="shared" si="0"/>
        <v>100</v>
      </c>
      <c r="T14" s="630" t="s">
        <v>25</v>
      </c>
      <c r="U14" s="631">
        <f t="shared" si="1"/>
        <v>100</v>
      </c>
      <c r="V14" s="630" t="s">
        <v>25</v>
      </c>
      <c r="W14" s="631">
        <f t="shared" si="2"/>
        <v>100</v>
      </c>
      <c r="X14" s="1303"/>
      <c r="Y14" s="3710"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711"/>
      <c r="Q15" s="1302"/>
      <c r="R15" s="630"/>
      <c r="S15" s="631"/>
      <c r="T15" s="630"/>
      <c r="U15" s="631"/>
      <c r="V15" s="630"/>
      <c r="W15" s="631"/>
      <c r="X15" s="1303"/>
      <c r="Y15" s="3711"/>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711"/>
      <c r="Q16" s="1302" t="str">
        <f>B16</f>
        <v>公共配套设施</v>
      </c>
      <c r="R16" s="630" t="s">
        <v>25</v>
      </c>
      <c r="S16" s="631">
        <f>F16</f>
        <v>100</v>
      </c>
      <c r="T16" s="630" t="s">
        <v>25</v>
      </c>
      <c r="U16" s="631">
        <f>H16</f>
        <v>100</v>
      </c>
      <c r="V16" s="630" t="s">
        <v>25</v>
      </c>
      <c r="W16" s="631">
        <f>J16</f>
        <v>100</v>
      </c>
      <c r="X16" s="1303"/>
      <c r="Y16" s="3711"/>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711"/>
      <c r="Q17" s="1302"/>
      <c r="R17" s="630"/>
      <c r="S17" s="631"/>
      <c r="T17" s="630"/>
      <c r="U17" s="631"/>
      <c r="V17" s="630"/>
      <c r="W17" s="631"/>
      <c r="X17" s="1303"/>
      <c r="Y17" s="3711"/>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711"/>
      <c r="Q18" s="1302" t="str">
        <f>B18</f>
        <v>基础设施水平</v>
      </c>
      <c r="R18" s="630" t="s">
        <v>25</v>
      </c>
      <c r="S18" s="631">
        <f>F18</f>
        <v>100</v>
      </c>
      <c r="T18" s="630" t="s">
        <v>25</v>
      </c>
      <c r="U18" s="631">
        <f>H18</f>
        <v>100</v>
      </c>
      <c r="V18" s="630" t="s">
        <v>25</v>
      </c>
      <c r="W18" s="631">
        <f>J18</f>
        <v>100</v>
      </c>
      <c r="X18" s="1303"/>
      <c r="Y18" s="3711"/>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711"/>
      <c r="Q19" s="1302"/>
      <c r="R19" s="630"/>
      <c r="S19" s="631"/>
      <c r="T19" s="630"/>
      <c r="U19" s="631"/>
      <c r="V19" s="630"/>
      <c r="W19" s="631"/>
      <c r="X19" s="1303"/>
      <c r="Y19" s="3711"/>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711"/>
      <c r="Q20" s="1302" t="str">
        <f>B20</f>
        <v>自然及人文环境</v>
      </c>
      <c r="R20" s="630" t="s">
        <v>25</v>
      </c>
      <c r="S20" s="631">
        <f>F20</f>
        <v>100</v>
      </c>
      <c r="T20" s="630" t="s">
        <v>25</v>
      </c>
      <c r="U20" s="631">
        <f>H20</f>
        <v>100</v>
      </c>
      <c r="V20" s="630" t="s">
        <v>25</v>
      </c>
      <c r="W20" s="631">
        <f>J20</f>
        <v>100</v>
      </c>
      <c r="X20" s="1303"/>
      <c r="Y20" s="3711"/>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711"/>
      <c r="Q21" s="1302"/>
      <c r="R21" s="630"/>
      <c r="S21" s="631"/>
      <c r="T21" s="630"/>
      <c r="U21" s="631"/>
      <c r="V21" s="630"/>
      <c r="W21" s="631"/>
      <c r="X21" s="1303"/>
      <c r="Y21" s="3711"/>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711"/>
      <c r="Q22" s="1302" t="str">
        <f>B22</f>
        <v>楼层</v>
      </c>
      <c r="R22" s="630" t="s">
        <v>25</v>
      </c>
      <c r="S22" s="631">
        <f>F22</f>
        <v>100</v>
      </c>
      <c r="T22" s="630" t="s">
        <v>25</v>
      </c>
      <c r="U22" s="631">
        <f>H22</f>
        <v>100</v>
      </c>
      <c r="V22" s="630" t="s">
        <v>25</v>
      </c>
      <c r="W22" s="631">
        <f>J22</f>
        <v>100</v>
      </c>
      <c r="X22" s="1303"/>
      <c r="Y22" s="3711"/>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711"/>
      <c r="Q23" s="1302">
        <f>B23</f>
        <v>111</v>
      </c>
      <c r="R23" s="630" t="s">
        <v>25</v>
      </c>
      <c r="S23" s="631">
        <f>F23</f>
        <v>100</v>
      </c>
      <c r="T23" s="630" t="s">
        <v>25</v>
      </c>
      <c r="U23" s="631">
        <f>H23</f>
        <v>100</v>
      </c>
      <c r="V23" s="630" t="s">
        <v>25</v>
      </c>
      <c r="W23" s="631">
        <f>J23</f>
        <v>100</v>
      </c>
      <c r="X23" s="1303"/>
      <c r="Y23" s="3711"/>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711"/>
      <c r="Q24" s="1302">
        <f t="shared" ref="Q24:Q36" si="11">B24</f>
        <v>111</v>
      </c>
      <c r="R24" s="630" t="s">
        <v>25</v>
      </c>
      <c r="S24" s="631">
        <f>F24</f>
        <v>100</v>
      </c>
      <c r="T24" s="630" t="s">
        <v>25</v>
      </c>
      <c r="U24" s="631">
        <f>H24</f>
        <v>100</v>
      </c>
      <c r="V24" s="630" t="s">
        <v>25</v>
      </c>
      <c r="W24" s="631">
        <f>J24</f>
        <v>100</v>
      </c>
      <c r="X24" s="1303"/>
      <c r="Y24" s="3711"/>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711"/>
      <c r="Q25" s="1295">
        <f t="shared" si="11"/>
        <v>111</v>
      </c>
      <c r="R25" s="626" t="s">
        <v>25</v>
      </c>
      <c r="S25" s="627">
        <f>F25</f>
        <v>100</v>
      </c>
      <c r="T25" s="626" t="s">
        <v>25</v>
      </c>
      <c r="U25" s="627">
        <f>H25</f>
        <v>100</v>
      </c>
      <c r="V25" s="626" t="s">
        <v>25</v>
      </c>
      <c r="W25" s="627">
        <f>J25</f>
        <v>100</v>
      </c>
      <c r="X25" s="628"/>
      <c r="Y25" s="3711"/>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713"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14"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714"/>
      <c r="Q27" s="632" t="str">
        <f t="shared" si="11"/>
        <v>项目停车位配比</v>
      </c>
      <c r="R27" s="633" t="s">
        <v>25</v>
      </c>
      <c r="S27" s="634">
        <f t="shared" si="12"/>
        <v>100</v>
      </c>
      <c r="T27" s="633" t="s">
        <v>25</v>
      </c>
      <c r="U27" s="634">
        <f t="shared" si="13"/>
        <v>100</v>
      </c>
      <c r="V27" s="633" t="s">
        <v>25</v>
      </c>
      <c r="W27" s="634">
        <f t="shared" si="14"/>
        <v>100</v>
      </c>
      <c r="X27" s="635"/>
      <c r="Y27" s="3714"/>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714"/>
      <c r="Q28" s="1302" t="str">
        <f t="shared" si="11"/>
        <v>公共部分装修</v>
      </c>
      <c r="R28" s="630" t="s">
        <v>25</v>
      </c>
      <c r="S28" s="631">
        <f t="shared" si="12"/>
        <v>100</v>
      </c>
      <c r="T28" s="630" t="s">
        <v>25</v>
      </c>
      <c r="U28" s="631">
        <f t="shared" si="13"/>
        <v>100</v>
      </c>
      <c r="V28" s="630" t="s">
        <v>25</v>
      </c>
      <c r="W28" s="631">
        <f t="shared" si="14"/>
        <v>100</v>
      </c>
      <c r="X28" s="1303"/>
      <c r="Y28" s="3714"/>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714"/>
      <c r="Q29" s="1302" t="str">
        <f t="shared" si="11"/>
        <v>成新率</v>
      </c>
      <c r="R29" s="630" t="s">
        <v>25</v>
      </c>
      <c r="S29" s="631" t="e">
        <f t="shared" si="12"/>
        <v>#N/A</v>
      </c>
      <c r="T29" s="630" t="s">
        <v>25</v>
      </c>
      <c r="U29" s="631" t="e">
        <f t="shared" si="13"/>
        <v>#N/A</v>
      </c>
      <c r="V29" s="630" t="s">
        <v>25</v>
      </c>
      <c r="W29" s="631" t="e">
        <f t="shared" si="14"/>
        <v>#N/A</v>
      </c>
      <c r="X29" s="1303"/>
      <c r="Y29" s="3714"/>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714"/>
      <c r="Q30" s="1302" t="str">
        <f t="shared" si="11"/>
        <v>物业等级</v>
      </c>
      <c r="R30" s="630" t="s">
        <v>25</v>
      </c>
      <c r="S30" s="631">
        <f t="shared" si="12"/>
        <v>100</v>
      </c>
      <c r="T30" s="630" t="s">
        <v>25</v>
      </c>
      <c r="U30" s="631">
        <f t="shared" si="13"/>
        <v>100</v>
      </c>
      <c r="V30" s="630" t="s">
        <v>25</v>
      </c>
      <c r="W30" s="631">
        <f t="shared" si="14"/>
        <v>100</v>
      </c>
      <c r="X30" s="1303"/>
      <c r="Y30" s="3714"/>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714"/>
      <c r="Q31" s="1295" t="str">
        <f t="shared" si="11"/>
        <v>停车位面积</v>
      </c>
      <c r="R31" s="626" t="s">
        <v>25</v>
      </c>
      <c r="S31" s="627" t="e">
        <f t="shared" si="12"/>
        <v>#N/A</v>
      </c>
      <c r="T31" s="626" t="s">
        <v>25</v>
      </c>
      <c r="U31" s="627" t="e">
        <f t="shared" si="13"/>
        <v>#N/A</v>
      </c>
      <c r="V31" s="626" t="s">
        <v>25</v>
      </c>
      <c r="W31" s="627" t="e">
        <f t="shared" si="14"/>
        <v>#N/A</v>
      </c>
      <c r="X31" s="628"/>
      <c r="Y31" s="3714"/>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714" t="s">
        <v>2217</v>
      </c>
      <c r="Q32" s="1302" t="str">
        <f t="shared" si="11"/>
        <v>车位类型</v>
      </c>
      <c r="R32" s="630" t="s">
        <v>25</v>
      </c>
      <c r="S32" s="631">
        <f t="shared" si="12"/>
        <v>100</v>
      </c>
      <c r="T32" s="630" t="s">
        <v>25</v>
      </c>
      <c r="U32" s="631">
        <f t="shared" si="13"/>
        <v>100</v>
      </c>
      <c r="V32" s="630" t="s">
        <v>25</v>
      </c>
      <c r="W32" s="631">
        <f t="shared" si="14"/>
        <v>100</v>
      </c>
      <c r="X32" s="1303"/>
      <c r="Y32" s="3714"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714"/>
      <c r="Q33" s="1302" t="str">
        <f t="shared" si="11"/>
        <v>是否直接入户</v>
      </c>
      <c r="R33" s="630" t="s">
        <v>25</v>
      </c>
      <c r="S33" s="631">
        <f t="shared" si="12"/>
        <v>100</v>
      </c>
      <c r="T33" s="630" t="s">
        <v>25</v>
      </c>
      <c r="U33" s="631">
        <f t="shared" si="13"/>
        <v>100</v>
      </c>
      <c r="V33" s="630" t="s">
        <v>25</v>
      </c>
      <c r="W33" s="631">
        <f t="shared" si="14"/>
        <v>100</v>
      </c>
      <c r="X33" s="1303"/>
      <c r="Y33" s="3714"/>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714"/>
      <c r="Q34" s="1302">
        <f t="shared" si="11"/>
        <v>111</v>
      </c>
      <c r="R34" s="630" t="s">
        <v>25</v>
      </c>
      <c r="S34" s="631">
        <f t="shared" si="12"/>
        <v>100</v>
      </c>
      <c r="T34" s="630" t="s">
        <v>25</v>
      </c>
      <c r="U34" s="631">
        <f t="shared" si="13"/>
        <v>100</v>
      </c>
      <c r="V34" s="630" t="s">
        <v>25</v>
      </c>
      <c r="W34" s="631">
        <f t="shared" si="14"/>
        <v>100</v>
      </c>
      <c r="X34" s="1303"/>
      <c r="Y34" s="3714"/>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714"/>
      <c r="Q35" s="632">
        <f t="shared" si="11"/>
        <v>111</v>
      </c>
      <c r="R35" s="633" t="s">
        <v>25</v>
      </c>
      <c r="S35" s="634">
        <f t="shared" si="12"/>
        <v>100</v>
      </c>
      <c r="T35" s="633" t="s">
        <v>25</v>
      </c>
      <c r="U35" s="634">
        <f t="shared" si="13"/>
        <v>100</v>
      </c>
      <c r="V35" s="633" t="s">
        <v>25</v>
      </c>
      <c r="W35" s="634">
        <f t="shared" si="14"/>
        <v>100</v>
      </c>
      <c r="X35" s="635"/>
      <c r="Y35" s="3714"/>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714"/>
      <c r="Q36" s="1302">
        <f t="shared" si="11"/>
        <v>111</v>
      </c>
      <c r="R36" s="630" t="s">
        <v>25</v>
      </c>
      <c r="S36" s="631">
        <f t="shared" si="12"/>
        <v>100</v>
      </c>
      <c r="T36" s="630" t="s">
        <v>25</v>
      </c>
      <c r="U36" s="631">
        <f t="shared" si="13"/>
        <v>100</v>
      </c>
      <c r="V36" s="630" t="s">
        <v>25</v>
      </c>
      <c r="W36" s="631">
        <f t="shared" si="14"/>
        <v>100</v>
      </c>
      <c r="X36" s="1303"/>
      <c r="Y36" s="3714"/>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82" t="str">
        <f>A37</f>
        <v>成交单价</v>
      </c>
      <c r="Q37" s="3682"/>
      <c r="R37" s="3716">
        <f>E37</f>
        <v>0</v>
      </c>
      <c r="S37" s="3716"/>
      <c r="T37" s="3716">
        <f>G37</f>
        <v>0</v>
      </c>
      <c r="U37" s="3716"/>
      <c r="V37" s="3716">
        <f>I37</f>
        <v>0</v>
      </c>
      <c r="W37" s="3716"/>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82" t="str">
        <f>A38</f>
        <v>比较价值</v>
      </c>
      <c r="Q38" s="3682"/>
      <c r="R38" s="3716" t="e">
        <f>IF(E1="售价",ROUND(PRODUCT(R37,AA7:AA36),0),ROUND(PRODUCT(R37,AA7:AA36),1))</f>
        <v>#DIV/0!</v>
      </c>
      <c r="S38" s="3716"/>
      <c r="T38" s="3716" t="e">
        <f>IF(E1="售价",ROUND(PRODUCT(T37,AB7:AB36),0),ROUND(PRODUCT(T37,AB7:AB36),1))</f>
        <v>#DIV/0!</v>
      </c>
      <c r="U38" s="3716"/>
      <c r="V38" s="3716" t="e">
        <f>IF(E1="售价",ROUND(PRODUCT(V37,AC7:AC36),0),ROUND(PRODUCT(V37,AC7:AC36),1))</f>
        <v>#DIV/0!</v>
      </c>
      <c r="W38" s="3716"/>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717" t="str">
        <f>A39</f>
        <v>估价对象XX用房的比较价值（楼面单价，元/平方米）</v>
      </c>
      <c r="Q39" s="3718"/>
      <c r="R39" s="3719" t="e">
        <f>IF(E1="售价",ROUND(IF(D38="简单平均",AVERAGE(R38:W38),R38*F38+T38*H38+V38*J38),0),ROUND(IF(D38="简单平均",AVERAGE(R38:V38),R38*F38+T38*H38+V38*J38),1))</f>
        <v>#DIV/0!</v>
      </c>
      <c r="S39" s="3719"/>
      <c r="T39" s="3719"/>
      <c r="U39" s="3719"/>
      <c r="V39" s="3719"/>
      <c r="W39" s="3719"/>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118.86</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5" t="s">
        <v>2200</v>
      </c>
      <c r="Q7" s="3709"/>
      <c r="R7" s="626" t="s">
        <v>25</v>
      </c>
      <c r="S7" s="627">
        <f t="shared" ref="S7:S14" si="0">F7</f>
        <v>0</v>
      </c>
      <c r="T7" s="626" t="s">
        <v>25</v>
      </c>
      <c r="U7" s="627">
        <f t="shared" ref="U7:U14" si="1">H7</f>
        <v>0</v>
      </c>
      <c r="V7" s="626" t="s">
        <v>25</v>
      </c>
      <c r="W7" s="627">
        <f t="shared" ref="W7:W14" si="2">J7</f>
        <v>0</v>
      </c>
      <c r="X7" s="628"/>
      <c r="Y7" s="3685" t="s">
        <v>2200</v>
      </c>
      <c r="Z7" s="3686"/>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82" t="s">
        <v>2206</v>
      </c>
      <c r="Q9" s="1295" t="str">
        <f t="shared" ref="Q9:Q14" si="6">B9</f>
        <v>用途</v>
      </c>
      <c r="R9" s="626" t="s">
        <v>25</v>
      </c>
      <c r="S9" s="627">
        <f t="shared" si="0"/>
        <v>100</v>
      </c>
      <c r="T9" s="626" t="s">
        <v>25</v>
      </c>
      <c r="U9" s="627">
        <f t="shared" si="1"/>
        <v>100</v>
      </c>
      <c r="V9" s="626" t="s">
        <v>25</v>
      </c>
      <c r="W9" s="627">
        <f t="shared" si="2"/>
        <v>100</v>
      </c>
      <c r="X9" s="628"/>
      <c r="Y9" s="3712"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82"/>
      <c r="Q11" s="1295">
        <f t="shared" si="6"/>
        <v>111</v>
      </c>
      <c r="R11" s="626" t="s">
        <v>25</v>
      </c>
      <c r="S11" s="627">
        <f t="shared" si="0"/>
        <v>100</v>
      </c>
      <c r="T11" s="626" t="s">
        <v>25</v>
      </c>
      <c r="U11" s="627">
        <f t="shared" si="1"/>
        <v>100</v>
      </c>
      <c r="V11" s="626" t="s">
        <v>25</v>
      </c>
      <c r="W11" s="627">
        <f t="shared" si="2"/>
        <v>100</v>
      </c>
      <c r="X11" s="628"/>
      <c r="Y11" s="3712"/>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710" t="s">
        <v>2211</v>
      </c>
      <c r="Q14" s="1302" t="str">
        <f t="shared" si="6"/>
        <v>交通便捷度</v>
      </c>
      <c r="R14" s="630" t="s">
        <v>25</v>
      </c>
      <c r="S14" s="631">
        <f t="shared" si="0"/>
        <v>100</v>
      </c>
      <c r="T14" s="630" t="s">
        <v>25</v>
      </c>
      <c r="U14" s="631">
        <f t="shared" si="1"/>
        <v>100</v>
      </c>
      <c r="V14" s="630" t="s">
        <v>25</v>
      </c>
      <c r="W14" s="631">
        <f t="shared" si="2"/>
        <v>100</v>
      </c>
      <c r="X14" s="1303"/>
      <c r="Y14" s="3710"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711"/>
      <c r="Q15" s="1302"/>
      <c r="R15" s="630"/>
      <c r="S15" s="631"/>
      <c r="T15" s="630"/>
      <c r="U15" s="631"/>
      <c r="V15" s="630"/>
      <c r="W15" s="631"/>
      <c r="X15" s="1303"/>
      <c r="Y15" s="3711"/>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711"/>
      <c r="Q16" s="1302" t="str">
        <f>B16</f>
        <v>公共配套设施</v>
      </c>
      <c r="R16" s="630" t="s">
        <v>25</v>
      </c>
      <c r="S16" s="631">
        <f>F16</f>
        <v>100</v>
      </c>
      <c r="T16" s="630" t="s">
        <v>25</v>
      </c>
      <c r="U16" s="631">
        <f>H16</f>
        <v>100</v>
      </c>
      <c r="V16" s="630" t="s">
        <v>25</v>
      </c>
      <c r="W16" s="631">
        <f>J16</f>
        <v>100</v>
      </c>
      <c r="X16" s="1303"/>
      <c r="Y16" s="3711"/>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711"/>
      <c r="Q17" s="1302"/>
      <c r="R17" s="630"/>
      <c r="S17" s="631"/>
      <c r="T17" s="630"/>
      <c r="U17" s="631"/>
      <c r="V17" s="630"/>
      <c r="W17" s="631"/>
      <c r="X17" s="1303"/>
      <c r="Y17" s="3711"/>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711"/>
      <c r="Q18" s="1302" t="str">
        <f>B18</f>
        <v>基础设施水平</v>
      </c>
      <c r="R18" s="630" t="s">
        <v>25</v>
      </c>
      <c r="S18" s="631">
        <f>F18</f>
        <v>100</v>
      </c>
      <c r="T18" s="630" t="s">
        <v>25</v>
      </c>
      <c r="U18" s="631">
        <f>H18</f>
        <v>100</v>
      </c>
      <c r="V18" s="630" t="s">
        <v>25</v>
      </c>
      <c r="W18" s="631">
        <f>J18</f>
        <v>100</v>
      </c>
      <c r="X18" s="1303"/>
      <c r="Y18" s="3711"/>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711"/>
      <c r="Q19" s="1302"/>
      <c r="R19" s="630"/>
      <c r="S19" s="631"/>
      <c r="T19" s="630"/>
      <c r="U19" s="631"/>
      <c r="V19" s="630"/>
      <c r="W19" s="631"/>
      <c r="X19" s="1303"/>
      <c r="Y19" s="3711"/>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711"/>
      <c r="Q20" s="1302" t="str">
        <f>B20</f>
        <v>自然及人文环境</v>
      </c>
      <c r="R20" s="630" t="s">
        <v>25</v>
      </c>
      <c r="S20" s="631">
        <f>F20</f>
        <v>100</v>
      </c>
      <c r="T20" s="630" t="s">
        <v>25</v>
      </c>
      <c r="U20" s="631">
        <f>H20</f>
        <v>100</v>
      </c>
      <c r="V20" s="630" t="s">
        <v>25</v>
      </c>
      <c r="W20" s="631">
        <f>J20</f>
        <v>100</v>
      </c>
      <c r="X20" s="1303"/>
      <c r="Y20" s="3711"/>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711"/>
      <c r="Q21" s="1302"/>
      <c r="R21" s="630"/>
      <c r="S21" s="631"/>
      <c r="T21" s="630"/>
      <c r="U21" s="631"/>
      <c r="V21" s="630"/>
      <c r="W21" s="631"/>
      <c r="X21" s="1303"/>
      <c r="Y21" s="3711"/>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711"/>
      <c r="Q22" s="1302" t="str">
        <f>B22</f>
        <v>楼层</v>
      </c>
      <c r="R22" s="630" t="s">
        <v>25</v>
      </c>
      <c r="S22" s="631">
        <f>F22</f>
        <v>100</v>
      </c>
      <c r="T22" s="630" t="s">
        <v>25</v>
      </c>
      <c r="U22" s="631">
        <f>H22</f>
        <v>100</v>
      </c>
      <c r="V22" s="630" t="s">
        <v>25</v>
      </c>
      <c r="W22" s="631">
        <f>J22</f>
        <v>100</v>
      </c>
      <c r="X22" s="1303"/>
      <c r="Y22" s="3711"/>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711"/>
      <c r="Q23" s="1302">
        <f>B23</f>
        <v>111</v>
      </c>
      <c r="R23" s="630" t="s">
        <v>25</v>
      </c>
      <c r="S23" s="631">
        <f>F23</f>
        <v>100</v>
      </c>
      <c r="T23" s="630" t="s">
        <v>25</v>
      </c>
      <c r="U23" s="631">
        <f>H23</f>
        <v>100</v>
      </c>
      <c r="V23" s="630" t="s">
        <v>25</v>
      </c>
      <c r="W23" s="631">
        <f>J23</f>
        <v>100</v>
      </c>
      <c r="X23" s="1303"/>
      <c r="Y23" s="3711"/>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711"/>
      <c r="Q24" s="1302">
        <f t="shared" ref="Q24:Q34" si="11">B24</f>
        <v>111</v>
      </c>
      <c r="R24" s="630" t="s">
        <v>25</v>
      </c>
      <c r="S24" s="631">
        <f>F24</f>
        <v>100</v>
      </c>
      <c r="T24" s="630" t="s">
        <v>25</v>
      </c>
      <c r="U24" s="631">
        <f>H24</f>
        <v>100</v>
      </c>
      <c r="V24" s="630" t="s">
        <v>25</v>
      </c>
      <c r="W24" s="631">
        <f>J24</f>
        <v>100</v>
      </c>
      <c r="X24" s="1303"/>
      <c r="Y24" s="3711"/>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711"/>
      <c r="Q25" s="1295">
        <f t="shared" si="11"/>
        <v>111</v>
      </c>
      <c r="R25" s="626" t="s">
        <v>25</v>
      </c>
      <c r="S25" s="627">
        <f>F25</f>
        <v>100</v>
      </c>
      <c r="T25" s="626" t="s">
        <v>25</v>
      </c>
      <c r="U25" s="627">
        <f>H25</f>
        <v>100</v>
      </c>
      <c r="V25" s="626" t="s">
        <v>25</v>
      </c>
      <c r="W25" s="627">
        <f>J25</f>
        <v>100</v>
      </c>
      <c r="X25" s="628"/>
      <c r="Y25" s="3711"/>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713"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14"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714"/>
      <c r="Q27" s="632" t="str">
        <f t="shared" si="11"/>
        <v>成新率</v>
      </c>
      <c r="R27" s="633" t="s">
        <v>25</v>
      </c>
      <c r="S27" s="634" t="e">
        <f t="shared" si="12"/>
        <v>#N/A</v>
      </c>
      <c r="T27" s="633" t="s">
        <v>25</v>
      </c>
      <c r="U27" s="634" t="e">
        <f t="shared" si="13"/>
        <v>#N/A</v>
      </c>
      <c r="V27" s="633" t="s">
        <v>25</v>
      </c>
      <c r="W27" s="634" t="e">
        <f t="shared" si="14"/>
        <v>#N/A</v>
      </c>
      <c r="X27" s="635"/>
      <c r="Y27" s="3714"/>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714"/>
      <c r="Q28" s="1302" t="str">
        <f t="shared" si="11"/>
        <v>物业等级</v>
      </c>
      <c r="R28" s="630" t="s">
        <v>25</v>
      </c>
      <c r="S28" s="631">
        <f t="shared" si="12"/>
        <v>100</v>
      </c>
      <c r="T28" s="630" t="s">
        <v>25</v>
      </c>
      <c r="U28" s="631">
        <f t="shared" si="13"/>
        <v>100</v>
      </c>
      <c r="V28" s="630" t="s">
        <v>25</v>
      </c>
      <c r="W28" s="631">
        <f t="shared" si="14"/>
        <v>100</v>
      </c>
      <c r="X28" s="1303"/>
      <c r="Y28" s="3714"/>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714"/>
      <c r="Q29" s="1302" t="str">
        <f t="shared" si="11"/>
        <v>有无电梯</v>
      </c>
      <c r="R29" s="630" t="s">
        <v>25</v>
      </c>
      <c r="S29" s="631">
        <f t="shared" si="12"/>
        <v>100</v>
      </c>
      <c r="T29" s="630" t="s">
        <v>25</v>
      </c>
      <c r="U29" s="631">
        <f t="shared" si="13"/>
        <v>100</v>
      </c>
      <c r="V29" s="630" t="s">
        <v>25</v>
      </c>
      <c r="W29" s="631">
        <f t="shared" si="14"/>
        <v>100</v>
      </c>
      <c r="X29" s="1303"/>
      <c r="Y29" s="3714"/>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714"/>
      <c r="Q30" s="1302" t="str">
        <f t="shared" si="11"/>
        <v>建筑面积</v>
      </c>
      <c r="R30" s="630" t="s">
        <v>25</v>
      </c>
      <c r="S30" s="631" t="e">
        <f t="shared" si="12"/>
        <v>#N/A</v>
      </c>
      <c r="T30" s="630" t="s">
        <v>25</v>
      </c>
      <c r="U30" s="631" t="e">
        <f t="shared" si="13"/>
        <v>#N/A</v>
      </c>
      <c r="V30" s="630" t="s">
        <v>25</v>
      </c>
      <c r="W30" s="631" t="e">
        <f t="shared" si="14"/>
        <v>#N/A</v>
      </c>
      <c r="X30" s="1303"/>
      <c r="Y30" s="3714"/>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714"/>
      <c r="Q31" s="1295" t="str">
        <f t="shared" si="11"/>
        <v>是否封闭</v>
      </c>
      <c r="R31" s="626" t="s">
        <v>25</v>
      </c>
      <c r="S31" s="627">
        <f t="shared" si="12"/>
        <v>100</v>
      </c>
      <c r="T31" s="626" t="s">
        <v>25</v>
      </c>
      <c r="U31" s="627">
        <f t="shared" si="13"/>
        <v>100</v>
      </c>
      <c r="V31" s="626" t="s">
        <v>25</v>
      </c>
      <c r="W31" s="627">
        <f t="shared" si="14"/>
        <v>100</v>
      </c>
      <c r="X31" s="628"/>
      <c r="Y31" s="3714"/>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714" t="s">
        <v>2217</v>
      </c>
      <c r="Q32" s="1302">
        <f t="shared" si="11"/>
        <v>111</v>
      </c>
      <c r="R32" s="630" t="s">
        <v>25</v>
      </c>
      <c r="S32" s="631">
        <f t="shared" si="12"/>
        <v>100</v>
      </c>
      <c r="T32" s="630" t="s">
        <v>25</v>
      </c>
      <c r="U32" s="631">
        <f t="shared" si="13"/>
        <v>100</v>
      </c>
      <c r="V32" s="630" t="s">
        <v>25</v>
      </c>
      <c r="W32" s="631">
        <f t="shared" si="14"/>
        <v>100</v>
      </c>
      <c r="X32" s="1303"/>
      <c r="Y32" s="3714"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714"/>
      <c r="Q33" s="1302">
        <f t="shared" si="11"/>
        <v>111</v>
      </c>
      <c r="R33" s="630" t="s">
        <v>25</v>
      </c>
      <c r="S33" s="631">
        <f t="shared" si="12"/>
        <v>100</v>
      </c>
      <c r="T33" s="630" t="s">
        <v>25</v>
      </c>
      <c r="U33" s="631">
        <f t="shared" si="13"/>
        <v>100</v>
      </c>
      <c r="V33" s="630" t="s">
        <v>25</v>
      </c>
      <c r="W33" s="631">
        <f t="shared" si="14"/>
        <v>100</v>
      </c>
      <c r="X33" s="1303"/>
      <c r="Y33" s="3714"/>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714"/>
      <c r="Q34" s="1302">
        <f t="shared" si="11"/>
        <v>111</v>
      </c>
      <c r="R34" s="630" t="s">
        <v>25</v>
      </c>
      <c r="S34" s="631">
        <f t="shared" si="12"/>
        <v>100</v>
      </c>
      <c r="T34" s="630" t="s">
        <v>25</v>
      </c>
      <c r="U34" s="631">
        <f t="shared" si="13"/>
        <v>100</v>
      </c>
      <c r="V34" s="630" t="s">
        <v>25</v>
      </c>
      <c r="W34" s="631">
        <f t="shared" si="14"/>
        <v>100</v>
      </c>
      <c r="X34" s="1303"/>
      <c r="Y34" s="3714"/>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82" t="str">
        <f>A35</f>
        <v>成交单价（元/平方米）</v>
      </c>
      <c r="Q35" s="3682"/>
      <c r="R35" s="3716">
        <f>E35</f>
        <v>0</v>
      </c>
      <c r="S35" s="3716"/>
      <c r="T35" s="3716">
        <f>G35</f>
        <v>0</v>
      </c>
      <c r="U35" s="3716"/>
      <c r="V35" s="3716">
        <f>I35</f>
        <v>0</v>
      </c>
      <c r="W35" s="3716"/>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82" t="str">
        <f>A36</f>
        <v>比较价值（元/平方米）</v>
      </c>
      <c r="Q36" s="3682"/>
      <c r="R36" s="3716" t="e">
        <f>IF(E1="售价",ROUND(PRODUCT(R35,AA7:AA34),0),ROUND(PRODUCT(R35,AA7:AA34),1))</f>
        <v>#DIV/0!</v>
      </c>
      <c r="S36" s="3716"/>
      <c r="T36" s="3716" t="e">
        <f>IF(E1="售价",ROUND(PRODUCT(T35,AB7:AB34),0),ROUND(PRODUCT(T35,AB7:AB34),1))</f>
        <v>#DIV/0!</v>
      </c>
      <c r="U36" s="3716"/>
      <c r="V36" s="3716" t="e">
        <f>IF(E1="售价",ROUND(PRODUCT(V35,AC7:AC34),0),ROUND(PRODUCT(V35,AC7:AC34),1))</f>
        <v>#DIV/0!</v>
      </c>
      <c r="W36" s="3716"/>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717" t="str">
        <f>A37</f>
        <v>估价对象XX用房的比较价值（楼面单价，元/平方米）</v>
      </c>
      <c r="Q37" s="3718"/>
      <c r="R37" s="3719" t="e">
        <f>IF(E1="售价",ROUND(IF(D36="简单平均",AVERAGE(R36:W36),R36*F36+T36*H36+V36*J36),0),ROUND(IF(D36="简单平均",AVERAGE(R36:V36),R36*F36+T36*H36+V36*J36),1))</f>
        <v>#DIV/0!</v>
      </c>
      <c r="S37" s="3719"/>
      <c r="T37" s="3719"/>
      <c r="U37" s="3719"/>
      <c r="V37" s="3719"/>
      <c r="W37" s="3719"/>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1634"/>
      <c r="Y4" s="3638" t="s">
        <v>2192</v>
      </c>
      <c r="Z4" s="3639"/>
      <c r="AA4" s="3625" t="s">
        <v>2188</v>
      </c>
      <c r="AB4" s="3626" t="s">
        <v>2189</v>
      </c>
      <c r="AC4" s="3625" t="s">
        <v>2190</v>
      </c>
    </row>
    <row r="5" spans="1:30" ht="15">
      <c r="A5" s="1636"/>
      <c r="B5" s="1637"/>
      <c r="C5" s="3647" t="s">
        <v>2193</v>
      </c>
      <c r="D5" s="3648"/>
      <c r="E5" s="3645" t="s">
        <v>2194</v>
      </c>
      <c r="F5" s="3646"/>
      <c r="G5" s="3647" t="s">
        <v>2195</v>
      </c>
      <c r="H5" s="3648"/>
      <c r="I5" s="3647" t="s">
        <v>2196</v>
      </c>
      <c r="J5" s="3648"/>
      <c r="K5" s="1934"/>
      <c r="L5" s="2964"/>
      <c r="M5" s="2965"/>
      <c r="N5" s="2965"/>
      <c r="O5" s="2965"/>
      <c r="P5" s="3634"/>
      <c r="Q5" s="3635"/>
      <c r="R5" s="3640"/>
      <c r="S5" s="3641"/>
      <c r="T5" s="3640"/>
      <c r="U5" s="3641"/>
      <c r="V5" s="3644"/>
      <c r="W5" s="3644"/>
      <c r="X5" s="1634"/>
      <c r="Y5" s="3640"/>
      <c r="Z5" s="3641"/>
      <c r="AA5" s="3626"/>
      <c r="AB5" s="3626"/>
      <c r="AC5" s="3626"/>
    </row>
    <row r="6" spans="1:30"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1634"/>
      <c r="Y6" s="3642"/>
      <c r="Z6" s="3643"/>
      <c r="AA6" s="3627"/>
      <c r="AB6" s="3627"/>
      <c r="AC6" s="3627"/>
    </row>
    <row r="7" spans="1:30" s="1653" customFormat="1" ht="15.75" thickBot="1">
      <c r="A7" s="1641" t="s">
        <v>2199</v>
      </c>
      <c r="B7" s="1642"/>
      <c r="C7" s="1643">
        <f>'数据-取费表'!B2</f>
        <v>44663</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60" t="s">
        <v>2200</v>
      </c>
      <c r="Q7" s="3662"/>
      <c r="R7" s="1649" t="s">
        <v>25</v>
      </c>
      <c r="S7" s="1650">
        <f t="shared" ref="S7:S15" si="0">F7</f>
        <v>0</v>
      </c>
      <c r="T7" s="1649" t="s">
        <v>25</v>
      </c>
      <c r="U7" s="1650">
        <f t="shared" ref="U7:U15" si="1">H7</f>
        <v>0</v>
      </c>
      <c r="V7" s="1649" t="s">
        <v>25</v>
      </c>
      <c r="W7" s="1650">
        <f t="shared" ref="W7:W15" si="2">J7</f>
        <v>0</v>
      </c>
      <c r="X7" s="1651"/>
      <c r="Y7" s="3660" t="s">
        <v>2200</v>
      </c>
      <c r="Z7" s="3661"/>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60" t="s">
        <v>2203</v>
      </c>
      <c r="Q8" s="3661"/>
      <c r="R8" s="1649" t="s">
        <v>25</v>
      </c>
      <c r="S8" s="1650">
        <f t="shared" si="0"/>
        <v>0</v>
      </c>
      <c r="T8" s="1649" t="s">
        <v>25</v>
      </c>
      <c r="U8" s="1650">
        <f t="shared" si="1"/>
        <v>0</v>
      </c>
      <c r="V8" s="1649" t="s">
        <v>25</v>
      </c>
      <c r="W8" s="1650">
        <f t="shared" si="2"/>
        <v>0</v>
      </c>
      <c r="X8" s="1651"/>
      <c r="Y8" s="3660" t="s">
        <v>2203</v>
      </c>
      <c r="Z8" s="3661"/>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64" t="s">
        <v>2206</v>
      </c>
      <c r="Q9" s="160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64"/>
      <c r="Q10" s="1603" t="str">
        <f t="shared" si="6"/>
        <v>土地使用年限（年）</v>
      </c>
      <c r="R10" s="1649" t="s">
        <v>25</v>
      </c>
      <c r="S10" s="1650">
        <f t="shared" si="0"/>
        <v>106</v>
      </c>
      <c r="T10" s="1649" t="s">
        <v>25</v>
      </c>
      <c r="U10" s="1650">
        <f t="shared" si="1"/>
        <v>106</v>
      </c>
      <c r="V10" s="1649" t="s">
        <v>25</v>
      </c>
      <c r="W10" s="1650">
        <f t="shared" si="2"/>
        <v>106</v>
      </c>
      <c r="X10" s="1651"/>
      <c r="Y10" s="3440"/>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64"/>
      <c r="Q11" s="1603" t="str">
        <f t="shared" si="6"/>
        <v>容积率</v>
      </c>
      <c r="R11" s="1649" t="s">
        <v>25</v>
      </c>
      <c r="S11" s="1650" t="e">
        <f t="shared" si="0"/>
        <v>#N/A</v>
      </c>
      <c r="T11" s="1649" t="s">
        <v>25</v>
      </c>
      <c r="U11" s="1650" t="e">
        <f t="shared" si="1"/>
        <v>#N/A</v>
      </c>
      <c r="V11" s="1649" t="s">
        <v>25</v>
      </c>
      <c r="W11" s="1650" t="e">
        <f t="shared" si="2"/>
        <v>#N/A</v>
      </c>
      <c r="X11" s="1651"/>
      <c r="Y11" s="3440"/>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64"/>
      <c r="Q12" s="1603" t="str">
        <f t="shared" si="6"/>
        <v>配建</v>
      </c>
      <c r="R12" s="1649" t="s">
        <v>25</v>
      </c>
      <c r="S12" s="1650">
        <f t="shared" si="0"/>
        <v>100</v>
      </c>
      <c r="T12" s="1649" t="s">
        <v>25</v>
      </c>
      <c r="U12" s="1650">
        <f t="shared" si="1"/>
        <v>100</v>
      </c>
      <c r="V12" s="1649" t="s">
        <v>25</v>
      </c>
      <c r="W12" s="1650">
        <f t="shared" si="2"/>
        <v>100</v>
      </c>
      <c r="X12" s="1651"/>
      <c r="Y12" s="3440"/>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64"/>
      <c r="Q13" s="1603">
        <f t="shared" si="6"/>
        <v>111</v>
      </c>
      <c r="R13" s="1649" t="s">
        <v>25</v>
      </c>
      <c r="S13" s="1650">
        <f t="shared" si="0"/>
        <v>100</v>
      </c>
      <c r="T13" s="1649" t="s">
        <v>25</v>
      </c>
      <c r="U13" s="1650">
        <f t="shared" si="1"/>
        <v>100</v>
      </c>
      <c r="V13" s="1649" t="s">
        <v>25</v>
      </c>
      <c r="W13" s="1650">
        <f t="shared" si="2"/>
        <v>100</v>
      </c>
      <c r="X13" s="1651"/>
      <c r="Y13" s="3440"/>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64"/>
      <c r="Q14" s="1603">
        <f t="shared" si="6"/>
        <v>111</v>
      </c>
      <c r="R14" s="1649" t="s">
        <v>25</v>
      </c>
      <c r="S14" s="1650">
        <f t="shared" si="0"/>
        <v>100</v>
      </c>
      <c r="T14" s="1649" t="s">
        <v>25</v>
      </c>
      <c r="U14" s="1650">
        <f t="shared" si="1"/>
        <v>100</v>
      </c>
      <c r="V14" s="1649" t="s">
        <v>25</v>
      </c>
      <c r="W14" s="1650">
        <f t="shared" si="2"/>
        <v>100</v>
      </c>
      <c r="X14" s="1651"/>
      <c r="Y14" s="3440"/>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53" t="s">
        <v>2211</v>
      </c>
      <c r="Q15" s="1584" t="str">
        <f t="shared" si="6"/>
        <v>居住社区成熟度</v>
      </c>
      <c r="R15" s="1694" t="s">
        <v>25</v>
      </c>
      <c r="S15" s="1695">
        <f t="shared" si="0"/>
        <v>100</v>
      </c>
      <c r="T15" s="1694" t="s">
        <v>25</v>
      </c>
      <c r="U15" s="1695">
        <f t="shared" si="1"/>
        <v>100</v>
      </c>
      <c r="V15" s="1694" t="s">
        <v>25</v>
      </c>
      <c r="W15" s="1695">
        <f t="shared" si="2"/>
        <v>100</v>
      </c>
      <c r="X15" s="1634"/>
      <c r="Y15" s="3653"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54"/>
      <c r="Q16" s="1584"/>
      <c r="R16" s="1694"/>
      <c r="S16" s="1695"/>
      <c r="T16" s="1694"/>
      <c r="U16" s="1695"/>
      <c r="V16" s="1694"/>
      <c r="W16" s="1695"/>
      <c r="X16" s="1634"/>
      <c r="Y16" s="3654"/>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54"/>
      <c r="Q17" s="1584" t="str">
        <f>B17</f>
        <v>商业繁华度</v>
      </c>
      <c r="R17" s="1694" t="s">
        <v>25</v>
      </c>
      <c r="S17" s="1695">
        <f>F17</f>
        <v>100</v>
      </c>
      <c r="T17" s="1694" t="s">
        <v>25</v>
      </c>
      <c r="U17" s="1695">
        <f>H17</f>
        <v>100</v>
      </c>
      <c r="V17" s="1694" t="s">
        <v>25</v>
      </c>
      <c r="W17" s="1695">
        <f>J17</f>
        <v>100</v>
      </c>
      <c r="X17" s="1634"/>
      <c r="Y17" s="3654"/>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54"/>
      <c r="Q18" s="1584"/>
      <c r="R18" s="1694"/>
      <c r="S18" s="1695"/>
      <c r="T18" s="1694"/>
      <c r="U18" s="1695"/>
      <c r="V18" s="1694"/>
      <c r="W18" s="1695"/>
      <c r="X18" s="1634"/>
      <c r="Y18" s="3654"/>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54"/>
      <c r="Q19" s="1584" t="str">
        <f>B19</f>
        <v>办公集聚程度</v>
      </c>
      <c r="R19" s="1694" t="s">
        <v>25</v>
      </c>
      <c r="S19" s="1695">
        <f>F19</f>
        <v>100</v>
      </c>
      <c r="T19" s="1694" t="s">
        <v>25</v>
      </c>
      <c r="U19" s="1695">
        <f>H19</f>
        <v>100</v>
      </c>
      <c r="V19" s="1694" t="s">
        <v>25</v>
      </c>
      <c r="W19" s="1695">
        <f>J19</f>
        <v>100</v>
      </c>
      <c r="X19" s="1634"/>
      <c r="Y19" s="3654"/>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54"/>
      <c r="Q20" s="1584"/>
      <c r="R20" s="1694"/>
      <c r="S20" s="1695"/>
      <c r="T20" s="1694"/>
      <c r="U20" s="1695"/>
      <c r="V20" s="1694"/>
      <c r="W20" s="1695"/>
      <c r="X20" s="1634"/>
      <c r="Y20" s="3654"/>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54"/>
      <c r="Q21" s="1584" t="str">
        <f>B21</f>
        <v>交通便捷度</v>
      </c>
      <c r="R21" s="1694" t="s">
        <v>25</v>
      </c>
      <c r="S21" s="1695">
        <f>F21</f>
        <v>100</v>
      </c>
      <c r="T21" s="1694" t="s">
        <v>25</v>
      </c>
      <c r="U21" s="1695">
        <f>H21</f>
        <v>100</v>
      </c>
      <c r="V21" s="1694" t="s">
        <v>25</v>
      </c>
      <c r="W21" s="1695">
        <f>J21</f>
        <v>100</v>
      </c>
      <c r="X21" s="1634"/>
      <c r="Y21" s="3654"/>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54"/>
      <c r="Q22" s="1584"/>
      <c r="R22" s="1694"/>
      <c r="S22" s="1695"/>
      <c r="T22" s="1694"/>
      <c r="U22" s="1695"/>
      <c r="V22" s="1694"/>
      <c r="W22" s="1695"/>
      <c r="X22" s="1634"/>
      <c r="Y22" s="3654"/>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54"/>
      <c r="Q23" s="1584" t="str">
        <f t="shared" ref="Q23:Q37" si="8">B23</f>
        <v>区域土地利用方向</v>
      </c>
      <c r="R23" s="1694" t="s">
        <v>25</v>
      </c>
      <c r="S23" s="1695">
        <f>F23</f>
        <v>100</v>
      </c>
      <c r="T23" s="1694" t="s">
        <v>25</v>
      </c>
      <c r="U23" s="1695">
        <f>H23</f>
        <v>100</v>
      </c>
      <c r="V23" s="1694" t="s">
        <v>25</v>
      </c>
      <c r="W23" s="1695">
        <f>J23</f>
        <v>100</v>
      </c>
      <c r="X23" s="1634"/>
      <c r="Y23" s="3654"/>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54"/>
      <c r="Q24" s="1584"/>
      <c r="R24" s="1694"/>
      <c r="S24" s="1695"/>
      <c r="T24" s="1694"/>
      <c r="U24" s="1695"/>
      <c r="V24" s="1694"/>
      <c r="W24" s="1695"/>
      <c r="X24" s="1634"/>
      <c r="Y24" s="3654"/>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54"/>
      <c r="Q25" s="1584" t="str">
        <f t="shared" si="8"/>
        <v>自然及人文环境状况</v>
      </c>
      <c r="R25" s="1694" t="s">
        <v>25</v>
      </c>
      <c r="S25" s="1695">
        <f>F25</f>
        <v>100</v>
      </c>
      <c r="T25" s="1694" t="s">
        <v>25</v>
      </c>
      <c r="U25" s="1695">
        <f>H25</f>
        <v>100</v>
      </c>
      <c r="V25" s="1694" t="s">
        <v>25</v>
      </c>
      <c r="W25" s="1695">
        <f>J25</f>
        <v>100</v>
      </c>
      <c r="X25" s="1634"/>
      <c r="Y25" s="3654"/>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54"/>
      <c r="Q26" s="1584"/>
      <c r="R26" s="1694"/>
      <c r="S26" s="1695"/>
      <c r="T26" s="1694"/>
      <c r="U26" s="1695"/>
      <c r="V26" s="1694"/>
      <c r="W26" s="1695"/>
      <c r="X26" s="1634"/>
      <c r="Y26" s="3654"/>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54"/>
      <c r="Q27" s="1603" t="str">
        <f t="shared" ref="Q27" si="9">B27</f>
        <v>公共配套设施</v>
      </c>
      <c r="R27" s="1649" t="s">
        <v>25</v>
      </c>
      <c r="S27" s="1650">
        <f>F27</f>
        <v>100</v>
      </c>
      <c r="T27" s="1649" t="s">
        <v>25</v>
      </c>
      <c r="U27" s="1650">
        <f>H27</f>
        <v>100</v>
      </c>
      <c r="V27" s="1649" t="s">
        <v>25</v>
      </c>
      <c r="W27" s="1650">
        <f>J27</f>
        <v>100</v>
      </c>
      <c r="X27" s="1634"/>
      <c r="Y27" s="3654"/>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54"/>
      <c r="Q28" s="1584"/>
      <c r="R28" s="1694"/>
      <c r="S28" s="1695"/>
      <c r="T28" s="1694"/>
      <c r="U28" s="1695"/>
      <c r="V28" s="1694"/>
      <c r="W28" s="1695"/>
      <c r="X28" s="1634"/>
      <c r="Y28" s="3654"/>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54"/>
      <c r="Q29" s="1603" t="str">
        <f t="shared" si="8"/>
        <v>基础设施水平</v>
      </c>
      <c r="R29" s="1649" t="s">
        <v>25</v>
      </c>
      <c r="S29" s="1650">
        <f>F29</f>
        <v>100</v>
      </c>
      <c r="T29" s="1649" t="s">
        <v>25</v>
      </c>
      <c r="U29" s="1650">
        <f>H29</f>
        <v>100</v>
      </c>
      <c r="V29" s="1649" t="s">
        <v>25</v>
      </c>
      <c r="W29" s="1650">
        <f>J29</f>
        <v>100</v>
      </c>
      <c r="X29" s="1651"/>
      <c r="Y29" s="3654"/>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54"/>
      <c r="Q30" s="1603"/>
      <c r="R30" s="1649"/>
      <c r="S30" s="1650"/>
      <c r="T30" s="1649"/>
      <c r="U30" s="1650"/>
      <c r="V30" s="1649"/>
      <c r="W30" s="1650"/>
      <c r="X30" s="1651"/>
      <c r="Y30" s="3654"/>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54"/>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54"/>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54"/>
      <c r="Q32" s="1584" t="str">
        <f t="shared" si="8"/>
        <v>毗邻道路的类型与等级</v>
      </c>
      <c r="R32" s="1694" t="s">
        <v>25</v>
      </c>
      <c r="S32" s="1695">
        <f t="shared" si="10"/>
        <v>100</v>
      </c>
      <c r="T32" s="1694" t="s">
        <v>25</v>
      </c>
      <c r="U32" s="1695">
        <f t="shared" si="11"/>
        <v>100</v>
      </c>
      <c r="V32" s="1694" t="s">
        <v>25</v>
      </c>
      <c r="W32" s="1695">
        <f t="shared" si="12"/>
        <v>100</v>
      </c>
      <c r="X32" s="1634"/>
      <c r="Y32" s="3654"/>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54"/>
      <c r="Q33" s="1584"/>
      <c r="R33" s="1694"/>
      <c r="S33" s="1695"/>
      <c r="T33" s="1694"/>
      <c r="U33" s="1695"/>
      <c r="V33" s="1694"/>
      <c r="W33" s="1695"/>
      <c r="X33" s="1634"/>
      <c r="Y33" s="3654"/>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54"/>
      <c r="Q34" s="1584" t="str">
        <f t="shared" si="8"/>
        <v>土地级别</v>
      </c>
      <c r="R34" s="1694" t="s">
        <v>25</v>
      </c>
      <c r="S34" s="1695">
        <f t="shared" si="10"/>
        <v>100</v>
      </c>
      <c r="T34" s="1694" t="s">
        <v>25</v>
      </c>
      <c r="U34" s="1695">
        <f t="shared" si="11"/>
        <v>100</v>
      </c>
      <c r="V34" s="1694" t="s">
        <v>25</v>
      </c>
      <c r="W34" s="1695">
        <f t="shared" si="12"/>
        <v>100</v>
      </c>
      <c r="X34" s="1634"/>
      <c r="Y34" s="3654"/>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54"/>
      <c r="Q35" s="1584">
        <f t="shared" si="8"/>
        <v>111</v>
      </c>
      <c r="R35" s="1694" t="s">
        <v>25</v>
      </c>
      <c r="S35" s="1695">
        <f t="shared" si="10"/>
        <v>100</v>
      </c>
      <c r="T35" s="1694" t="s">
        <v>25</v>
      </c>
      <c r="U35" s="1695">
        <f t="shared" si="11"/>
        <v>100</v>
      </c>
      <c r="V35" s="1694" t="s">
        <v>25</v>
      </c>
      <c r="W35" s="1695">
        <f t="shared" si="12"/>
        <v>100</v>
      </c>
      <c r="X35" s="1634"/>
      <c r="Y35" s="3654"/>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5" t="s">
        <v>2217</v>
      </c>
      <c r="Q36" s="1584">
        <f t="shared" si="8"/>
        <v>111</v>
      </c>
      <c r="R36" s="1694" t="s">
        <v>25</v>
      </c>
      <c r="S36" s="1695">
        <f t="shared" si="10"/>
        <v>100</v>
      </c>
      <c r="T36" s="1694" t="s">
        <v>25</v>
      </c>
      <c r="U36" s="1695">
        <f t="shared" si="11"/>
        <v>100</v>
      </c>
      <c r="V36" s="1694" t="s">
        <v>25</v>
      </c>
      <c r="W36" s="1695">
        <f t="shared" si="12"/>
        <v>100</v>
      </c>
      <c r="X36" s="1634"/>
      <c r="Y36" s="3658"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58"/>
      <c r="Q37" s="1584">
        <f t="shared" si="8"/>
        <v>111</v>
      </c>
      <c r="R37" s="1736" t="s">
        <v>25</v>
      </c>
      <c r="S37" s="1737">
        <f t="shared" si="10"/>
        <v>100</v>
      </c>
      <c r="T37" s="1736" t="s">
        <v>25</v>
      </c>
      <c r="U37" s="1737">
        <f t="shared" si="11"/>
        <v>100</v>
      </c>
      <c r="V37" s="1736" t="s">
        <v>25</v>
      </c>
      <c r="W37" s="1737">
        <f t="shared" si="12"/>
        <v>100</v>
      </c>
      <c r="X37" s="1738"/>
      <c r="Y37" s="3658"/>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58"/>
      <c r="Q38" s="1584" t="str">
        <f>B38</f>
        <v>宗地面积</v>
      </c>
      <c r="R38" s="1694" t="s">
        <v>25</v>
      </c>
      <c r="S38" s="1695" t="e">
        <f t="shared" si="10"/>
        <v>#N/A</v>
      </c>
      <c r="T38" s="1694" t="s">
        <v>25</v>
      </c>
      <c r="U38" s="1695" t="e">
        <f t="shared" si="11"/>
        <v>#N/A</v>
      </c>
      <c r="V38" s="1694" t="s">
        <v>25</v>
      </c>
      <c r="W38" s="1695" t="e">
        <f t="shared" si="12"/>
        <v>#N/A</v>
      </c>
      <c r="X38" s="1634"/>
      <c r="Y38" s="3658"/>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58"/>
      <c r="Q39" s="1584" t="str">
        <f t="shared" ref="Q39:Q45" si="14">B39</f>
        <v>宗地形状</v>
      </c>
      <c r="R39" s="1694" t="s">
        <v>25</v>
      </c>
      <c r="S39" s="1695">
        <f t="shared" si="10"/>
        <v>100</v>
      </c>
      <c r="T39" s="1694" t="s">
        <v>25</v>
      </c>
      <c r="U39" s="1695">
        <f t="shared" si="11"/>
        <v>100</v>
      </c>
      <c r="V39" s="1694" t="s">
        <v>25</v>
      </c>
      <c r="W39" s="1695">
        <f t="shared" si="12"/>
        <v>100</v>
      </c>
      <c r="X39" s="1634"/>
      <c r="Y39" s="3658"/>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58"/>
      <c r="Q40" s="1584" t="str">
        <f t="shared" si="14"/>
        <v>临街宽度及深度</v>
      </c>
      <c r="R40" s="1694" t="s">
        <v>25</v>
      </c>
      <c r="S40" s="1695">
        <f t="shared" si="10"/>
        <v>100</v>
      </c>
      <c r="T40" s="1694" t="s">
        <v>25</v>
      </c>
      <c r="U40" s="1695">
        <f t="shared" si="11"/>
        <v>100</v>
      </c>
      <c r="V40" s="1694" t="s">
        <v>25</v>
      </c>
      <c r="W40" s="1695">
        <f t="shared" si="12"/>
        <v>100</v>
      </c>
      <c r="X40" s="1634"/>
      <c r="Y40" s="3658"/>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58"/>
      <c r="Q41" s="1584" t="str">
        <f t="shared" si="14"/>
        <v>宗地开发程度</v>
      </c>
      <c r="R41" s="1649" t="s">
        <v>25</v>
      </c>
      <c r="S41" s="1650">
        <f t="shared" si="10"/>
        <v>100</v>
      </c>
      <c r="T41" s="1649" t="s">
        <v>25</v>
      </c>
      <c r="U41" s="1650">
        <f t="shared" si="11"/>
        <v>100</v>
      </c>
      <c r="V41" s="1649" t="s">
        <v>25</v>
      </c>
      <c r="W41" s="1650">
        <f t="shared" si="12"/>
        <v>100</v>
      </c>
      <c r="X41" s="1651"/>
      <c r="Y41" s="3658"/>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58" t="s">
        <v>2217</v>
      </c>
      <c r="Q42" s="1584" t="str">
        <f t="shared" si="14"/>
        <v>工程地质条件</v>
      </c>
      <c r="R42" s="1694" t="s">
        <v>25</v>
      </c>
      <c r="S42" s="1695">
        <f t="shared" si="10"/>
        <v>100</v>
      </c>
      <c r="T42" s="1694" t="s">
        <v>25</v>
      </c>
      <c r="U42" s="1695">
        <f t="shared" si="11"/>
        <v>100</v>
      </c>
      <c r="V42" s="1694" t="s">
        <v>25</v>
      </c>
      <c r="W42" s="1695">
        <f t="shared" si="12"/>
        <v>100</v>
      </c>
      <c r="X42" s="1634"/>
      <c r="Y42" s="3658"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58"/>
      <c r="Q43" s="1584">
        <f t="shared" si="14"/>
        <v>111</v>
      </c>
      <c r="R43" s="1694" t="s">
        <v>25</v>
      </c>
      <c r="S43" s="1695">
        <f t="shared" si="10"/>
        <v>100</v>
      </c>
      <c r="T43" s="1694" t="s">
        <v>25</v>
      </c>
      <c r="U43" s="1695">
        <f t="shared" si="11"/>
        <v>100</v>
      </c>
      <c r="V43" s="1694" t="s">
        <v>25</v>
      </c>
      <c r="W43" s="1695">
        <f t="shared" si="12"/>
        <v>100</v>
      </c>
      <c r="X43" s="1634"/>
      <c r="Y43" s="3658"/>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58"/>
      <c r="Q44" s="1584">
        <f t="shared" si="14"/>
        <v>111</v>
      </c>
      <c r="R44" s="1694" t="s">
        <v>25</v>
      </c>
      <c r="S44" s="1695">
        <f t="shared" si="10"/>
        <v>100</v>
      </c>
      <c r="T44" s="1694" t="s">
        <v>25</v>
      </c>
      <c r="U44" s="1695">
        <f t="shared" si="11"/>
        <v>100</v>
      </c>
      <c r="V44" s="1694" t="s">
        <v>25</v>
      </c>
      <c r="W44" s="1695">
        <f t="shared" si="12"/>
        <v>100</v>
      </c>
      <c r="X44" s="1634"/>
      <c r="Y44" s="3658"/>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58"/>
      <c r="Q45" s="1584">
        <f t="shared" si="14"/>
        <v>111</v>
      </c>
      <c r="R45" s="1736" t="s">
        <v>25</v>
      </c>
      <c r="S45" s="1737">
        <f t="shared" si="10"/>
        <v>100</v>
      </c>
      <c r="T45" s="1736" t="s">
        <v>25</v>
      </c>
      <c r="U45" s="1737">
        <f t="shared" si="11"/>
        <v>100</v>
      </c>
      <c r="V45" s="1736" t="s">
        <v>25</v>
      </c>
      <c r="W45" s="1737">
        <f t="shared" si="12"/>
        <v>100</v>
      </c>
      <c r="X45" s="1738"/>
      <c r="Y45" s="3658"/>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64" t="str">
        <f>A46</f>
        <v>成交单价</v>
      </c>
      <c r="Q46" s="3664"/>
      <c r="R46" s="3644">
        <f>E46</f>
        <v>0</v>
      </c>
      <c r="S46" s="3644"/>
      <c r="T46" s="3644">
        <f>G46</f>
        <v>0</v>
      </c>
      <c r="U46" s="3644"/>
      <c r="V46" s="3644">
        <f>I46</f>
        <v>0</v>
      </c>
      <c r="W46" s="3644"/>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64" t="str">
        <f>A47</f>
        <v>比较价值（元/平方米）</v>
      </c>
      <c r="Q47" s="3664"/>
      <c r="R47" s="3720" t="e">
        <f>ROUND(PRODUCT(R46,AA7:AA45),0)</f>
        <v>#DIV/0!</v>
      </c>
      <c r="S47" s="3720"/>
      <c r="T47" s="3720" t="e">
        <f>ROUND(PRODUCT(T46,AB7:AB45),0)</f>
        <v>#DIV/0!</v>
      </c>
      <c r="U47" s="3720"/>
      <c r="V47" s="3720" t="e">
        <f>ROUND(PRODUCT(V46,AC7:AC45),0)</f>
        <v>#DIV/0!</v>
      </c>
      <c r="W47" s="3720"/>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70" t="str">
        <f>A48</f>
        <v>估价对象XX用房的比较价值（楼面单价，元/平方米）</v>
      </c>
      <c r="Q48" s="3671"/>
      <c r="R48" s="3721" t="e">
        <f>ROUND(IF(D47="简单平均",AVERAGE(R47:W47),R47*F47+T47*H47+V47*J47),0)</f>
        <v>#DIV/0!</v>
      </c>
      <c r="S48" s="3721"/>
      <c r="T48" s="3721"/>
      <c r="U48" s="3721"/>
      <c r="V48" s="3721"/>
      <c r="W48" s="3721"/>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估价对象为北京市房地产，为XX所有。根据《》[]，估价对象建筑面积为118.86平方米。根据《》[]，估价对象（分摊）出让国有建设用地使用权面积为平方米。估价对象用途为。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2022年4月12日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5" t="s">
        <v>2200</v>
      </c>
      <c r="Q7" s="3709"/>
      <c r="R7" s="626" t="s">
        <v>25</v>
      </c>
      <c r="S7" s="627">
        <f t="shared" ref="S7:S15" si="0">F7</f>
        <v>0</v>
      </c>
      <c r="T7" s="626" t="s">
        <v>25</v>
      </c>
      <c r="U7" s="627">
        <f t="shared" ref="U7:U15" si="1">H7</f>
        <v>0</v>
      </c>
      <c r="V7" s="626" t="s">
        <v>25</v>
      </c>
      <c r="W7" s="627">
        <f t="shared" ref="W7:W15" si="2">J7</f>
        <v>0</v>
      </c>
      <c r="X7" s="628"/>
      <c r="Y7" s="3685" t="s">
        <v>2200</v>
      </c>
      <c r="Z7" s="3686"/>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82" t="s">
        <v>2206</v>
      </c>
      <c r="Q9" s="1295" t="str">
        <f t="shared" ref="Q9:Q15" si="6">B9</f>
        <v>用途</v>
      </c>
      <c r="R9" s="626" t="s">
        <v>25</v>
      </c>
      <c r="S9" s="627">
        <f t="shared" si="0"/>
        <v>100</v>
      </c>
      <c r="T9" s="626" t="s">
        <v>25</v>
      </c>
      <c r="U9" s="627">
        <f t="shared" si="1"/>
        <v>100</v>
      </c>
      <c r="V9" s="626" t="s">
        <v>25</v>
      </c>
      <c r="W9" s="627">
        <f t="shared" si="2"/>
        <v>100</v>
      </c>
      <c r="X9" s="628"/>
      <c r="Y9" s="3712"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82"/>
      <c r="Q10" s="1295" t="str">
        <f t="shared" si="6"/>
        <v>土地使用年限（年）</v>
      </c>
      <c r="R10" s="626" t="s">
        <v>25</v>
      </c>
      <c r="S10" s="627">
        <f t="shared" si="0"/>
        <v>106</v>
      </c>
      <c r="T10" s="626" t="s">
        <v>25</v>
      </c>
      <c r="U10" s="627">
        <f t="shared" si="1"/>
        <v>106</v>
      </c>
      <c r="V10" s="626" t="s">
        <v>25</v>
      </c>
      <c r="W10" s="627">
        <f t="shared" si="2"/>
        <v>106</v>
      </c>
      <c r="X10" s="628"/>
      <c r="Y10" s="3712"/>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82"/>
      <c r="Q11" s="1295" t="str">
        <f t="shared" si="6"/>
        <v>容积率</v>
      </c>
      <c r="R11" s="626" t="s">
        <v>25</v>
      </c>
      <c r="S11" s="627" t="e">
        <f t="shared" si="0"/>
        <v>#N/A</v>
      </c>
      <c r="T11" s="626" t="s">
        <v>25</v>
      </c>
      <c r="U11" s="627" t="e">
        <f t="shared" si="1"/>
        <v>#N/A</v>
      </c>
      <c r="V11" s="626" t="s">
        <v>25</v>
      </c>
      <c r="W11" s="627" t="e">
        <f t="shared" si="2"/>
        <v>#N/A</v>
      </c>
      <c r="X11" s="628"/>
      <c r="Y11" s="3712"/>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82"/>
      <c r="Q14" s="1295">
        <f t="shared" si="6"/>
        <v>111</v>
      </c>
      <c r="R14" s="626" t="s">
        <v>25</v>
      </c>
      <c r="S14" s="627">
        <f t="shared" si="0"/>
        <v>100</v>
      </c>
      <c r="T14" s="626" t="s">
        <v>25</v>
      </c>
      <c r="U14" s="627">
        <f t="shared" si="1"/>
        <v>100</v>
      </c>
      <c r="V14" s="626" t="s">
        <v>25</v>
      </c>
      <c r="W14" s="627">
        <f t="shared" si="2"/>
        <v>100</v>
      </c>
      <c r="X14" s="628"/>
      <c r="Y14" s="3712"/>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710" t="s">
        <v>2211</v>
      </c>
      <c r="Q15" s="1302" t="str">
        <f t="shared" si="6"/>
        <v>产业集聚程度</v>
      </c>
      <c r="R15" s="630" t="s">
        <v>25</v>
      </c>
      <c r="S15" s="631">
        <f t="shared" si="0"/>
        <v>100</v>
      </c>
      <c r="T15" s="630" t="s">
        <v>25</v>
      </c>
      <c r="U15" s="631">
        <f t="shared" si="1"/>
        <v>100</v>
      </c>
      <c r="V15" s="630" t="s">
        <v>25</v>
      </c>
      <c r="W15" s="631">
        <f t="shared" si="2"/>
        <v>100</v>
      </c>
      <c r="X15" s="1303"/>
      <c r="Y15" s="3710"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711"/>
      <c r="Q16" s="1302"/>
      <c r="R16" s="630"/>
      <c r="S16" s="631"/>
      <c r="T16" s="630"/>
      <c r="U16" s="631"/>
      <c r="V16" s="630"/>
      <c r="W16" s="631"/>
      <c r="X16" s="1303"/>
      <c r="Y16" s="3711"/>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711"/>
      <c r="Q17" s="1302" t="str">
        <f>B17</f>
        <v>交通便捷度</v>
      </c>
      <c r="R17" s="630" t="s">
        <v>25</v>
      </c>
      <c r="S17" s="631">
        <f>F17</f>
        <v>100</v>
      </c>
      <c r="T17" s="630" t="s">
        <v>25</v>
      </c>
      <c r="U17" s="631">
        <f>H17</f>
        <v>100</v>
      </c>
      <c r="V17" s="630" t="s">
        <v>25</v>
      </c>
      <c r="W17" s="631">
        <f>J17</f>
        <v>100</v>
      </c>
      <c r="X17" s="1303"/>
      <c r="Y17" s="3711"/>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711"/>
      <c r="Q18" s="1302"/>
      <c r="R18" s="630"/>
      <c r="S18" s="631"/>
      <c r="T18" s="630"/>
      <c r="U18" s="631"/>
      <c r="V18" s="630"/>
      <c r="W18" s="631"/>
      <c r="X18" s="1303"/>
      <c r="Y18" s="3711"/>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711"/>
      <c r="Q19" s="1302" t="str">
        <f t="shared" ref="Q19:Q33" si="8">B19</f>
        <v>区域土地利用方向</v>
      </c>
      <c r="R19" s="630" t="s">
        <v>25</v>
      </c>
      <c r="S19" s="631">
        <f>F19</f>
        <v>100</v>
      </c>
      <c r="T19" s="630" t="s">
        <v>25</v>
      </c>
      <c r="U19" s="631">
        <f>H19</f>
        <v>100</v>
      </c>
      <c r="V19" s="630" t="s">
        <v>25</v>
      </c>
      <c r="W19" s="631">
        <f>J19</f>
        <v>100</v>
      </c>
      <c r="X19" s="1303"/>
      <c r="Y19" s="3711"/>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711"/>
      <c r="Q20" s="1302"/>
      <c r="R20" s="630"/>
      <c r="S20" s="631"/>
      <c r="T20" s="630"/>
      <c r="U20" s="631"/>
      <c r="V20" s="630"/>
      <c r="W20" s="631"/>
      <c r="X20" s="1303"/>
      <c r="Y20" s="3711"/>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711"/>
      <c r="Q21" s="1302" t="str">
        <f t="shared" si="8"/>
        <v>环境状况</v>
      </c>
      <c r="R21" s="630" t="s">
        <v>25</v>
      </c>
      <c r="S21" s="631">
        <f>F21</f>
        <v>100</v>
      </c>
      <c r="T21" s="630" t="s">
        <v>25</v>
      </c>
      <c r="U21" s="631">
        <f>H21</f>
        <v>100</v>
      </c>
      <c r="V21" s="630" t="s">
        <v>25</v>
      </c>
      <c r="W21" s="631">
        <f>J21</f>
        <v>100</v>
      </c>
      <c r="X21" s="1303"/>
      <c r="Y21" s="3711"/>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711"/>
      <c r="Q22" s="1302"/>
      <c r="R22" s="630"/>
      <c r="S22" s="631"/>
      <c r="T22" s="630"/>
      <c r="U22" s="631"/>
      <c r="V22" s="630"/>
      <c r="W22" s="631"/>
      <c r="X22" s="1303"/>
      <c r="Y22" s="3711"/>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711"/>
      <c r="Q23" s="1295" t="str">
        <f t="shared" si="8"/>
        <v>公共配套设施</v>
      </c>
      <c r="R23" s="626" t="s">
        <v>25</v>
      </c>
      <c r="S23" s="627">
        <f>F23</f>
        <v>100</v>
      </c>
      <c r="T23" s="626" t="s">
        <v>25</v>
      </c>
      <c r="U23" s="627">
        <f>H23</f>
        <v>100</v>
      </c>
      <c r="V23" s="626" t="s">
        <v>25</v>
      </c>
      <c r="W23" s="627">
        <f>J23</f>
        <v>100</v>
      </c>
      <c r="X23" s="628"/>
      <c r="Y23" s="3711"/>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711"/>
      <c r="Q24" s="1295"/>
      <c r="R24" s="626"/>
      <c r="S24" s="627"/>
      <c r="T24" s="626"/>
      <c r="U24" s="627"/>
      <c r="V24" s="626"/>
      <c r="W24" s="627"/>
      <c r="X24" s="628"/>
      <c r="Y24" s="3711"/>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711"/>
      <c r="Q25" s="1295" t="str">
        <f t="shared" ref="Q25" si="9">B25</f>
        <v>基础设施水平</v>
      </c>
      <c r="R25" s="626" t="s">
        <v>25</v>
      </c>
      <c r="S25" s="627">
        <f>F25</f>
        <v>100</v>
      </c>
      <c r="T25" s="626" t="s">
        <v>25</v>
      </c>
      <c r="U25" s="627">
        <f>H25</f>
        <v>100</v>
      </c>
      <c r="V25" s="626" t="s">
        <v>25</v>
      </c>
      <c r="W25" s="627">
        <f>J25</f>
        <v>100</v>
      </c>
      <c r="X25" s="628"/>
      <c r="Y25" s="3711"/>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711"/>
      <c r="Q26" s="1295"/>
      <c r="R26" s="626"/>
      <c r="S26" s="627"/>
      <c r="T26" s="626"/>
      <c r="U26" s="627"/>
      <c r="V26" s="626"/>
      <c r="W26" s="627"/>
      <c r="X26" s="628"/>
      <c r="Y26" s="3711"/>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711"/>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11"/>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711"/>
      <c r="Q28" s="1302" t="str">
        <f t="shared" si="8"/>
        <v>毗邻道路的类型与等级</v>
      </c>
      <c r="R28" s="630" t="s">
        <v>25</v>
      </c>
      <c r="S28" s="631">
        <f t="shared" si="10"/>
        <v>100</v>
      </c>
      <c r="T28" s="630" t="s">
        <v>25</v>
      </c>
      <c r="U28" s="631">
        <f t="shared" si="11"/>
        <v>100</v>
      </c>
      <c r="V28" s="630" t="s">
        <v>25</v>
      </c>
      <c r="W28" s="631">
        <f t="shared" si="12"/>
        <v>100</v>
      </c>
      <c r="X28" s="1303"/>
      <c r="Y28" s="3711"/>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711"/>
      <c r="Q29" s="1302"/>
      <c r="R29" s="630"/>
      <c r="S29" s="631"/>
      <c r="T29" s="630"/>
      <c r="U29" s="631"/>
      <c r="V29" s="630"/>
      <c r="W29" s="631"/>
      <c r="X29" s="1303"/>
      <c r="Y29" s="3711"/>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711"/>
      <c r="Q30" s="1302" t="str">
        <f t="shared" si="8"/>
        <v>土地级别</v>
      </c>
      <c r="R30" s="630" t="s">
        <v>25</v>
      </c>
      <c r="S30" s="631">
        <f t="shared" si="10"/>
        <v>100</v>
      </c>
      <c r="T30" s="630" t="s">
        <v>25</v>
      </c>
      <c r="U30" s="631">
        <f t="shared" si="11"/>
        <v>100</v>
      </c>
      <c r="V30" s="630" t="s">
        <v>25</v>
      </c>
      <c r="W30" s="631">
        <f t="shared" si="12"/>
        <v>100</v>
      </c>
      <c r="X30" s="1303"/>
      <c r="Y30" s="3711"/>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711"/>
      <c r="Q31" s="1302">
        <f t="shared" si="8"/>
        <v>111</v>
      </c>
      <c r="R31" s="630" t="s">
        <v>25</v>
      </c>
      <c r="S31" s="631">
        <f t="shared" si="10"/>
        <v>100</v>
      </c>
      <c r="T31" s="630" t="s">
        <v>25</v>
      </c>
      <c r="U31" s="631">
        <f t="shared" si="11"/>
        <v>100</v>
      </c>
      <c r="V31" s="630" t="s">
        <v>25</v>
      </c>
      <c r="W31" s="631">
        <f t="shared" si="12"/>
        <v>100</v>
      </c>
      <c r="X31" s="1303"/>
      <c r="Y31" s="3711"/>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713" t="s">
        <v>2217</v>
      </c>
      <c r="Q32" s="1302">
        <f t="shared" si="8"/>
        <v>111</v>
      </c>
      <c r="R32" s="630" t="s">
        <v>25</v>
      </c>
      <c r="S32" s="631">
        <f t="shared" si="10"/>
        <v>100</v>
      </c>
      <c r="T32" s="630" t="s">
        <v>25</v>
      </c>
      <c r="U32" s="631">
        <f t="shared" si="11"/>
        <v>100</v>
      </c>
      <c r="V32" s="630" t="s">
        <v>25</v>
      </c>
      <c r="W32" s="631">
        <f t="shared" si="12"/>
        <v>100</v>
      </c>
      <c r="X32" s="1303"/>
      <c r="Y32" s="3714"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714"/>
      <c r="Q33" s="1302">
        <f t="shared" si="8"/>
        <v>111</v>
      </c>
      <c r="R33" s="633" t="s">
        <v>25</v>
      </c>
      <c r="S33" s="634">
        <f t="shared" si="10"/>
        <v>100</v>
      </c>
      <c r="T33" s="633" t="s">
        <v>25</v>
      </c>
      <c r="U33" s="634">
        <f t="shared" si="11"/>
        <v>100</v>
      </c>
      <c r="V33" s="633" t="s">
        <v>25</v>
      </c>
      <c r="W33" s="634">
        <f t="shared" si="12"/>
        <v>100</v>
      </c>
      <c r="X33" s="635"/>
      <c r="Y33" s="3714"/>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714"/>
      <c r="Q34" s="1302" t="str">
        <f>B34</f>
        <v>宗地面积</v>
      </c>
      <c r="R34" s="630" t="s">
        <v>25</v>
      </c>
      <c r="S34" s="631" t="e">
        <f t="shared" si="10"/>
        <v>#N/A</v>
      </c>
      <c r="T34" s="630" t="s">
        <v>25</v>
      </c>
      <c r="U34" s="631" t="e">
        <f t="shared" si="11"/>
        <v>#N/A</v>
      </c>
      <c r="V34" s="630" t="s">
        <v>25</v>
      </c>
      <c r="W34" s="631" t="e">
        <f t="shared" si="12"/>
        <v>#N/A</v>
      </c>
      <c r="X34" s="1303"/>
      <c r="Y34" s="3714"/>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714"/>
      <c r="Q35" s="1302" t="str">
        <f t="shared" ref="Q35:Q40" si="14">B35</f>
        <v>宗地形状</v>
      </c>
      <c r="R35" s="630" t="s">
        <v>25</v>
      </c>
      <c r="S35" s="631">
        <f t="shared" si="10"/>
        <v>100</v>
      </c>
      <c r="T35" s="630" t="s">
        <v>25</v>
      </c>
      <c r="U35" s="631">
        <f t="shared" si="11"/>
        <v>100</v>
      </c>
      <c r="V35" s="630" t="s">
        <v>25</v>
      </c>
      <c r="W35" s="631">
        <f t="shared" si="12"/>
        <v>100</v>
      </c>
      <c r="X35" s="1303"/>
      <c r="Y35" s="3714"/>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714"/>
      <c r="Q36" s="1302" t="str">
        <f t="shared" si="14"/>
        <v>宗地开发程度</v>
      </c>
      <c r="R36" s="626" t="s">
        <v>25</v>
      </c>
      <c r="S36" s="627">
        <f t="shared" si="10"/>
        <v>100</v>
      </c>
      <c r="T36" s="626" t="s">
        <v>25</v>
      </c>
      <c r="U36" s="627">
        <f t="shared" si="11"/>
        <v>100</v>
      </c>
      <c r="V36" s="626" t="s">
        <v>25</v>
      </c>
      <c r="W36" s="627">
        <f t="shared" si="12"/>
        <v>100</v>
      </c>
      <c r="X36" s="628"/>
      <c r="Y36" s="3714"/>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714" t="s">
        <v>2217</v>
      </c>
      <c r="Q37" s="1302" t="str">
        <f t="shared" si="14"/>
        <v>工程地质条件</v>
      </c>
      <c r="R37" s="630" t="s">
        <v>25</v>
      </c>
      <c r="S37" s="631">
        <f t="shared" si="10"/>
        <v>100</v>
      </c>
      <c r="T37" s="630" t="s">
        <v>25</v>
      </c>
      <c r="U37" s="631">
        <f t="shared" si="11"/>
        <v>100</v>
      </c>
      <c r="V37" s="630" t="s">
        <v>25</v>
      </c>
      <c r="W37" s="631">
        <f t="shared" si="12"/>
        <v>100</v>
      </c>
      <c r="X37" s="1303"/>
      <c r="Y37" s="3714"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714"/>
      <c r="Q38" s="1302">
        <f t="shared" si="14"/>
        <v>111</v>
      </c>
      <c r="R38" s="630" t="s">
        <v>25</v>
      </c>
      <c r="S38" s="631">
        <f t="shared" si="10"/>
        <v>100</v>
      </c>
      <c r="T38" s="630" t="s">
        <v>25</v>
      </c>
      <c r="U38" s="631">
        <f t="shared" si="11"/>
        <v>100</v>
      </c>
      <c r="V38" s="630" t="s">
        <v>25</v>
      </c>
      <c r="W38" s="631">
        <f t="shared" si="12"/>
        <v>100</v>
      </c>
      <c r="X38" s="1303"/>
      <c r="Y38" s="3714"/>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714"/>
      <c r="Q39" s="1302">
        <f t="shared" si="14"/>
        <v>111</v>
      </c>
      <c r="R39" s="630" t="s">
        <v>25</v>
      </c>
      <c r="S39" s="631">
        <f t="shared" si="10"/>
        <v>100</v>
      </c>
      <c r="T39" s="630" t="s">
        <v>25</v>
      </c>
      <c r="U39" s="631">
        <f t="shared" si="11"/>
        <v>100</v>
      </c>
      <c r="V39" s="630" t="s">
        <v>25</v>
      </c>
      <c r="W39" s="631">
        <f t="shared" si="12"/>
        <v>100</v>
      </c>
      <c r="X39" s="1303"/>
      <c r="Y39" s="3714"/>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714"/>
      <c r="Q40" s="1302">
        <f t="shared" si="14"/>
        <v>111</v>
      </c>
      <c r="R40" s="633" t="s">
        <v>25</v>
      </c>
      <c r="S40" s="634">
        <f t="shared" si="10"/>
        <v>100</v>
      </c>
      <c r="T40" s="633" t="s">
        <v>25</v>
      </c>
      <c r="U40" s="634">
        <f t="shared" si="11"/>
        <v>100</v>
      </c>
      <c r="V40" s="633" t="s">
        <v>25</v>
      </c>
      <c r="W40" s="634">
        <f t="shared" si="12"/>
        <v>100</v>
      </c>
      <c r="X40" s="635"/>
      <c r="Y40" s="3714"/>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82" t="str">
        <f>A41</f>
        <v>成交单价</v>
      </c>
      <c r="Q41" s="3682"/>
      <c r="R41" s="3706">
        <f>E41</f>
        <v>0</v>
      </c>
      <c r="S41" s="3706"/>
      <c r="T41" s="3706">
        <f>G41</f>
        <v>0</v>
      </c>
      <c r="U41" s="3706"/>
      <c r="V41" s="3706">
        <f>I41</f>
        <v>0</v>
      </c>
      <c r="W41" s="3706"/>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82" t="str">
        <f>A42</f>
        <v>比较价值（元/平方米）</v>
      </c>
      <c r="Q42" s="3682"/>
      <c r="R42" s="3723" t="e">
        <f>ROUND(PRODUCT(R41,AA7:AA40),0)</f>
        <v>#DIV/0!</v>
      </c>
      <c r="S42" s="3723"/>
      <c r="T42" s="3723" t="e">
        <f>ROUND(PRODUCT(T41,AB7:AB40),0)</f>
        <v>#DIV/0!</v>
      </c>
      <c r="U42" s="3723"/>
      <c r="V42" s="3723" t="e">
        <f>ROUND(PRODUCT(V41,AC7:AC40),0)</f>
        <v>#DIV/0!</v>
      </c>
      <c r="W42" s="3723"/>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717" t="str">
        <f>A43</f>
        <v>估价对象XX用房的比较价值（楼面单价，元/平方米）</v>
      </c>
      <c r="Q43" s="3718"/>
      <c r="R43" s="3722" t="e">
        <f>ROUND(IF(D42="简单平均",AVERAGE(R42:W42),R42*F42+T42*H42+V42*J42),0)</f>
        <v>#DIV/0!</v>
      </c>
      <c r="S43" s="3722"/>
      <c r="T43" s="3722"/>
      <c r="U43" s="3722"/>
      <c r="V43" s="3722"/>
      <c r="W43" s="3722"/>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118</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118.86</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3320"/>
      <c r="Y4" s="3638" t="s">
        <v>2192</v>
      </c>
      <c r="Z4" s="3639"/>
      <c r="AA4" s="3625" t="s">
        <v>2188</v>
      </c>
      <c r="AB4" s="3625" t="s">
        <v>2189</v>
      </c>
      <c r="AC4" s="3625" t="s">
        <v>2190</v>
      </c>
    </row>
    <row r="5" spans="1:29" ht="15">
      <c r="A5" s="1636"/>
      <c r="B5" s="1637"/>
      <c r="C5" s="3647" t="s">
        <v>2193</v>
      </c>
      <c r="D5" s="3648"/>
      <c r="E5" s="3674" t="s">
        <v>3006</v>
      </c>
      <c r="F5" s="3646"/>
      <c r="G5" s="3673" t="s">
        <v>3048</v>
      </c>
      <c r="H5" s="3648"/>
      <c r="I5" s="3673" t="s">
        <v>3007</v>
      </c>
      <c r="J5" s="3648"/>
      <c r="K5" s="1934"/>
      <c r="L5" s="2964"/>
      <c r="M5" s="2965"/>
      <c r="N5" s="2965"/>
      <c r="O5" s="2965"/>
      <c r="P5" s="3634"/>
      <c r="Q5" s="3635"/>
      <c r="R5" s="3640"/>
      <c r="S5" s="3641"/>
      <c r="T5" s="3640"/>
      <c r="U5" s="3641"/>
      <c r="V5" s="3644"/>
      <c r="W5" s="3644"/>
      <c r="X5" s="3320"/>
      <c r="Y5" s="3640"/>
      <c r="Z5" s="3641"/>
      <c r="AA5" s="3626"/>
      <c r="AB5" s="3626"/>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3320"/>
      <c r="Y6" s="3642"/>
      <c r="Z6" s="3643"/>
      <c r="AA6" s="3627"/>
      <c r="AB6" s="3627"/>
      <c r="AC6" s="362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64" t="s">
        <v>2206</v>
      </c>
      <c r="Q9" s="331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64"/>
      <c r="Q10" s="3313" t="str">
        <f t="shared" si="6"/>
        <v>土地使用年限（年）</v>
      </c>
      <c r="R10" s="1649" t="s">
        <v>25</v>
      </c>
      <c r="S10" s="1650">
        <f t="shared" si="0"/>
        <v>100</v>
      </c>
      <c r="T10" s="1649" t="s">
        <v>25</v>
      </c>
      <c r="U10" s="1650">
        <f t="shared" si="1"/>
        <v>100</v>
      </c>
      <c r="V10" s="1649" t="s">
        <v>25</v>
      </c>
      <c r="W10" s="1650">
        <f t="shared" si="2"/>
        <v>102</v>
      </c>
      <c r="X10" s="1651"/>
      <c r="Y10" s="3440"/>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64"/>
      <c r="Q11" s="3313"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64"/>
      <c r="Q12" s="3313">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64"/>
      <c r="Q13" s="3313">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64"/>
      <c r="Q14" s="3313">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53" t="s">
        <v>2211</v>
      </c>
      <c r="Q15" s="3318" t="str">
        <f t="shared" si="6"/>
        <v>办公集聚程度</v>
      </c>
      <c r="R15" s="1694" t="s">
        <v>25</v>
      </c>
      <c r="S15" s="1695">
        <f t="shared" si="0"/>
        <v>100</v>
      </c>
      <c r="T15" s="1694" t="s">
        <v>25</v>
      </c>
      <c r="U15" s="1695">
        <f t="shared" si="1"/>
        <v>100</v>
      </c>
      <c r="V15" s="1694" t="s">
        <v>25</v>
      </c>
      <c r="W15" s="1695">
        <f t="shared" si="2"/>
        <v>100</v>
      </c>
      <c r="X15" s="3320"/>
      <c r="Y15" s="3653"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54"/>
      <c r="Q16" s="3318"/>
      <c r="R16" s="1694"/>
      <c r="S16" s="1695"/>
      <c r="T16" s="1694"/>
      <c r="U16" s="1695"/>
      <c r="V16" s="1694"/>
      <c r="W16" s="1695"/>
      <c r="X16" s="3320"/>
      <c r="Y16" s="3654"/>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54"/>
      <c r="Q17" s="3318" t="str">
        <f>B17</f>
        <v>交通便捷度</v>
      </c>
      <c r="R17" s="1694" t="s">
        <v>25</v>
      </c>
      <c r="S17" s="1695">
        <f>F17</f>
        <v>95</v>
      </c>
      <c r="T17" s="1694" t="s">
        <v>25</v>
      </c>
      <c r="U17" s="1695">
        <f>H17</f>
        <v>95</v>
      </c>
      <c r="V17" s="1694" t="s">
        <v>25</v>
      </c>
      <c r="W17" s="1695">
        <f>J17</f>
        <v>100</v>
      </c>
      <c r="X17" s="3320"/>
      <c r="Y17" s="3654"/>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54"/>
      <c r="Q18" s="3318"/>
      <c r="R18" s="1694"/>
      <c r="S18" s="1695"/>
      <c r="T18" s="1694"/>
      <c r="U18" s="1695"/>
      <c r="V18" s="1694"/>
      <c r="W18" s="1695"/>
      <c r="X18" s="3320"/>
      <c r="Y18" s="3654"/>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54"/>
      <c r="Q19" s="3318" t="str">
        <f>B19</f>
        <v>公共配套设施</v>
      </c>
      <c r="R19" s="1694" t="s">
        <v>25</v>
      </c>
      <c r="S19" s="1695">
        <f>F19</f>
        <v>100</v>
      </c>
      <c r="T19" s="1694" t="s">
        <v>25</v>
      </c>
      <c r="U19" s="1695">
        <f>H19</f>
        <v>100</v>
      </c>
      <c r="V19" s="1694" t="s">
        <v>25</v>
      </c>
      <c r="W19" s="1695">
        <f>J19</f>
        <v>100</v>
      </c>
      <c r="X19" s="3320"/>
      <c r="Y19" s="3654"/>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54"/>
      <c r="Q20" s="3318"/>
      <c r="R20" s="1694"/>
      <c r="S20" s="1695"/>
      <c r="T20" s="1694"/>
      <c r="U20" s="1695"/>
      <c r="V20" s="1694"/>
      <c r="W20" s="1695"/>
      <c r="X20" s="3320"/>
      <c r="Y20" s="3654"/>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54"/>
      <c r="Q21" s="3318" t="str">
        <f>B21</f>
        <v>基础设施水平</v>
      </c>
      <c r="R21" s="1694" t="s">
        <v>25</v>
      </c>
      <c r="S21" s="1695">
        <f>F21</f>
        <v>100</v>
      </c>
      <c r="T21" s="1694" t="s">
        <v>25</v>
      </c>
      <c r="U21" s="1695">
        <f>H21</f>
        <v>100</v>
      </c>
      <c r="V21" s="1694" t="s">
        <v>25</v>
      </c>
      <c r="W21" s="1695">
        <f>J21</f>
        <v>100</v>
      </c>
      <c r="X21" s="3320"/>
      <c r="Y21" s="3654"/>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54"/>
      <c r="Q22" s="3318"/>
      <c r="R22" s="1694"/>
      <c r="S22" s="1695"/>
      <c r="T22" s="1694"/>
      <c r="U22" s="1695"/>
      <c r="V22" s="1694"/>
      <c r="W22" s="1695"/>
      <c r="X22" s="3320"/>
      <c r="Y22" s="3654"/>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54"/>
      <c r="Q23" s="3318" t="str">
        <f>B23</f>
        <v>环境质量</v>
      </c>
      <c r="R23" s="1694" t="s">
        <v>25</v>
      </c>
      <c r="S23" s="1695">
        <f>F23</f>
        <v>100</v>
      </c>
      <c r="T23" s="1694" t="s">
        <v>25</v>
      </c>
      <c r="U23" s="1695">
        <f>H23</f>
        <v>100</v>
      </c>
      <c r="V23" s="1694" t="s">
        <v>25</v>
      </c>
      <c r="W23" s="1695">
        <f>J23</f>
        <v>100</v>
      </c>
      <c r="X23" s="3320"/>
      <c r="Y23" s="3654"/>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54"/>
      <c r="Q24" s="3318"/>
      <c r="R24" s="1694"/>
      <c r="S24" s="1695"/>
      <c r="T24" s="1694"/>
      <c r="U24" s="1695"/>
      <c r="V24" s="1694"/>
      <c r="W24" s="1695"/>
      <c r="X24" s="3320"/>
      <c r="Y24" s="3654"/>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54"/>
      <c r="Q25" s="3318" t="str">
        <f>B25</f>
        <v>毗邻道路的类型与等级</v>
      </c>
      <c r="R25" s="1694" t="s">
        <v>25</v>
      </c>
      <c r="S25" s="1695">
        <f>F25</f>
        <v>100</v>
      </c>
      <c r="T25" s="1694" t="s">
        <v>25</v>
      </c>
      <c r="U25" s="1695">
        <f>H25</f>
        <v>100</v>
      </c>
      <c r="V25" s="1694" t="s">
        <v>25</v>
      </c>
      <c r="W25" s="1695">
        <f>J25</f>
        <v>100</v>
      </c>
      <c r="X25" s="3320"/>
      <c r="Y25" s="3654"/>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54"/>
      <c r="Q26" s="3318"/>
      <c r="R26" s="1694"/>
      <c r="S26" s="1695"/>
      <c r="T26" s="1694"/>
      <c r="U26" s="1695"/>
      <c r="V26" s="1694"/>
      <c r="W26" s="1695"/>
      <c r="X26" s="3320"/>
      <c r="Y26" s="3654"/>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54"/>
      <c r="Q27" s="3318" t="str">
        <f t="shared" ref="Q27:Q47" si="11">B27</f>
        <v>楼层</v>
      </c>
      <c r="R27" s="1694" t="s">
        <v>25</v>
      </c>
      <c r="S27" s="1695">
        <f>F27</f>
        <v>100</v>
      </c>
      <c r="T27" s="1694" t="s">
        <v>25</v>
      </c>
      <c r="U27" s="1695">
        <f>H27</f>
        <v>100</v>
      </c>
      <c r="V27" s="1694" t="s">
        <v>25</v>
      </c>
      <c r="W27" s="1695">
        <f>J27</f>
        <v>100</v>
      </c>
      <c r="X27" s="3320"/>
      <c r="Y27" s="3654"/>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54"/>
      <c r="Q28" s="3313" t="str">
        <f t="shared" si="11"/>
        <v>朝向</v>
      </c>
      <c r="R28" s="1649" t="s">
        <v>25</v>
      </c>
      <c r="S28" s="1650">
        <f>F28</f>
        <v>196</v>
      </c>
      <c r="T28" s="1649" t="s">
        <v>25</v>
      </c>
      <c r="U28" s="1650">
        <f>H28</f>
        <v>196</v>
      </c>
      <c r="V28" s="1649" t="s">
        <v>25</v>
      </c>
      <c r="W28" s="1650">
        <f>J28</f>
        <v>199</v>
      </c>
      <c r="X28" s="1651"/>
      <c r="Y28" s="3654"/>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54"/>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54"/>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54"/>
      <c r="Q30" s="3318">
        <f t="shared" si="11"/>
        <v>111</v>
      </c>
      <c r="R30" s="1694" t="s">
        <v>25</v>
      </c>
      <c r="S30" s="1695">
        <f t="shared" si="12"/>
        <v>100</v>
      </c>
      <c r="T30" s="1694" t="s">
        <v>25</v>
      </c>
      <c r="U30" s="1695">
        <f t="shared" si="13"/>
        <v>100</v>
      </c>
      <c r="V30" s="1694" t="s">
        <v>25</v>
      </c>
      <c r="W30" s="1695">
        <f t="shared" si="14"/>
        <v>100</v>
      </c>
      <c r="X30" s="3320"/>
      <c r="Y30" s="3654"/>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54"/>
      <c r="Q31" s="3318">
        <f t="shared" si="11"/>
        <v>111</v>
      </c>
      <c r="R31" s="1694" t="s">
        <v>25</v>
      </c>
      <c r="S31" s="1695">
        <f t="shared" si="12"/>
        <v>100</v>
      </c>
      <c r="T31" s="1694" t="s">
        <v>25</v>
      </c>
      <c r="U31" s="1695">
        <f t="shared" si="13"/>
        <v>100</v>
      </c>
      <c r="V31" s="1694" t="s">
        <v>25</v>
      </c>
      <c r="W31" s="1695">
        <f t="shared" si="14"/>
        <v>100</v>
      </c>
      <c r="X31" s="3320"/>
      <c r="Y31" s="3654"/>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54"/>
      <c r="Q32" s="3318">
        <f t="shared" si="11"/>
        <v>111</v>
      </c>
      <c r="R32" s="1694" t="s">
        <v>25</v>
      </c>
      <c r="S32" s="1695">
        <f t="shared" si="12"/>
        <v>100</v>
      </c>
      <c r="T32" s="1694" t="s">
        <v>25</v>
      </c>
      <c r="U32" s="1695">
        <f t="shared" si="13"/>
        <v>100</v>
      </c>
      <c r="V32" s="1694" t="s">
        <v>25</v>
      </c>
      <c r="W32" s="1695">
        <f t="shared" si="14"/>
        <v>100</v>
      </c>
      <c r="X32" s="3320"/>
      <c r="Y32" s="3654"/>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5" t="s">
        <v>2217</v>
      </c>
      <c r="Q33" s="3318" t="str">
        <f t="shared" si="11"/>
        <v>建筑类型</v>
      </c>
      <c r="R33" s="1694" t="s">
        <v>25</v>
      </c>
      <c r="S33" s="1695">
        <f t="shared" si="12"/>
        <v>100</v>
      </c>
      <c r="T33" s="1694" t="s">
        <v>25</v>
      </c>
      <c r="U33" s="1695">
        <f t="shared" si="13"/>
        <v>100</v>
      </c>
      <c r="V33" s="1694" t="s">
        <v>25</v>
      </c>
      <c r="W33" s="1695">
        <f t="shared" si="14"/>
        <v>100</v>
      </c>
      <c r="X33" s="3320"/>
      <c r="Y33" s="3658"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58"/>
      <c r="Q34" s="1735" t="str">
        <f t="shared" si="11"/>
        <v>项目建筑规模</v>
      </c>
      <c r="R34" s="1736" t="s">
        <v>25</v>
      </c>
      <c r="S34" s="1737">
        <f t="shared" si="12"/>
        <v>101</v>
      </c>
      <c r="T34" s="1736" t="s">
        <v>25</v>
      </c>
      <c r="U34" s="1737">
        <f t="shared" si="13"/>
        <v>101</v>
      </c>
      <c r="V34" s="1736" t="s">
        <v>25</v>
      </c>
      <c r="W34" s="1737">
        <f t="shared" si="14"/>
        <v>100</v>
      </c>
      <c r="X34" s="1738"/>
      <c r="Y34" s="3658"/>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8"/>
      <c r="Q35" s="3318" t="str">
        <f t="shared" si="11"/>
        <v>建筑结构</v>
      </c>
      <c r="R35" s="1694" t="s">
        <v>25</v>
      </c>
      <c r="S35" s="1695">
        <f t="shared" si="12"/>
        <v>100</v>
      </c>
      <c r="T35" s="1694" t="s">
        <v>25</v>
      </c>
      <c r="U35" s="1695">
        <f t="shared" si="13"/>
        <v>100</v>
      </c>
      <c r="V35" s="1694" t="s">
        <v>25</v>
      </c>
      <c r="W35" s="1695">
        <f t="shared" si="14"/>
        <v>100</v>
      </c>
      <c r="X35" s="3320"/>
      <c r="Y35" s="3658"/>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8"/>
      <c r="Q36" s="3318" t="str">
        <f t="shared" si="11"/>
        <v>公共部分装修</v>
      </c>
      <c r="R36" s="1694" t="s">
        <v>25</v>
      </c>
      <c r="S36" s="1695">
        <f t="shared" si="12"/>
        <v>100</v>
      </c>
      <c r="T36" s="1694" t="s">
        <v>25</v>
      </c>
      <c r="U36" s="1695">
        <f t="shared" si="13"/>
        <v>100</v>
      </c>
      <c r="V36" s="1694" t="s">
        <v>25</v>
      </c>
      <c r="W36" s="1695">
        <f t="shared" si="14"/>
        <v>100</v>
      </c>
      <c r="X36" s="3320"/>
      <c r="Y36" s="3658"/>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58"/>
      <c r="Q37" s="3318" t="str">
        <f t="shared" si="11"/>
        <v>成新度</v>
      </c>
      <c r="R37" s="1694" t="s">
        <v>25</v>
      </c>
      <c r="S37" s="1695">
        <f t="shared" si="12"/>
        <v>97</v>
      </c>
      <c r="T37" s="1694" t="s">
        <v>25</v>
      </c>
      <c r="U37" s="1695">
        <f t="shared" si="13"/>
        <v>97</v>
      </c>
      <c r="V37" s="1694" t="s">
        <v>25</v>
      </c>
      <c r="W37" s="1695">
        <f t="shared" si="14"/>
        <v>100</v>
      </c>
      <c r="X37" s="3320"/>
      <c r="Y37" s="3658"/>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8"/>
      <c r="Q38" s="3313" t="str">
        <f t="shared" si="11"/>
        <v>写字楼等级</v>
      </c>
      <c r="R38" s="1649" t="s">
        <v>25</v>
      </c>
      <c r="S38" s="1650">
        <f t="shared" si="12"/>
        <v>100</v>
      </c>
      <c r="T38" s="1649" t="s">
        <v>25</v>
      </c>
      <c r="U38" s="1650">
        <f t="shared" si="13"/>
        <v>100</v>
      </c>
      <c r="V38" s="1649" t="s">
        <v>25</v>
      </c>
      <c r="W38" s="1650">
        <f t="shared" si="14"/>
        <v>100</v>
      </c>
      <c r="X38" s="1651"/>
      <c r="Y38" s="3658"/>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8" t="s">
        <v>2217</v>
      </c>
      <c r="Q39" s="3318" t="str">
        <f t="shared" si="11"/>
        <v>物业管理</v>
      </c>
      <c r="R39" s="1694" t="s">
        <v>25</v>
      </c>
      <c r="S39" s="1695">
        <f t="shared" si="12"/>
        <v>100</v>
      </c>
      <c r="T39" s="1694" t="s">
        <v>25</v>
      </c>
      <c r="U39" s="1695">
        <f t="shared" si="13"/>
        <v>100</v>
      </c>
      <c r="V39" s="1694" t="s">
        <v>25</v>
      </c>
      <c r="W39" s="1695">
        <f t="shared" si="14"/>
        <v>100</v>
      </c>
      <c r="X39" s="3320"/>
      <c r="Y39" s="3658"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58"/>
      <c r="Q40" s="3318" t="str">
        <f t="shared" si="11"/>
        <v>市政基础设施</v>
      </c>
      <c r="R40" s="1694" t="s">
        <v>25</v>
      </c>
      <c r="S40" s="1695">
        <f t="shared" si="12"/>
        <v>100</v>
      </c>
      <c r="T40" s="1694" t="s">
        <v>25</v>
      </c>
      <c r="U40" s="1695">
        <f t="shared" si="13"/>
        <v>100</v>
      </c>
      <c r="V40" s="1694" t="s">
        <v>25</v>
      </c>
      <c r="W40" s="1695">
        <f t="shared" si="14"/>
        <v>100</v>
      </c>
      <c r="X40" s="3320"/>
      <c r="Y40" s="3658"/>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58"/>
      <c r="Q41" s="3318" t="str">
        <f t="shared" si="11"/>
        <v>层高</v>
      </c>
      <c r="R41" s="1694" t="s">
        <v>25</v>
      </c>
      <c r="S41" s="1695">
        <f t="shared" si="12"/>
        <v>99</v>
      </c>
      <c r="T41" s="1694" t="s">
        <v>25</v>
      </c>
      <c r="U41" s="1695">
        <f t="shared" si="13"/>
        <v>99</v>
      </c>
      <c r="V41" s="1694" t="s">
        <v>25</v>
      </c>
      <c r="W41" s="1695">
        <f t="shared" si="14"/>
        <v>99</v>
      </c>
      <c r="X41" s="3320"/>
      <c r="Y41" s="3658"/>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8"/>
      <c r="Q42" s="1735" t="str">
        <f t="shared" si="11"/>
        <v>单套建筑面积</v>
      </c>
      <c r="R42" s="1736" t="s">
        <v>25</v>
      </c>
      <c r="S42" s="1737">
        <f t="shared" si="12"/>
        <v>100</v>
      </c>
      <c r="T42" s="1736" t="s">
        <v>25</v>
      </c>
      <c r="U42" s="1737">
        <f t="shared" si="13"/>
        <v>100</v>
      </c>
      <c r="V42" s="1736" t="s">
        <v>25</v>
      </c>
      <c r="W42" s="1737">
        <f t="shared" si="14"/>
        <v>100</v>
      </c>
      <c r="X42" s="1738"/>
      <c r="Y42" s="3658"/>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58"/>
      <c r="Q43" s="3318" t="str">
        <f t="shared" si="11"/>
        <v>内部装修</v>
      </c>
      <c r="R43" s="1694" t="s">
        <v>25</v>
      </c>
      <c r="S43" s="1695">
        <f t="shared" si="12"/>
        <v>104</v>
      </c>
      <c r="T43" s="1694" t="s">
        <v>25</v>
      </c>
      <c r="U43" s="1695">
        <f t="shared" si="13"/>
        <v>104</v>
      </c>
      <c r="V43" s="1694" t="s">
        <v>25</v>
      </c>
      <c r="W43" s="1695">
        <f t="shared" si="14"/>
        <v>104</v>
      </c>
      <c r="X43" s="3320"/>
      <c r="Y43" s="3658"/>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58"/>
      <c r="Q44" s="3318" t="str">
        <f t="shared" si="11"/>
        <v>内部装修维护情况</v>
      </c>
      <c r="R44" s="1694" t="s">
        <v>25</v>
      </c>
      <c r="S44" s="1695">
        <f t="shared" si="12"/>
        <v>100</v>
      </c>
      <c r="T44" s="1694" t="s">
        <v>25</v>
      </c>
      <c r="U44" s="1695">
        <f t="shared" si="13"/>
        <v>100</v>
      </c>
      <c r="V44" s="1694" t="s">
        <v>25</v>
      </c>
      <c r="W44" s="1695">
        <f t="shared" si="14"/>
        <v>100</v>
      </c>
      <c r="X44" s="3320"/>
      <c r="Y44" s="3658"/>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8"/>
      <c r="Q45" s="3313">
        <f t="shared" si="11"/>
        <v>111</v>
      </c>
      <c r="R45" s="1649" t="s">
        <v>25</v>
      </c>
      <c r="S45" s="1650">
        <f t="shared" si="12"/>
        <v>100</v>
      </c>
      <c r="T45" s="1649" t="s">
        <v>25</v>
      </c>
      <c r="U45" s="1650">
        <f t="shared" si="13"/>
        <v>100</v>
      </c>
      <c r="V45" s="1649" t="s">
        <v>25</v>
      </c>
      <c r="W45" s="1650">
        <f t="shared" si="14"/>
        <v>100</v>
      </c>
      <c r="X45" s="1651"/>
      <c r="Y45" s="3658"/>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8"/>
      <c r="Q46" s="3318">
        <f t="shared" si="11"/>
        <v>111</v>
      </c>
      <c r="R46" s="1694" t="s">
        <v>25</v>
      </c>
      <c r="S46" s="1695">
        <f t="shared" si="12"/>
        <v>100</v>
      </c>
      <c r="T46" s="1694" t="s">
        <v>25</v>
      </c>
      <c r="U46" s="1695">
        <f t="shared" si="13"/>
        <v>100</v>
      </c>
      <c r="V46" s="1694" t="s">
        <v>25</v>
      </c>
      <c r="W46" s="1695">
        <f t="shared" si="14"/>
        <v>100</v>
      </c>
      <c r="X46" s="3320"/>
      <c r="Y46" s="3658"/>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9"/>
      <c r="Q47" s="3318">
        <f t="shared" si="11"/>
        <v>111</v>
      </c>
      <c r="R47" s="1694" t="s">
        <v>25</v>
      </c>
      <c r="S47" s="1695">
        <f t="shared" si="12"/>
        <v>100</v>
      </c>
      <c r="T47" s="1694" t="s">
        <v>25</v>
      </c>
      <c r="U47" s="1695">
        <f t="shared" si="13"/>
        <v>100</v>
      </c>
      <c r="V47" s="1694" t="s">
        <v>25</v>
      </c>
      <c r="W47" s="1695">
        <f t="shared" si="14"/>
        <v>100</v>
      </c>
      <c r="X47" s="3320"/>
      <c r="Y47" s="3659"/>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64" t="str">
        <f>A48</f>
        <v>成交单价（元/平方米）</v>
      </c>
      <c r="Q48" s="3664"/>
      <c r="R48" s="3665">
        <f>E48</f>
        <v>20032</v>
      </c>
      <c r="S48" s="3665"/>
      <c r="T48" s="3665">
        <f>G48</f>
        <v>18251</v>
      </c>
      <c r="U48" s="3665"/>
      <c r="V48" s="3665">
        <f>I48</f>
        <v>21535</v>
      </c>
      <c r="W48" s="3665"/>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64" t="str">
        <f>A49</f>
        <v>比较价值（元/平方米）</v>
      </c>
      <c r="Q49" s="3664"/>
      <c r="R49" s="3665">
        <f>IF(E1="售价",ROUND(PRODUCT(R48,AA7:AA47),0),ROUND(PRODUCT(R48,AA7:AA47),1))</f>
        <v>10255</v>
      </c>
      <c r="S49" s="3665"/>
      <c r="T49" s="3665">
        <f>IF(E1="售价",ROUND(PRODUCT(T48,AB7:AB47),0),ROUND(PRODUCT(T48,AB7:AB47),1))</f>
        <v>9344</v>
      </c>
      <c r="U49" s="3665"/>
      <c r="V49" s="3665">
        <f>IF(E1="售价",ROUND(PRODUCT(V48,AC7:AC47),0),ROUND(PRODUCT(V48,AC7:AC47),1))</f>
        <v>10102</v>
      </c>
      <c r="W49" s="3665"/>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70" t="str">
        <f>A50</f>
        <v>估价对象XX用房的比较价值（楼面单价，元/平方米）</v>
      </c>
      <c r="Q50" s="3671"/>
      <c r="R50" s="3672">
        <f>IF(E1="售价",ROUND(IF(D49="简单平均",AVERAGE(R49:V49),R49*F49+T49*H49+V49*J49),0),ROUND(IF(D49="简单平均",AVERAGE(R49:V49),R49*F49+T49*H49+V49*J49),1))</f>
        <v>9900</v>
      </c>
      <c r="S50" s="3672"/>
      <c r="T50" s="3672"/>
      <c r="U50" s="3672"/>
      <c r="V50" s="3672"/>
      <c r="W50" s="3672"/>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24" t="s">
        <v>779</v>
      </c>
      <c r="B1" s="372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4" t="s">
        <v>105</v>
      </c>
      <c r="B1" s="3724"/>
      <c r="C1" s="3724"/>
      <c r="D1" s="3724"/>
      <c r="E1" s="3724"/>
      <c r="F1" s="372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5" t="s">
        <v>118</v>
      </c>
      <c r="B2" s="3725"/>
      <c r="C2" s="3725"/>
      <c r="D2" s="3725"/>
      <c r="E2" s="3725"/>
      <c r="F2" s="372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8" t="s">
        <v>132</v>
      </c>
      <c r="B18" s="767" t="s">
        <v>517</v>
      </c>
      <c r="C18" s="768" t="s">
        <v>518</v>
      </c>
      <c r="D18" s="769"/>
      <c r="E18" s="767">
        <v>1</v>
      </c>
      <c r="F18" s="770" t="s">
        <v>519</v>
      </c>
      <c r="G18" s="771"/>
      <c r="H18" s="763"/>
      <c r="I18" s="763"/>
    </row>
    <row r="19" spans="1:9" s="772" customFormat="1" ht="19.5" customHeight="1">
      <c r="A19" s="3728"/>
      <c r="B19" s="3728" t="s">
        <v>520</v>
      </c>
      <c r="C19" s="768" t="s">
        <v>521</v>
      </c>
      <c r="D19" s="769"/>
      <c r="E19" s="767">
        <v>0.9</v>
      </c>
      <c r="F19" s="770" t="s">
        <v>522</v>
      </c>
      <c r="G19" s="771"/>
      <c r="H19" s="763"/>
      <c r="I19" s="763"/>
    </row>
    <row r="20" spans="1:9" s="772" customFormat="1" ht="19.5" customHeight="1">
      <c r="A20" s="3728"/>
      <c r="B20" s="3728"/>
      <c r="C20" s="768" t="s">
        <v>523</v>
      </c>
      <c r="D20" s="769"/>
      <c r="E20" s="767">
        <v>1.1000000000000001</v>
      </c>
      <c r="F20" s="770" t="s">
        <v>524</v>
      </c>
      <c r="G20" s="771"/>
      <c r="H20" s="763"/>
      <c r="I20" s="763"/>
    </row>
    <row r="21" spans="1:9" s="772" customFormat="1" ht="19.5" customHeight="1">
      <c r="A21" s="3728"/>
      <c r="B21" s="3728"/>
      <c r="C21" s="768" t="s">
        <v>525</v>
      </c>
      <c r="D21" s="769"/>
      <c r="E21" s="767">
        <v>0.8</v>
      </c>
      <c r="F21" s="770" t="s">
        <v>526</v>
      </c>
      <c r="G21" s="771"/>
      <c r="H21" s="763"/>
      <c r="I21" s="763"/>
    </row>
    <row r="22" spans="1:9" s="772" customFormat="1" ht="19.5" customHeight="1">
      <c r="A22" s="3728"/>
      <c r="B22" s="3728"/>
      <c r="C22" s="768" t="s">
        <v>527</v>
      </c>
      <c r="D22" s="769"/>
      <c r="E22" s="767">
        <v>0.5</v>
      </c>
      <c r="F22" s="770"/>
      <c r="G22" s="771"/>
      <c r="H22" s="763"/>
      <c r="I22" s="763"/>
    </row>
    <row r="23" spans="1:9" s="772" customFormat="1" ht="19.5" customHeight="1">
      <c r="A23" s="3728" t="s">
        <v>133</v>
      </c>
      <c r="B23" s="767" t="s">
        <v>517</v>
      </c>
      <c r="C23" s="768" t="s">
        <v>528</v>
      </c>
      <c r="D23" s="769"/>
      <c r="E23" s="767">
        <v>1</v>
      </c>
      <c r="F23" s="770" t="s">
        <v>529</v>
      </c>
      <c r="G23" s="771"/>
      <c r="H23" s="763"/>
      <c r="I23" s="763"/>
    </row>
    <row r="24" spans="1:9" s="772" customFormat="1" ht="19.5" customHeight="1">
      <c r="A24" s="3728"/>
      <c r="B24" s="3728" t="s">
        <v>520</v>
      </c>
      <c r="C24" s="768" t="s">
        <v>530</v>
      </c>
      <c r="D24" s="769"/>
      <c r="E24" s="767">
        <v>0.5</v>
      </c>
      <c r="F24" s="770"/>
      <c r="G24" s="771"/>
      <c r="H24" s="763"/>
      <c r="I24" s="763"/>
    </row>
    <row r="25" spans="1:9" s="772" customFormat="1" ht="19.5" customHeight="1">
      <c r="A25" s="3728"/>
      <c r="B25" s="3728"/>
      <c r="C25" s="768" t="s">
        <v>531</v>
      </c>
      <c r="D25" s="769"/>
      <c r="E25" s="767">
        <v>1.1000000000000001</v>
      </c>
      <c r="F25" s="770"/>
      <c r="G25" s="771"/>
      <c r="H25" s="763"/>
      <c r="I25" s="763"/>
    </row>
    <row r="26" spans="1:9" s="772" customFormat="1" ht="19.5" customHeight="1">
      <c r="A26" s="3728"/>
      <c r="B26" s="3728"/>
      <c r="C26" s="768" t="s">
        <v>532</v>
      </c>
      <c r="D26" s="769"/>
      <c r="E26" s="767">
        <v>1.1000000000000001</v>
      </c>
      <c r="F26" s="770"/>
      <c r="G26" s="771"/>
      <c r="H26" s="763"/>
      <c r="I26" s="763"/>
    </row>
    <row r="27" spans="1:9" s="772" customFormat="1" ht="19.5" customHeight="1">
      <c r="A27" s="3728"/>
      <c r="B27" s="3728"/>
      <c r="C27" s="768" t="s">
        <v>533</v>
      </c>
      <c r="D27" s="769"/>
      <c r="E27" s="767">
        <v>0.9</v>
      </c>
      <c r="F27" s="770" t="s">
        <v>534</v>
      </c>
      <c r="G27" s="771"/>
      <c r="H27" s="763"/>
      <c r="I27" s="763"/>
    </row>
    <row r="28" spans="1:9" s="772" customFormat="1" ht="19.5" customHeight="1">
      <c r="A28" s="3728"/>
      <c r="B28" s="3728"/>
      <c r="C28" s="768" t="s">
        <v>535</v>
      </c>
      <c r="D28" s="769"/>
      <c r="E28" s="767">
        <v>0.9</v>
      </c>
      <c r="F28" s="770" t="s">
        <v>536</v>
      </c>
      <c r="G28" s="771"/>
      <c r="H28" s="763"/>
      <c r="I28" s="763"/>
    </row>
    <row r="29" spans="1:9" s="772" customFormat="1" ht="19.5" customHeight="1">
      <c r="A29" s="3728"/>
      <c r="B29" s="3728"/>
      <c r="C29" s="768" t="s">
        <v>537</v>
      </c>
      <c r="D29" s="769"/>
      <c r="E29" s="767">
        <v>0.9</v>
      </c>
      <c r="F29" s="770" t="s">
        <v>538</v>
      </c>
      <c r="G29" s="771"/>
      <c r="H29" s="763"/>
      <c r="I29" s="763"/>
    </row>
    <row r="30" spans="1:9" s="772" customFormat="1" ht="19.5" customHeight="1">
      <c r="A30" s="3728"/>
      <c r="B30" s="3728"/>
      <c r="C30" s="768" t="s">
        <v>539</v>
      </c>
      <c r="D30" s="769"/>
      <c r="E30" s="767">
        <v>0.9</v>
      </c>
      <c r="F30" s="770" t="s">
        <v>540</v>
      </c>
      <c r="G30" s="771"/>
      <c r="H30" s="763"/>
      <c r="I30" s="763"/>
    </row>
    <row r="31" spans="1:9" s="772" customFormat="1" ht="19.5" customHeight="1">
      <c r="A31" s="3728"/>
      <c r="B31" s="3728"/>
      <c r="C31" s="768" t="s">
        <v>541</v>
      </c>
      <c r="D31" s="769"/>
      <c r="E31" s="767">
        <v>0.8</v>
      </c>
      <c r="F31" s="770" t="s">
        <v>542</v>
      </c>
      <c r="G31" s="771"/>
      <c r="H31" s="763"/>
      <c r="I31" s="763"/>
    </row>
    <row r="32" spans="1:9" s="772" customFormat="1" ht="19.5" customHeight="1">
      <c r="A32" s="3728"/>
      <c r="B32" s="3728"/>
      <c r="C32" s="768" t="s">
        <v>543</v>
      </c>
      <c r="D32" s="769"/>
      <c r="E32" s="767">
        <v>0.8</v>
      </c>
      <c r="F32" s="770" t="s">
        <v>544</v>
      </c>
      <c r="G32" s="771"/>
      <c r="H32" s="763"/>
      <c r="I32" s="763"/>
    </row>
    <row r="33" spans="1:9" s="772" customFormat="1" ht="19.5" customHeight="1">
      <c r="A33" s="3728" t="s">
        <v>134</v>
      </c>
      <c r="B33" s="767" t="s">
        <v>517</v>
      </c>
      <c r="C33" s="768" t="s">
        <v>545</v>
      </c>
      <c r="D33" s="769"/>
      <c r="E33" s="767">
        <v>1</v>
      </c>
      <c r="F33" s="770" t="s">
        <v>546</v>
      </c>
      <c r="G33" s="771"/>
      <c r="H33" s="763"/>
      <c r="I33" s="763"/>
    </row>
    <row r="34" spans="1:9" s="772" customFormat="1" ht="19.5" customHeight="1">
      <c r="A34" s="3728"/>
      <c r="B34" s="767" t="s">
        <v>520</v>
      </c>
      <c r="C34" s="768" t="s">
        <v>547</v>
      </c>
      <c r="D34" s="769"/>
      <c r="E34" s="767">
        <v>1.5</v>
      </c>
      <c r="F34" s="770" t="s">
        <v>548</v>
      </c>
      <c r="G34" s="771"/>
      <c r="H34" s="763"/>
      <c r="I34" s="763"/>
    </row>
    <row r="35" spans="1:9" s="772" customFormat="1" ht="19.5" customHeight="1">
      <c r="A35" s="3728" t="s">
        <v>135</v>
      </c>
      <c r="B35" s="767" t="s">
        <v>517</v>
      </c>
      <c r="C35" s="768" t="s">
        <v>549</v>
      </c>
      <c r="D35" s="769"/>
      <c r="E35" s="767">
        <v>1</v>
      </c>
      <c r="F35" s="770" t="s">
        <v>550</v>
      </c>
      <c r="G35" s="771"/>
      <c r="H35" s="763"/>
      <c r="I35" s="763"/>
    </row>
    <row r="36" spans="1:9" s="772" customFormat="1" ht="19.5" customHeight="1">
      <c r="A36" s="3728"/>
      <c r="B36" s="3728" t="s">
        <v>520</v>
      </c>
      <c r="C36" s="768" t="s">
        <v>551</v>
      </c>
      <c r="D36" s="769"/>
      <c r="E36" s="767">
        <v>1</v>
      </c>
      <c r="F36" s="770" t="s">
        <v>552</v>
      </c>
      <c r="G36" s="771"/>
      <c r="H36" s="763"/>
      <c r="I36" s="763"/>
    </row>
    <row r="37" spans="1:9" s="772" customFormat="1" ht="19.5" customHeight="1">
      <c r="A37" s="3728"/>
      <c r="B37" s="3728"/>
      <c r="C37" s="768" t="s">
        <v>553</v>
      </c>
      <c r="D37" s="769"/>
      <c r="E37" s="767">
        <v>1.5</v>
      </c>
      <c r="F37" s="770" t="s">
        <v>554</v>
      </c>
      <c r="G37" s="771"/>
      <c r="H37" s="763"/>
      <c r="I37" s="763"/>
    </row>
    <row r="38" spans="1:9" s="772" customFormat="1" ht="19.5" customHeight="1">
      <c r="A38" s="3728"/>
      <c r="B38" s="3728"/>
      <c r="C38" s="768" t="s">
        <v>555</v>
      </c>
      <c r="D38" s="769"/>
      <c r="E38" s="767">
        <v>1</v>
      </c>
      <c r="F38" s="770" t="s">
        <v>556</v>
      </c>
      <c r="G38" s="771"/>
      <c r="H38" s="763"/>
      <c r="I38" s="763"/>
    </row>
    <row r="39" spans="1:9" s="772" customFormat="1" ht="19.5" customHeight="1">
      <c r="A39" s="3728"/>
      <c r="B39" s="372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8" t="s">
        <v>571</v>
      </c>
      <c r="C61" s="681" t="s">
        <v>572</v>
      </c>
      <c r="D61" s="681" t="s">
        <v>573</v>
      </c>
      <c r="E61" s="780">
        <v>0.5</v>
      </c>
      <c r="F61" s="767">
        <v>80</v>
      </c>
    </row>
    <row r="62" spans="1:8" s="763" customFormat="1" ht="24">
      <c r="A62" s="767">
        <v>2</v>
      </c>
      <c r="B62" s="3728"/>
      <c r="C62" s="681" t="s">
        <v>574</v>
      </c>
      <c r="D62" s="681" t="s">
        <v>575</v>
      </c>
      <c r="E62" s="780">
        <v>0.5</v>
      </c>
      <c r="F62" s="767">
        <v>80</v>
      </c>
    </row>
    <row r="63" spans="1:8" s="763" customFormat="1" ht="36">
      <c r="A63" s="767">
        <v>3</v>
      </c>
      <c r="B63" s="3728"/>
      <c r="C63" s="681" t="s">
        <v>576</v>
      </c>
      <c r="D63" s="681" t="s">
        <v>577</v>
      </c>
      <c r="E63" s="780">
        <v>0.5</v>
      </c>
      <c r="F63" s="767">
        <v>80</v>
      </c>
    </row>
    <row r="64" spans="1:8" s="763" customFormat="1" ht="36">
      <c r="A64" s="767">
        <v>4</v>
      </c>
      <c r="B64" s="3728"/>
      <c r="C64" s="681" t="s">
        <v>578</v>
      </c>
      <c r="D64" s="681" t="s">
        <v>579</v>
      </c>
      <c r="E64" s="780">
        <v>0.4</v>
      </c>
      <c r="F64" s="767">
        <v>60</v>
      </c>
    </row>
    <row r="65" spans="1:6" s="763" customFormat="1" ht="36">
      <c r="A65" s="767">
        <v>5</v>
      </c>
      <c r="B65" s="3728"/>
      <c r="C65" s="681" t="s">
        <v>580</v>
      </c>
      <c r="D65" s="681" t="s">
        <v>581</v>
      </c>
      <c r="E65" s="780">
        <v>0.2</v>
      </c>
      <c r="F65" s="767">
        <v>30</v>
      </c>
    </row>
    <row r="66" spans="1:6" s="763" customFormat="1" ht="36">
      <c r="A66" s="767">
        <v>6</v>
      </c>
      <c r="B66" s="3728"/>
      <c r="C66" s="681" t="s">
        <v>582</v>
      </c>
      <c r="D66" s="681" t="s">
        <v>583</v>
      </c>
      <c r="E66" s="780">
        <v>0.3</v>
      </c>
      <c r="F66" s="767">
        <v>50</v>
      </c>
    </row>
    <row r="67" spans="1:6" s="763" customFormat="1" ht="36">
      <c r="A67" s="767">
        <v>7</v>
      </c>
      <c r="B67" s="3728"/>
      <c r="C67" s="681" t="s">
        <v>584</v>
      </c>
      <c r="D67" s="681" t="s">
        <v>585</v>
      </c>
      <c r="E67" s="780">
        <v>0.2</v>
      </c>
      <c r="F67" s="767">
        <v>30</v>
      </c>
    </row>
    <row r="68" spans="1:6" s="763" customFormat="1" ht="36">
      <c r="A68" s="767">
        <v>8</v>
      </c>
      <c r="B68" s="3728"/>
      <c r="C68" s="681" t="s">
        <v>586</v>
      </c>
      <c r="D68" s="681" t="s">
        <v>587</v>
      </c>
      <c r="E68" s="780">
        <v>0.2</v>
      </c>
      <c r="F68" s="767">
        <v>30</v>
      </c>
    </row>
    <row r="69" spans="1:6" s="763" customFormat="1" ht="36">
      <c r="A69" s="767">
        <v>9</v>
      </c>
      <c r="B69" s="3728"/>
      <c r="C69" s="681" t="s">
        <v>588</v>
      </c>
      <c r="D69" s="681" t="s">
        <v>589</v>
      </c>
      <c r="E69" s="780">
        <v>0.2</v>
      </c>
      <c r="F69" s="767">
        <v>30</v>
      </c>
    </row>
    <row r="70" spans="1:6" s="763" customFormat="1" ht="48">
      <c r="A70" s="767">
        <v>10</v>
      </c>
      <c r="B70" s="3728"/>
      <c r="C70" s="681" t="s">
        <v>590</v>
      </c>
      <c r="D70" s="681" t="s">
        <v>591</v>
      </c>
      <c r="E70" s="780">
        <v>0.2</v>
      </c>
      <c r="F70" s="767">
        <v>30</v>
      </c>
    </row>
    <row r="71" spans="1:6" s="763" customFormat="1" ht="48">
      <c r="A71" s="767">
        <v>11</v>
      </c>
      <c r="B71" s="3728"/>
      <c r="C71" s="681" t="s">
        <v>592</v>
      </c>
      <c r="D71" s="681" t="s">
        <v>593</v>
      </c>
      <c r="E71" s="780">
        <v>0.2</v>
      </c>
      <c r="F71" s="767">
        <v>30</v>
      </c>
    </row>
    <row r="72" spans="1:6" s="763" customFormat="1" ht="36">
      <c r="A72" s="767">
        <v>12</v>
      </c>
      <c r="B72" s="3728"/>
      <c r="C72" s="681" t="s">
        <v>594</v>
      </c>
      <c r="D72" s="681" t="s">
        <v>595</v>
      </c>
      <c r="E72" s="780">
        <v>0.5</v>
      </c>
      <c r="F72" s="767">
        <v>80</v>
      </c>
    </row>
    <row r="73" spans="1:6" s="763" customFormat="1" ht="24">
      <c r="A73" s="767">
        <v>13</v>
      </c>
      <c r="B73" s="3728"/>
      <c r="C73" s="681" t="s">
        <v>596</v>
      </c>
      <c r="D73" s="681" t="s">
        <v>597</v>
      </c>
      <c r="E73" s="780">
        <v>0.4</v>
      </c>
      <c r="F73" s="767">
        <v>60</v>
      </c>
    </row>
    <row r="74" spans="1:6" s="763" customFormat="1" ht="24">
      <c r="A74" s="767">
        <v>14</v>
      </c>
      <c r="B74" s="3728"/>
      <c r="C74" s="681" t="s">
        <v>598</v>
      </c>
      <c r="D74" s="681" t="s">
        <v>599</v>
      </c>
      <c r="E74" s="780">
        <v>0.2</v>
      </c>
      <c r="F74" s="767">
        <v>30</v>
      </c>
    </row>
    <row r="75" spans="1:6" s="763" customFormat="1" ht="24">
      <c r="A75" s="767">
        <v>15</v>
      </c>
      <c r="B75" s="3728"/>
      <c r="C75" s="681" t="s">
        <v>600</v>
      </c>
      <c r="D75" s="681" t="s">
        <v>601</v>
      </c>
      <c r="E75" s="780">
        <v>0.2</v>
      </c>
      <c r="F75" s="767">
        <v>30</v>
      </c>
    </row>
    <row r="76" spans="1:6" s="763" customFormat="1" ht="24">
      <c r="A76" s="767">
        <v>16</v>
      </c>
      <c r="B76" s="3728" t="s">
        <v>602</v>
      </c>
      <c r="C76" s="681" t="s">
        <v>603</v>
      </c>
      <c r="D76" s="681" t="s">
        <v>604</v>
      </c>
      <c r="E76" s="780">
        <v>0.5</v>
      </c>
      <c r="F76" s="767">
        <v>80</v>
      </c>
    </row>
    <row r="77" spans="1:6" s="763" customFormat="1" ht="24">
      <c r="A77" s="767">
        <v>17</v>
      </c>
      <c r="B77" s="3728"/>
      <c r="C77" s="681" t="s">
        <v>605</v>
      </c>
      <c r="D77" s="681" t="s">
        <v>606</v>
      </c>
      <c r="E77" s="780">
        <v>0.5</v>
      </c>
      <c r="F77" s="767">
        <v>80</v>
      </c>
    </row>
    <row r="78" spans="1:6" s="763" customFormat="1" ht="24">
      <c r="A78" s="767">
        <v>18</v>
      </c>
      <c r="B78" s="3728"/>
      <c r="C78" s="681" t="s">
        <v>607</v>
      </c>
      <c r="D78" s="681" t="s">
        <v>608</v>
      </c>
      <c r="E78" s="780">
        <v>0.2</v>
      </c>
      <c r="F78" s="767">
        <v>30</v>
      </c>
    </row>
    <row r="79" spans="1:6" s="763" customFormat="1" ht="24">
      <c r="A79" s="767">
        <v>19</v>
      </c>
      <c r="B79" s="3728"/>
      <c r="C79" s="681" t="s">
        <v>609</v>
      </c>
      <c r="D79" s="681" t="s">
        <v>610</v>
      </c>
      <c r="E79" s="780">
        <v>0.5</v>
      </c>
      <c r="F79" s="767">
        <v>80</v>
      </c>
    </row>
    <row r="80" spans="1:6" s="763" customFormat="1" ht="36">
      <c r="A80" s="767">
        <v>20</v>
      </c>
      <c r="B80" s="3728"/>
      <c r="C80" s="681" t="s">
        <v>611</v>
      </c>
      <c r="D80" s="681" t="s">
        <v>612</v>
      </c>
      <c r="E80" s="780">
        <v>0.2</v>
      </c>
      <c r="F80" s="767">
        <v>30</v>
      </c>
    </row>
    <row r="81" spans="1:6" s="763" customFormat="1" ht="36">
      <c r="A81" s="767">
        <v>21</v>
      </c>
      <c r="B81" s="3728"/>
      <c r="C81" s="681" t="s">
        <v>613</v>
      </c>
      <c r="D81" s="681" t="s">
        <v>614</v>
      </c>
      <c r="E81" s="780">
        <v>0.2</v>
      </c>
      <c r="F81" s="767">
        <v>30</v>
      </c>
    </row>
    <row r="82" spans="1:6" s="763" customFormat="1" ht="48">
      <c r="A82" s="767">
        <v>22</v>
      </c>
      <c r="B82" s="3728"/>
      <c r="C82" s="681" t="s">
        <v>615</v>
      </c>
      <c r="D82" s="681" t="s">
        <v>616</v>
      </c>
      <c r="E82" s="780">
        <v>0.2</v>
      </c>
      <c r="F82" s="767">
        <v>30</v>
      </c>
    </row>
    <row r="83" spans="1:6" s="763" customFormat="1" ht="48">
      <c r="A83" s="767">
        <v>23</v>
      </c>
      <c r="B83" s="3728"/>
      <c r="C83" s="681" t="s">
        <v>617</v>
      </c>
      <c r="D83" s="681" t="s">
        <v>618</v>
      </c>
      <c r="E83" s="780">
        <v>0.2</v>
      </c>
      <c r="F83" s="767">
        <v>30</v>
      </c>
    </row>
    <row r="84" spans="1:6" s="763" customFormat="1" ht="36">
      <c r="A84" s="767">
        <v>24</v>
      </c>
      <c r="B84" s="3728"/>
      <c r="C84" s="681" t="s">
        <v>619</v>
      </c>
      <c r="D84" s="681" t="s">
        <v>620</v>
      </c>
      <c r="E84" s="780">
        <v>0.2</v>
      </c>
      <c r="F84" s="767">
        <v>30</v>
      </c>
    </row>
    <row r="85" spans="1:6" s="763" customFormat="1" ht="36">
      <c r="A85" s="767">
        <v>25</v>
      </c>
      <c r="B85" s="3728"/>
      <c r="C85" s="681" t="s">
        <v>621</v>
      </c>
      <c r="D85" s="681" t="s">
        <v>622</v>
      </c>
      <c r="E85" s="780">
        <v>0.5</v>
      </c>
      <c r="F85" s="767">
        <v>80</v>
      </c>
    </row>
    <row r="86" spans="1:6" s="763" customFormat="1" ht="36">
      <c r="A86" s="767">
        <v>26</v>
      </c>
      <c r="B86" s="3728"/>
      <c r="C86" s="681" t="s">
        <v>623</v>
      </c>
      <c r="D86" s="681" t="s">
        <v>624</v>
      </c>
      <c r="E86" s="780">
        <v>0.2</v>
      </c>
      <c r="F86" s="767">
        <v>30</v>
      </c>
    </row>
    <row r="87" spans="1:6" s="763" customFormat="1" ht="36">
      <c r="A87" s="767">
        <v>27</v>
      </c>
      <c r="B87" s="3728"/>
      <c r="C87" s="681" t="s">
        <v>625</v>
      </c>
      <c r="D87" s="681" t="s">
        <v>626</v>
      </c>
      <c r="E87" s="780">
        <v>0.2</v>
      </c>
      <c r="F87" s="767">
        <v>30</v>
      </c>
    </row>
    <row r="88" spans="1:6" s="763" customFormat="1" ht="36">
      <c r="A88" s="767">
        <v>28</v>
      </c>
      <c r="B88" s="3728"/>
      <c r="C88" s="681" t="s">
        <v>627</v>
      </c>
      <c r="D88" s="681" t="s">
        <v>628</v>
      </c>
      <c r="E88" s="780">
        <v>0.2</v>
      </c>
      <c r="F88" s="767">
        <v>30</v>
      </c>
    </row>
    <row r="89" spans="1:6" s="763" customFormat="1" ht="24">
      <c r="A89" s="767">
        <v>29</v>
      </c>
      <c r="B89" s="3728"/>
      <c r="C89" s="681" t="s">
        <v>629</v>
      </c>
      <c r="D89" s="681" t="s">
        <v>630</v>
      </c>
      <c r="E89" s="780">
        <v>0.2</v>
      </c>
      <c r="F89" s="767">
        <v>30</v>
      </c>
    </row>
    <row r="90" spans="1:6" s="763" customFormat="1" ht="24">
      <c r="A90" s="767">
        <v>30</v>
      </c>
      <c r="B90" s="3728"/>
      <c r="C90" s="681" t="s">
        <v>631</v>
      </c>
      <c r="D90" s="681" t="s">
        <v>632</v>
      </c>
      <c r="E90" s="780">
        <v>0.2</v>
      </c>
      <c r="F90" s="767">
        <v>30</v>
      </c>
    </row>
    <row r="91" spans="1:6" s="763" customFormat="1" ht="36">
      <c r="A91" s="767">
        <v>31</v>
      </c>
      <c r="B91" s="3728"/>
      <c r="C91" s="681" t="s">
        <v>633</v>
      </c>
      <c r="D91" s="681" t="s">
        <v>634</v>
      </c>
      <c r="E91" s="780">
        <v>0.2</v>
      </c>
      <c r="F91" s="767">
        <v>30</v>
      </c>
    </row>
    <row r="92" spans="1:6" s="763" customFormat="1" ht="24">
      <c r="A92" s="767">
        <v>32</v>
      </c>
      <c r="B92" s="3728" t="s">
        <v>635</v>
      </c>
      <c r="C92" s="767" t="s">
        <v>636</v>
      </c>
      <c r="D92" s="681" t="s">
        <v>637</v>
      </c>
      <c r="E92" s="780">
        <v>0.2</v>
      </c>
      <c r="F92" s="767">
        <v>30</v>
      </c>
    </row>
    <row r="93" spans="1:6" s="763" customFormat="1" ht="36">
      <c r="A93" s="767">
        <v>33</v>
      </c>
      <c r="B93" s="3728"/>
      <c r="C93" s="767" t="s">
        <v>638</v>
      </c>
      <c r="D93" s="681" t="s">
        <v>639</v>
      </c>
      <c r="E93" s="780">
        <v>0.2</v>
      </c>
      <c r="F93" s="767">
        <v>30</v>
      </c>
    </row>
    <row r="94" spans="1:6" s="763" customFormat="1" ht="48">
      <c r="A94" s="767">
        <v>34</v>
      </c>
      <c r="B94" s="3728"/>
      <c r="C94" s="767" t="s">
        <v>640</v>
      </c>
      <c r="D94" s="681" t="s">
        <v>641</v>
      </c>
      <c r="E94" s="780">
        <v>0.2</v>
      </c>
      <c r="F94" s="767">
        <v>30</v>
      </c>
    </row>
    <row r="95" spans="1:6" s="763" customFormat="1" ht="36">
      <c r="A95" s="767">
        <v>35</v>
      </c>
      <c r="B95" s="3728"/>
      <c r="C95" s="767" t="s">
        <v>642</v>
      </c>
      <c r="D95" s="681" t="s">
        <v>643</v>
      </c>
      <c r="E95" s="780">
        <v>0.2</v>
      </c>
      <c r="F95" s="767">
        <v>30</v>
      </c>
    </row>
    <row r="96" spans="1:6" s="763" customFormat="1" ht="48">
      <c r="A96" s="767">
        <v>36</v>
      </c>
      <c r="B96" s="3728"/>
      <c r="C96" s="681" t="s">
        <v>644</v>
      </c>
      <c r="D96" s="681" t="s">
        <v>645</v>
      </c>
      <c r="E96" s="780">
        <v>0.2</v>
      </c>
      <c r="F96" s="767">
        <v>30</v>
      </c>
    </row>
    <row r="97" spans="1:6" s="763" customFormat="1" ht="36">
      <c r="A97" s="767">
        <v>37</v>
      </c>
      <c r="B97" s="3728"/>
      <c r="C97" s="767" t="s">
        <v>646</v>
      </c>
      <c r="D97" s="681" t="s">
        <v>647</v>
      </c>
      <c r="E97" s="780">
        <v>0.2</v>
      </c>
      <c r="F97" s="767">
        <v>30</v>
      </c>
    </row>
    <row r="98" spans="1:6" s="763" customFormat="1" ht="36">
      <c r="A98" s="767">
        <v>38</v>
      </c>
      <c r="B98" s="3728"/>
      <c r="C98" s="767" t="s">
        <v>648</v>
      </c>
      <c r="D98" s="681" t="s">
        <v>649</v>
      </c>
      <c r="E98" s="780">
        <v>0.2</v>
      </c>
      <c r="F98" s="767">
        <v>30</v>
      </c>
    </row>
    <row r="99" spans="1:6" s="763" customFormat="1" ht="36">
      <c r="A99" s="767">
        <v>39</v>
      </c>
      <c r="B99" s="3728" t="s">
        <v>650</v>
      </c>
      <c r="C99" s="767" t="s">
        <v>651</v>
      </c>
      <c r="D99" s="681" t="s">
        <v>652</v>
      </c>
      <c r="E99" s="780">
        <v>0.3</v>
      </c>
      <c r="F99" s="767">
        <v>50</v>
      </c>
    </row>
    <row r="100" spans="1:6" s="763" customFormat="1" ht="24">
      <c r="A100" s="767">
        <v>40</v>
      </c>
      <c r="B100" s="3728"/>
      <c r="C100" s="767" t="s">
        <v>653</v>
      </c>
      <c r="D100" s="681" t="s">
        <v>654</v>
      </c>
      <c r="E100" s="780">
        <v>0.2</v>
      </c>
      <c r="F100" s="767">
        <v>30</v>
      </c>
    </row>
    <row r="101" spans="1:6" s="763" customFormat="1" ht="36">
      <c r="A101" s="767">
        <v>41</v>
      </c>
      <c r="B101" s="372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8" t="s">
        <v>665</v>
      </c>
      <c r="C105" s="767" t="s">
        <v>666</v>
      </c>
      <c r="D105" s="681" t="s">
        <v>667</v>
      </c>
      <c r="E105" s="780">
        <v>0.2</v>
      </c>
      <c r="F105" s="767">
        <v>30</v>
      </c>
    </row>
    <row r="106" spans="1:6" s="763" customFormat="1" ht="36">
      <c r="A106" s="767">
        <v>46</v>
      </c>
      <c r="B106" s="3728"/>
      <c r="C106" s="767" t="s">
        <v>668</v>
      </c>
      <c r="D106" s="681" t="s">
        <v>669</v>
      </c>
      <c r="E106" s="780">
        <v>0.2</v>
      </c>
      <c r="F106" s="767">
        <v>30</v>
      </c>
    </row>
    <row r="107" spans="1:6" s="763" customFormat="1" ht="36">
      <c r="A107" s="767">
        <v>47</v>
      </c>
      <c r="B107" s="3728" t="s">
        <v>670</v>
      </c>
      <c r="C107" s="767" t="s">
        <v>671</v>
      </c>
      <c r="D107" s="681" t="s">
        <v>672</v>
      </c>
      <c r="E107" s="780">
        <v>0.3</v>
      </c>
      <c r="F107" s="767">
        <v>50</v>
      </c>
    </row>
    <row r="108" spans="1:6" s="763" customFormat="1" ht="36">
      <c r="A108" s="767">
        <v>48</v>
      </c>
      <c r="B108" s="372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8" t="s">
        <v>681</v>
      </c>
      <c r="C111" s="767" t="s">
        <v>682</v>
      </c>
      <c r="D111" s="681" t="s">
        <v>683</v>
      </c>
      <c r="E111" s="780">
        <v>0.2</v>
      </c>
      <c r="F111" s="767">
        <v>30</v>
      </c>
    </row>
    <row r="112" spans="1:6" s="763" customFormat="1" ht="24">
      <c r="A112" s="767">
        <v>52</v>
      </c>
      <c r="B112" s="3728"/>
      <c r="C112" s="767" t="s">
        <v>684</v>
      </c>
      <c r="D112" s="681" t="s">
        <v>685</v>
      </c>
      <c r="E112" s="780">
        <v>0.2</v>
      </c>
      <c r="F112" s="767">
        <v>30</v>
      </c>
    </row>
    <row r="113" spans="1:6" s="763" customFormat="1" ht="24">
      <c r="A113" s="767">
        <v>53</v>
      </c>
      <c r="B113" s="372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8" t="s">
        <v>694</v>
      </c>
      <c r="C116" s="767" t="s">
        <v>695</v>
      </c>
      <c r="D116" s="681" t="s">
        <v>696</v>
      </c>
      <c r="E116" s="780">
        <v>0.2</v>
      </c>
      <c r="F116" s="767">
        <v>30</v>
      </c>
    </row>
    <row r="117" spans="1:6" ht="36">
      <c r="A117" s="767">
        <v>57</v>
      </c>
      <c r="B117" s="372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4" t="s">
        <v>964</v>
      </c>
      <c r="C1" s="3734"/>
      <c r="D1" s="3734"/>
      <c r="E1" s="3734"/>
      <c r="F1" s="3734"/>
      <c r="G1" s="3733" t="s">
        <v>965</v>
      </c>
      <c r="H1" s="3733"/>
      <c r="I1" s="3733"/>
      <c r="J1" s="3733"/>
      <c r="K1" s="3733"/>
      <c r="L1" s="3733"/>
      <c r="N1" s="3733" t="s">
        <v>966</v>
      </c>
      <c r="O1" s="3733"/>
      <c r="P1" s="3733"/>
      <c r="Q1" s="3733"/>
      <c r="S1" s="3733" t="s">
        <v>967</v>
      </c>
      <c r="T1" s="3733"/>
      <c r="U1" s="3733"/>
      <c r="V1" s="3733"/>
      <c r="X1" s="3732" t="s">
        <v>968</v>
      </c>
      <c r="Y1" s="3733"/>
      <c r="Z1" s="3733"/>
      <c r="AA1" s="3733"/>
      <c r="AB1" s="3733"/>
      <c r="AD1" s="3732" t="s">
        <v>969</v>
      </c>
      <c r="AE1" s="3733"/>
      <c r="AF1" s="3733"/>
      <c r="AG1" s="3733"/>
      <c r="AH1" s="3733"/>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30">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30"/>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30"/>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9"/>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5">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30"/>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30"/>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9"/>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5">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30"/>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30"/>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31"/>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9">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30"/>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30"/>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31"/>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9">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30"/>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30"/>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31"/>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6">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7"/>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7"/>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8"/>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9">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30"/>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30"/>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31"/>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9">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30">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30">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31">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9">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30">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30">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31">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9">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30">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30">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31">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9">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30">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30">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31">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9">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30">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30">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31">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9">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30">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30">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31">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9">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30">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30">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31">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9">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30">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30">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31">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9">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30">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30">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31">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9">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30">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30">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31">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44663</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1882</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12783</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1882</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12783</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1472.28</v>
      </c>
      <c r="C25" s="3740" t="s">
        <v>45</v>
      </c>
      <c r="D25" s="3741"/>
      <c r="E25" s="3741"/>
      <c r="F25" s="3741"/>
      <c r="G25" s="3741"/>
      <c r="H25" s="3741"/>
      <c r="I25" s="3741"/>
      <c r="J25" s="3741"/>
      <c r="K25" s="3741"/>
      <c r="L25" s="3741"/>
      <c r="M25" s="3741"/>
      <c r="N25" s="3741"/>
      <c r="O25" s="3741"/>
      <c r="P25" s="3741"/>
      <c r="Q25" s="3742"/>
      <c r="R25" s="596">
        <f ca="1">IF(C23="万元",ROUND(T25*10000/B25,0),ROUND(S25/B25,0))</f>
        <v>12783</v>
      </c>
      <c r="S25" s="13">
        <f ca="1">SUM(S27:S10000)</f>
        <v>18822396</v>
      </c>
      <c r="T25" s="13">
        <f ca="1">SUM(T27:T10000)</f>
        <v>1882</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118.86</v>
      </c>
      <c r="C27" s="899">
        <v>1</v>
      </c>
      <c r="D27" s="600"/>
      <c r="E27" s="899">
        <v>1</v>
      </c>
      <c r="F27" s="600"/>
      <c r="G27" s="899">
        <v>1</v>
      </c>
      <c r="H27" s="600"/>
      <c r="I27" s="899">
        <v>1</v>
      </c>
      <c r="J27" s="600"/>
      <c r="K27" s="899">
        <v>1</v>
      </c>
      <c r="L27" s="600"/>
      <c r="M27" s="899">
        <v>1</v>
      </c>
      <c r="N27" s="600"/>
      <c r="O27" s="899">
        <v>1</v>
      </c>
      <c r="P27" s="600">
        <v>1</v>
      </c>
      <c r="Q27" s="899">
        <v>1</v>
      </c>
      <c r="R27" s="905">
        <f ca="1">结果表!G20</f>
        <v>18171</v>
      </c>
      <c r="S27" s="599">
        <f ca="1">ROUND(R27*B27,0)</f>
        <v>2159805</v>
      </c>
      <c r="T27" s="599">
        <f ca="1">ROUND(R27*B27/10000,0)</f>
        <v>216</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13356</v>
      </c>
      <c r="S28" s="250">
        <f ca="1">ROUND(R28*B28,0)</f>
        <v>7474819</v>
      </c>
      <c r="T28" s="899">
        <f ca="1">ROUND(R28*B28/10000,0)</f>
        <v>747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11575</v>
      </c>
      <c r="S29" s="250">
        <f t="shared" ref="S29:S92" ca="1" si="27">ROUND(R29*B29,0)</f>
        <v>9187772</v>
      </c>
      <c r="T29" s="899">
        <f t="shared" ref="T29:T92" ca="1" si="28">ROUND(R29*B29/10000,0)</f>
        <v>919</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30"/>
      <c r="B3" s="1330"/>
      <c r="C3" s="1330"/>
      <c r="D3" s="1330"/>
      <c r="E3" s="1330"/>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27"/>
      <c r="B5" s="1331" t="s">
        <v>742</v>
      </c>
      <c r="C5" s="3353" t="s">
        <v>775</v>
      </c>
      <c r="D5" s="3354"/>
      <c r="E5" s="1327"/>
    </row>
    <row r="6" spans="1:5" ht="14.25">
      <c r="A6" s="1327"/>
      <c r="B6" s="1332" t="str">
        <f>项目基本情况!I1</f>
        <v>北京市房地产</v>
      </c>
      <c r="C6" s="3355">
        <f>项目基本情况!C12</f>
        <v>118.86</v>
      </c>
      <c r="D6" s="3355"/>
      <c r="E6" s="1327"/>
    </row>
    <row r="7" spans="1:5" ht="14.25">
      <c r="A7" s="1327"/>
      <c r="B7" s="3349" t="s">
        <v>776</v>
      </c>
      <c r="C7" s="1333" t="str">
        <f>IF('数据-取费表'!B3="万元","总价（万元）","总价（元）")</f>
        <v>总价（万元）</v>
      </c>
      <c r="D7" s="1334">
        <f ca="1">IF('数据-取费表'!E3="否",结果表!I102,'结果表 (1修多)'!I104)</f>
        <v>216</v>
      </c>
      <c r="E7" s="1327"/>
    </row>
    <row r="8" spans="1:5" ht="14.25">
      <c r="A8" s="1327"/>
      <c r="B8" s="3349"/>
      <c r="C8" s="1335" t="s">
        <v>1106</v>
      </c>
      <c r="D8" s="1336" t="str">
        <f ca="1">IF('数据-取费表'!B3="万元",NUMBERSTRING(INT(D7*10000),2)&amp;"元整",NUMBERSTRING(INT(D7),2)&amp;"元整")</f>
        <v>贰佰壹拾陆万元整</v>
      </c>
      <c r="E8" s="1327"/>
    </row>
    <row r="9" spans="1:5" ht="14.25">
      <c r="A9" s="1327"/>
      <c r="B9" s="3349"/>
      <c r="C9" s="1337" t="s">
        <v>1202</v>
      </c>
      <c r="D9" s="1334">
        <f ca="1">IF('数据-取费表'!E3="否",结果表!I103,'结果表 (1修多)'!I105)</f>
        <v>18173</v>
      </c>
      <c r="E9" s="1327"/>
    </row>
    <row r="10" spans="1:5" ht="14.25">
      <c r="A10" s="1327"/>
      <c r="B10" s="335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56"/>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56" t="str">
        <f>IF('数据-取费表'!E3="否",结果表!F110,'结果表 (1修多)'!F112)</f>
        <v>3.房地产抵押价值</v>
      </c>
      <c r="C15" s="1328" t="str">
        <f>C7</f>
        <v>总价（万元）</v>
      </c>
      <c r="D15" s="1334">
        <f ca="1">IF('数据-取费表'!E3="否",结果表!I110,'结果表 (1修多)'!I112)</f>
        <v>216</v>
      </c>
      <c r="E15" s="1327"/>
    </row>
    <row r="16" spans="1:5" ht="14.25">
      <c r="A16" s="1327"/>
      <c r="B16" s="3356"/>
      <c r="C16" s="1335" t="s">
        <v>1106</v>
      </c>
      <c r="D16" s="1334" t="str">
        <f ca="1">IF('数据-取费表'!B3="万元",NUMBERSTRING(INT(D15*10000),2)&amp;"元整",NUMBERSTRING(INT(D15),2)&amp;"元整")</f>
        <v>贰佰壹拾陆万元整</v>
      </c>
      <c r="E16" s="1327"/>
    </row>
    <row r="17" spans="1:5" ht="14.25">
      <c r="A17" s="1327"/>
      <c r="B17" s="3356"/>
      <c r="C17" s="1337" t="s">
        <v>1202</v>
      </c>
      <c r="D17" s="1334">
        <f ca="1">IF('数据-取费表'!E3="否",结果表!I111,'结果表 (1修多)'!I113)</f>
        <v>18173</v>
      </c>
      <c r="E17" s="1327"/>
    </row>
    <row r="18" spans="1:5" ht="14.25">
      <c r="A18" s="1327"/>
      <c r="B18" s="3356" t="str">
        <f>IF('数据-取费表'!E3="否",结果表!F112,'结果表 (1修多)'!F114)</f>
        <v>——</v>
      </c>
      <c r="C18" s="1328" t="str">
        <f>C7</f>
        <v>总价（万元）</v>
      </c>
      <c r="D18" s="1334" t="str">
        <f>IF('数据-取费表'!E3="否",结果表!I112,'结果表 (1修多)'!I114)</f>
        <v>——</v>
      </c>
      <c r="E18" s="1327"/>
    </row>
    <row r="19" spans="1:5" ht="14.25">
      <c r="A19" s="1327"/>
      <c r="B19" s="3356"/>
      <c r="C19" s="1335" t="s">
        <v>1106</v>
      </c>
      <c r="D19" s="1334" t="e">
        <f>IF('数据-取费表'!B3="万元",NUMBERSTRING(INT(D18*10000),2)&amp;"元整",NUMBERSTRING(INT(D18),2)&amp;"元整")</f>
        <v>#VALUE!</v>
      </c>
      <c r="E19" s="1327"/>
    </row>
    <row r="20" spans="1:5" ht="14.25">
      <c r="A20" s="1327"/>
      <c r="B20" s="3356"/>
      <c r="C20" s="1337" t="s">
        <v>1202</v>
      </c>
      <c r="D20" s="1334" t="str">
        <f>IF('数据-取费表'!E3="否",结果表!I113,'结果表 (1修多)'!I115)</f>
        <v>——</v>
      </c>
      <c r="E20" s="1327"/>
    </row>
    <row r="21" spans="1:5" ht="14.25">
      <c r="A21" s="1327"/>
      <c r="B21" s="3349" t="str">
        <f>IF('数据-取费表'!E3="否",结果表!F114,'结果表 (1修多)'!F116)</f>
        <v>——</v>
      </c>
      <c r="C21" s="1333" t="str">
        <f>C7</f>
        <v>总价（万元）</v>
      </c>
      <c r="D21" s="1334" t="str">
        <f>IF('数据-取费表'!E3="否",结果表!I114,'结果表 (1修多)'!I116)</f>
        <v>——</v>
      </c>
      <c r="E21" s="1327"/>
    </row>
    <row r="22" spans="1:5" ht="14.25">
      <c r="A22" s="1327"/>
      <c r="B22" s="3349"/>
      <c r="C22" s="1335" t="s">
        <v>1106</v>
      </c>
      <c r="D22" s="1336" t="e">
        <f>IF('数据-取费表'!B3="万元",NUMBERSTRING(INT(D21*10000),2)&amp;"元整",NUMBERSTRING(INT(D21),2)&amp;"元整")</f>
        <v>#VALUE!</v>
      </c>
      <c r="E22" s="1327"/>
    </row>
    <row r="23" spans="1:5" ht="15" thickBot="1">
      <c r="A23" s="1327"/>
      <c r="B23" s="3350"/>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64" t="s">
        <v>1203</v>
      </c>
      <c r="C25" s="3364"/>
      <c r="D25" s="3364"/>
      <c r="E25" s="1327"/>
    </row>
    <row r="26" spans="1:5" ht="18.75" customHeight="1" thickTop="1">
      <c r="A26" s="1327"/>
      <c r="B26" s="3367" t="s">
        <v>1105</v>
      </c>
      <c r="C26" s="3368"/>
      <c r="D26" s="3365" t="s">
        <v>1104</v>
      </c>
      <c r="E26" s="1327"/>
    </row>
    <row r="27" spans="1:5" ht="18.75" customHeight="1">
      <c r="A27" s="1327"/>
      <c r="B27" s="3369"/>
      <c r="C27" s="3370"/>
      <c r="D27" s="3366"/>
      <c r="E27" s="1327"/>
    </row>
    <row r="28" spans="1:5" ht="14.25">
      <c r="A28" s="1327"/>
      <c r="B28" s="3357" t="s">
        <v>776</v>
      </c>
      <c r="C28" s="1344" t="s">
        <v>1107</v>
      </c>
      <c r="D28" s="1345">
        <f ca="1">IF('数据-取费表'!E3="否",结果表!I102,'结果表 (1修多)'!I104)</f>
        <v>216</v>
      </c>
      <c r="E28" s="1327"/>
    </row>
    <row r="29" spans="1:5" ht="14.25">
      <c r="A29" s="1327"/>
      <c r="B29" s="3358"/>
      <c r="C29" s="1346" t="s">
        <v>1106</v>
      </c>
      <c r="D29" s="1347" t="str">
        <f ca="1">IF('数据-取费表'!B3="万元",NUMBERSTRING(INT(D28*10000),2)&amp;"元整",NUMBERSTRING(INT(D28),2)&amp;"元整")</f>
        <v>贰佰壹拾陆万元整</v>
      </c>
      <c r="E29" s="1327"/>
    </row>
    <row r="30" spans="1:5" ht="14.25">
      <c r="A30" s="1327"/>
      <c r="B30" s="3359"/>
      <c r="C30" s="1337" t="s">
        <v>1109</v>
      </c>
      <c r="D30" s="1348">
        <f ca="1">IF('数据-取费表'!E3="否",结果表!I103,'结果表 (1修多)'!I105)</f>
        <v>18173</v>
      </c>
      <c r="E30" s="1327"/>
    </row>
    <row r="31" spans="1:5" ht="14.25">
      <c r="A31" s="1327"/>
      <c r="B31" s="3362" t="str">
        <f>B10</f>
        <v>2.估价师所知悉的法定优先受偿款</v>
      </c>
      <c r="C31" s="1349" t="s">
        <v>1108</v>
      </c>
      <c r="D31" s="1350">
        <f>IF('数据-取费表'!E3="否",结果表!I105,'结果表 (1修多)'!I107)</f>
        <v>0</v>
      </c>
      <c r="E31" s="1327"/>
    </row>
    <row r="32" spans="1:5" ht="14.25">
      <c r="A32" s="1327"/>
      <c r="B32" s="3371"/>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60" t="str">
        <f>B15</f>
        <v>3.房地产抵押价值</v>
      </c>
      <c r="C36" s="1349" t="str">
        <f>C28</f>
        <v>总价</v>
      </c>
      <c r="D36" s="1350">
        <f ca="1">IF('数据-取费表'!E3="否",结果表!I110,'结果表 (1修多)'!I112)</f>
        <v>216</v>
      </c>
      <c r="E36" s="1327"/>
    </row>
    <row r="37" spans="1:5" ht="14.25">
      <c r="A37" s="1327"/>
      <c r="B37" s="3360"/>
      <c r="C37" s="1346" t="s">
        <v>1106</v>
      </c>
      <c r="D37" s="1351" t="str">
        <f ca="1">IF('数据-取费表'!B3="万元",NUMBERSTRING(INT(D36*10000),2)&amp;"元整",NUMBERSTRING(INT(D36),2)&amp;"元整")</f>
        <v>贰佰壹拾陆万元整</v>
      </c>
      <c r="E37" s="1327"/>
    </row>
    <row r="38" spans="1:5" ht="14.25">
      <c r="A38" s="1327"/>
      <c r="B38" s="3360"/>
      <c r="C38" s="1337" t="s">
        <v>1110</v>
      </c>
      <c r="D38" s="1348">
        <f ca="1">IF('数据-取费表'!E3="否",结果表!D113,'结果表 (1修多)'!D117)</f>
        <v>18173</v>
      </c>
      <c r="E38" s="1327"/>
    </row>
    <row r="39" spans="1:5" ht="14.25">
      <c r="A39" s="1327"/>
      <c r="B39" s="3361" t="str">
        <f>B18</f>
        <v>——</v>
      </c>
      <c r="C39" s="1349" t="str">
        <f>C28</f>
        <v>总价</v>
      </c>
      <c r="D39" s="1350" t="str">
        <f>IF('数据-取费表'!E3="否",结果表!I112,'结果表 (1修多)'!I114)</f>
        <v>——</v>
      </c>
      <c r="E39" s="1327"/>
    </row>
    <row r="40" spans="1:5" ht="14.25">
      <c r="A40" s="1327"/>
      <c r="B40" s="3361"/>
      <c r="C40" s="1346" t="s">
        <v>1106</v>
      </c>
      <c r="D40" s="1351" t="e">
        <f>IF('数据-取费表'!B3="万元",NUMBERSTRING(INT(D39*10000),2)&amp;"元整",NUMBERSTRING(INT(D39),2)&amp;"元整")</f>
        <v>#VALUE!</v>
      </c>
      <c r="E40" s="1327"/>
    </row>
    <row r="41" spans="1:5" ht="14.25">
      <c r="A41" s="1327"/>
      <c r="B41" s="3361"/>
      <c r="C41" s="1337" t="s">
        <v>1110</v>
      </c>
      <c r="D41" s="1348" t="str">
        <f>IF('数据-取费表'!E3="否",结果表!D115,'结果表 (1修多)'!D119)</f>
        <v>——</v>
      </c>
      <c r="E41" s="1327"/>
    </row>
    <row r="42" spans="1:5" ht="14.25">
      <c r="A42" s="1327"/>
      <c r="B42" s="3360" t="str">
        <f>B21</f>
        <v>——</v>
      </c>
      <c r="C42" s="1349" t="str">
        <f>C28</f>
        <v>总价</v>
      </c>
      <c r="D42" s="1350" t="str">
        <f>IF('数据-取费表'!E3="否",结果表!I114,'结果表 (1修多)'!I116)</f>
        <v>——</v>
      </c>
      <c r="E42" s="1327"/>
    </row>
    <row r="43" spans="1:5" ht="14.25">
      <c r="A43" s="1327"/>
      <c r="B43" s="3362"/>
      <c r="C43" s="1346" t="s">
        <v>1106</v>
      </c>
      <c r="D43" s="1352" t="e">
        <f>IF('数据-取费表'!B3="万元",NUMBERSTRING(INT(D42*10000),2)&amp;"元整",NUMBERSTRING(INT(D42),2)&amp;"元整")</f>
        <v>#VALUE!</v>
      </c>
      <c r="E43" s="1327"/>
    </row>
    <row r="44" spans="1:5" ht="15" thickBot="1">
      <c r="A44" s="1327"/>
      <c r="B44" s="3363"/>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3.5"/>
  <sheetData>
    <row r="121" spans="15:15">
      <c r="O121" s="1309" t="s">
        <v>3105</v>
      </c>
    </row>
  </sheetData>
  <phoneticPr fontId="14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4"/>
      <c r="B3" s="3374"/>
      <c r="C3" s="3374"/>
      <c r="D3" s="817" t="s">
        <v>1209</v>
      </c>
      <c r="E3" s="817" t="s">
        <v>1210</v>
      </c>
      <c r="F3" s="817" t="s">
        <v>1209</v>
      </c>
      <c r="G3" s="817" t="s">
        <v>1211</v>
      </c>
      <c r="H3" s="817" t="s">
        <v>1209</v>
      </c>
      <c r="I3" s="817" t="s">
        <v>1211</v>
      </c>
    </row>
    <row r="4" spans="1:9" ht="46.5" customHeight="1">
      <c r="A4" s="817" t="str">
        <f>项目基本情况!I1</f>
        <v>北京市房地产</v>
      </c>
      <c r="B4" s="817">
        <f>结果表!B121</f>
        <v>118.86</v>
      </c>
      <c r="C4" s="817">
        <f>结果表!C121</f>
        <v>0</v>
      </c>
      <c r="D4" s="817">
        <f ca="1">IF('数据-取费表'!E3="否",结果表!D121,'结果表 (1修多)'!D125)</f>
        <v>134</v>
      </c>
      <c r="E4" s="817">
        <f ca="1">IF('数据-取费表'!E3="否",结果表!E121,'结果表 (1修多)'!E125)</f>
        <v>11274</v>
      </c>
      <c r="F4" s="817">
        <f ca="1">IF('数据-取费表'!E3="否",结果表!F121,'结果表 (1修多)'!F125)</f>
        <v>82</v>
      </c>
      <c r="G4" s="817">
        <f ca="1">IF('数据-取费表'!E3="否",结果表!G121,'结果表 (1修多)'!G125)</f>
        <v>6899</v>
      </c>
      <c r="H4" s="817">
        <f ca="1">IF('数据-取费表'!E3="否",结果表!H121,'结果表 (1修多)'!H125)</f>
        <v>216</v>
      </c>
      <c r="I4" s="817">
        <f ca="1">IF('数据-取费表'!E3="否",结果表!I121,'结果表 (1修多)'!I125)</f>
        <v>18173</v>
      </c>
    </row>
    <row r="5" spans="1:9" ht="15">
      <c r="A5" s="3374" t="s">
        <v>1212</v>
      </c>
      <c r="B5" s="3374"/>
      <c r="C5" s="3374"/>
      <c r="D5" s="3372" t="str">
        <f ca="1">IF('数据-取费表'!E3="否",结果表!D122,'结果表 (1修多)'!D126)</f>
        <v>壹佰叁拾肆万元整</v>
      </c>
      <c r="E5" s="3372"/>
      <c r="F5" s="3372" t="str">
        <f ca="1">IF('数据-取费表'!E3="否",结果表!F122,'结果表 (1修多)'!F126)</f>
        <v>捌拾贰万元整</v>
      </c>
      <c r="G5" s="3372"/>
      <c r="H5" s="3372" t="str">
        <f ca="1">IF('数据-取费表'!E3="否",结果表!H122,'结果表 (1修多)'!H126)</f>
        <v>贰佰壹拾陆万元整</v>
      </c>
      <c r="I5" s="3372"/>
    </row>
    <row r="6" spans="1:9" ht="15.75">
      <c r="A6" s="3373" t="str">
        <f>IF('数据-取费表'!E3="否",结果表!A123,'结果表 (1修多)'!A127)</f>
        <v>估价师所知悉的法定优先受偿款</v>
      </c>
      <c r="B6" s="3373"/>
      <c r="C6" s="3373"/>
      <c r="D6" s="3373">
        <f>IF('数据-取费表'!E3="否",结果表!D123,'结果表 (1修多)'!D127)</f>
        <v>0</v>
      </c>
      <c r="E6" s="3373"/>
      <c r="F6" s="3373"/>
      <c r="G6" s="3373"/>
      <c r="H6" s="3373"/>
      <c r="I6" s="3373"/>
    </row>
    <row r="7" spans="1:9" ht="15">
      <c r="A7" s="3374" t="s">
        <v>1212</v>
      </c>
      <c r="B7" s="3374"/>
      <c r="C7" s="3374"/>
      <c r="D7" s="3375">
        <f>IF('数据-取费表'!E3="否",结果表!D124,'结果表 (1修多)'!D128)</f>
        <v>0</v>
      </c>
      <c r="E7" s="3376"/>
      <c r="F7" s="3376"/>
      <c r="G7" s="3376"/>
      <c r="H7" s="3376"/>
      <c r="I7" s="3377"/>
    </row>
    <row r="8" spans="1:9" ht="15.75">
      <c r="A8" s="3373" t="str">
        <f>IF('数据-取费表'!E3="否",结果表!A125,'结果表 (1修多)'!A129)</f>
        <v>房地产抵押价值</v>
      </c>
      <c r="B8" s="3373"/>
      <c r="C8" s="3373"/>
      <c r="D8" s="3373">
        <f ca="1">IF('数据-取费表'!E3="否",结果表!D125,'结果表 (1修多)'!D129)</f>
        <v>216</v>
      </c>
      <c r="E8" s="3373"/>
      <c r="F8" s="3373"/>
      <c r="G8" s="3373"/>
      <c r="H8" s="3373"/>
      <c r="I8" s="3373"/>
    </row>
    <row r="9" spans="1:9" ht="15">
      <c r="A9" s="3374" t="s">
        <v>1212</v>
      </c>
      <c r="B9" s="3374"/>
      <c r="C9" s="3374"/>
      <c r="D9" s="3372">
        <f ca="1">IF('数据-取费表'!E3="否",结果表!D126,'结果表 (1修多)'!D130)</f>
        <v>18173</v>
      </c>
      <c r="E9" s="3372"/>
      <c r="F9" s="3372"/>
      <c r="G9" s="3372"/>
      <c r="H9" s="3372"/>
      <c r="I9" s="3372"/>
    </row>
    <row r="10" spans="1:9" ht="15.75">
      <c r="A10" s="3373" t="str">
        <f>IF('数据-取费表'!E3="否",结果表!A127,'结果表 (1修多)'!A131)</f>
        <v/>
      </c>
      <c r="B10" s="3373"/>
      <c r="C10" s="3373"/>
      <c r="D10" s="3373" t="str">
        <f>IF('数据-取费表'!E3="否",结果表!D127,'结果表 (1修多)'!D130)</f>
        <v>——</v>
      </c>
      <c r="E10" s="3373"/>
      <c r="F10" s="3373"/>
      <c r="G10" s="3373"/>
      <c r="H10" s="3373"/>
      <c r="I10" s="3373"/>
    </row>
    <row r="11" spans="1:9" ht="15">
      <c r="A11" s="3374" t="s">
        <v>1212</v>
      </c>
      <c r="B11" s="3374"/>
      <c r="C11" s="3374"/>
      <c r="D11" s="3372" t="str">
        <f>IF('数据-取费表'!E3="否",结果表!D128,'结果表 (1修多)'!D132)</f>
        <v>——</v>
      </c>
      <c r="E11" s="3372"/>
      <c r="F11" s="3372"/>
      <c r="G11" s="3372"/>
      <c r="H11" s="3372"/>
      <c r="I11" s="3372"/>
    </row>
    <row r="12" spans="1:9" ht="15.75">
      <c r="A12" s="3373" t="str">
        <f>IF('数据-取费表'!E3="否",结果表!A129,'结果表 (1修多)'!A133)</f>
        <v/>
      </c>
      <c r="B12" s="3373"/>
      <c r="C12" s="3373"/>
      <c r="D12" s="3373" t="str">
        <f>IF('数据-取费表'!E3="否",结果表!D129,'结果表 (1修多)'!D133)</f>
        <v>——</v>
      </c>
      <c r="E12" s="3373"/>
      <c r="F12" s="3373"/>
      <c r="G12" s="3373"/>
      <c r="H12" s="3373"/>
      <c r="I12" s="3373"/>
    </row>
    <row r="13" spans="1:9" ht="15.75" thickBot="1">
      <c r="A13" s="3380" t="s">
        <v>1212</v>
      </c>
      <c r="B13" s="3380"/>
      <c r="C13" s="3380"/>
      <c r="D13" s="3381">
        <f>IF('数据-取费表'!E3="否",结果表!D130,'结果表 (1修多)'!D134)</f>
        <v>0</v>
      </c>
      <c r="E13" s="3381"/>
      <c r="F13" s="3381"/>
      <c r="G13" s="3381"/>
      <c r="H13" s="3381"/>
      <c r="I13" s="3381"/>
    </row>
    <row r="14" spans="1:9" ht="15" thickTop="1">
      <c r="A14" s="3382" t="str">
        <f>IF('数据-取费表'!E3="否",结果表!A131,'结果表 (1修多)'!A135)</f>
        <v>单位：平方米、万元、元/平方米（币种：人民币）</v>
      </c>
      <c r="B14" s="3382"/>
      <c r="C14" s="3382"/>
      <c r="D14" s="3382"/>
      <c r="E14" s="3382"/>
      <c r="F14" s="3382"/>
      <c r="G14" s="3382"/>
      <c r="H14" s="3382"/>
      <c r="I14" s="3382"/>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7" t="s">
        <v>1225</v>
      </c>
      <c r="B1" s="3387"/>
      <c r="C1" s="3387"/>
      <c r="D1" s="3387"/>
    </row>
    <row r="2" spans="1:4" ht="18">
      <c r="A2" s="3386" t="s">
        <v>1214</v>
      </c>
      <c r="B2" s="3386"/>
      <c r="C2" s="3386"/>
      <c r="D2" s="3386"/>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6" t="s">
        <v>1219</v>
      </c>
      <c r="B7" s="3386"/>
      <c r="C7" s="3386"/>
      <c r="D7" s="3386"/>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3" t="s">
        <v>2679</v>
      </c>
      <c r="B12" s="3385"/>
      <c r="C12" s="3385"/>
      <c r="D12" s="3385"/>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5"/>
      <c r="C13" s="3385"/>
      <c r="D13" s="3385"/>
    </row>
    <row r="14" spans="1:4" ht="30" customHeight="1">
      <c r="A14" s="338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5"/>
      <c r="C14" s="3385"/>
      <c r="D14" s="3385"/>
    </row>
    <row r="15" spans="1:4" ht="15.75" customHeight="1">
      <c r="A15" s="3383" t="str">
        <f>IF(项目基本情况!D4="抵押","4.本次评估估价师所知悉的法定优先受偿款情况说明如下：","——")</f>
        <v>4.本次评估估价师所知悉的法定优先受偿款情况说明如下：</v>
      </c>
      <c r="B15" s="3385"/>
      <c r="C15" s="3385"/>
      <c r="D15" s="3385"/>
    </row>
    <row r="16" spans="1:4" ht="75" customHeight="1">
      <c r="A16" s="338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3"/>
      <c r="C16" s="3383"/>
      <c r="D16" s="3383"/>
    </row>
    <row r="17" spans="1:4" ht="63.75" customHeight="1">
      <c r="A17" s="3384" t="s">
        <v>1227</v>
      </c>
      <c r="B17" s="3384"/>
      <c r="C17" s="3384"/>
      <c r="D17" s="3384"/>
    </row>
    <row r="18" spans="1:4" ht="15.75" customHeight="1">
      <c r="A18" s="3383" t="str">
        <f>IF(项目基本情况!D4="抵押",结果表!L106,"——")</f>
        <v>本次评估不存在估价师所知悉的法定优先受偿款。</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4" t="s">
        <v>2680</v>
      </c>
      <c r="B20" s="3384"/>
      <c r="C20" s="3384"/>
      <c r="D20" s="3384"/>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0" t="s">
        <v>1311</v>
      </c>
      <c r="B19" s="1381"/>
      <c r="C19" s="1382"/>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3" t="s">
        <v>1317</v>
      </c>
    </row>
    <row r="24" spans="1:3" ht="14.25">
      <c r="A24" s="3391"/>
      <c r="B24" s="3392"/>
      <c r="C24" s="1383" t="s">
        <v>1318</v>
      </c>
    </row>
    <row r="25" spans="1:3" ht="14.25">
      <c r="A25" s="3391"/>
      <c r="B25" s="3392"/>
      <c r="C25" s="1383" t="s">
        <v>1319</v>
      </c>
    </row>
    <row r="26" spans="1:3" ht="14.25">
      <c r="A26" s="3391"/>
      <c r="B26" s="3392"/>
      <c r="C26" s="1383" t="s">
        <v>1320</v>
      </c>
    </row>
    <row r="27" spans="1:3" ht="14.25">
      <c r="A27" s="3391"/>
      <c r="B27" s="3392"/>
      <c r="C27" s="1383" t="s">
        <v>1321</v>
      </c>
    </row>
    <row r="28" spans="1:3" ht="14.25">
      <c r="A28" s="3391"/>
      <c r="B28" s="3392"/>
      <c r="C28" s="1383" t="s">
        <v>1322</v>
      </c>
    </row>
    <row r="29" spans="1:3" ht="14.25">
      <c r="A29" s="3391"/>
      <c r="B29" s="3392"/>
      <c r="C29" s="1383" t="s">
        <v>1323</v>
      </c>
    </row>
    <row r="30" spans="1:3" ht="14.25">
      <c r="A30" s="3391"/>
      <c r="B30" s="3392"/>
      <c r="C30" s="1383" t="s">
        <v>1324</v>
      </c>
    </row>
    <row r="31" spans="1:3" ht="14.25">
      <c r="A31" s="3391"/>
      <c r="B31" s="339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44663</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6"/>
      <c r="E18" s="3398" t="s">
        <v>764</v>
      </c>
      <c r="F18" s="3397"/>
      <c r="G18" s="339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信息</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2022-04-12T07:53:24Z</dcterms:modified>
</cp:coreProperties>
</file>