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汇总）" sheetId="76" state="hidden" r:id="rId20"/>
    <sheet name="基准地价修正-商业" sheetId="77" state="hidden" r:id="rId21"/>
    <sheet name="基准地价修正-办公" sheetId="43" state="hidden" r:id="rId22"/>
    <sheet name="成本法" sheetId="68" state="hidden" r:id="rId23"/>
    <sheet name="成本法 (元)" sheetId="69" state="hidden" r:id="rId24"/>
    <sheet name="假设开发法" sheetId="12" state="hidden" r:id="rId25"/>
    <sheet name="收益法（汇总）" sheetId="70" state="hidden" r:id="rId26"/>
    <sheet name="比较法-办公" sheetId="34" r:id="rId27"/>
    <sheet name="收益法-办公" sheetId="15" r:id="rId28"/>
    <sheet name="典型户型修正" sheetId="31" r:id="rId29"/>
    <sheet name="收益法-商业" sheetId="78" state="hidden" r:id="rId30"/>
    <sheet name="收益法 (元)" sheetId="67" state="hidden" r:id="rId31"/>
    <sheet name="酒店收入计算" sheetId="66"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9" r:id="rId48"/>
  </sheets>
  <definedNames>
    <definedName name="_xlnm._FilterDatabase" localSheetId="26"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19">'基准地价（汇总）'!$A$1:$E$13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4">假设开发法!$A$1:$K$32</definedName>
    <definedName name="_xlnm.Print_Area" localSheetId="18">结果表!$A$1:$I$127</definedName>
    <definedName name="_xlnm.Print_Area" localSheetId="30">'收益法 (元)'!$A$1:$F$43,'收益法 (元)'!$H$3:$M$29,'收益法 (元)'!$A$45:$F$71,'收益法 (元)'!$I$46:$N$65</definedName>
    <definedName name="_xlnm.Print_Area" localSheetId="25">'收益法（汇总）'!$A$1:$F$13</definedName>
    <definedName name="_xlnm.Print_Area" localSheetId="27">'收益法-办公'!$A$1:$F$43,'收益法-办公'!$H$3:$M$29,'收益法-办公'!$A$46:$F$71,'收益法-办公'!$I$46:$N$65</definedName>
    <definedName name="_xlnm.Print_Area" localSheetId="29">'收益法-商业'!$A$1:$F$43,'收益法-商业'!$H$3:$M$29,'收益法-商业'!$A$46:$F$71,'收益法-商业'!$I$46:$N$65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F20" i="6"/>
  <c r="F19" i="6"/>
  <c r="B26" i="31" l="1"/>
  <c r="B27" i="31"/>
  <c r="B28" i="31"/>
  <c r="B29" i="31"/>
  <c r="B30" i="31"/>
  <c r="B31" i="31"/>
  <c r="B32" i="31"/>
  <c r="B33" i="31"/>
  <c r="B34" i="31"/>
  <c r="B35" i="31"/>
  <c r="B36" i="31"/>
  <c r="A26" i="31"/>
  <c r="A27" i="31"/>
  <c r="A28" i="31"/>
  <c r="A29" i="31"/>
  <c r="A30" i="31"/>
  <c r="A31" i="31"/>
  <c r="A32" i="31"/>
  <c r="A33" i="31"/>
  <c r="A34" i="31"/>
  <c r="A35" i="31"/>
  <c r="A36" i="31"/>
  <c r="B25" i="31"/>
  <c r="A25" i="31"/>
  <c r="B24" i="31"/>
  <c r="A24" i="31"/>
  <c r="I14" i="3"/>
  <c r="I13" i="3"/>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F4" i="31"/>
  <c r="G4" i="31" s="1"/>
  <c r="E4" i="31"/>
  <c r="C4" i="31"/>
  <c r="B64" i="31"/>
  <c r="B65" i="31"/>
  <c r="B66" i="31"/>
  <c r="B67" i="31"/>
  <c r="B68" i="31"/>
  <c r="B69" i="31"/>
  <c r="B70" i="31"/>
  <c r="B48" i="31"/>
  <c r="B49" i="31"/>
  <c r="B50" i="31"/>
  <c r="B51" i="31"/>
  <c r="B52" i="31"/>
  <c r="B53" i="31"/>
  <c r="B54" i="31"/>
  <c r="B55" i="31"/>
  <c r="B56" i="31"/>
  <c r="B57" i="31"/>
  <c r="B58" i="31"/>
  <c r="B59" i="31"/>
  <c r="B60" i="31"/>
  <c r="B61" i="31"/>
  <c r="B62" i="31"/>
  <c r="B63" i="31"/>
  <c r="B37" i="31"/>
  <c r="B38" i="31"/>
  <c r="B39" i="31"/>
  <c r="B40" i="31"/>
  <c r="B41" i="31"/>
  <c r="B42" i="31"/>
  <c r="B43" i="31"/>
  <c r="B44" i="31"/>
  <c r="B45" i="31"/>
  <c r="B46" i="31"/>
  <c r="B47" i="31"/>
  <c r="C75" i="9"/>
  <c r="I17" i="79"/>
  <c r="E17" i="79"/>
  <c r="D49" i="80"/>
  <c r="E50" i="80" s="1"/>
  <c r="K75" i="9" l="1"/>
  <c r="J49" i="78" l="1"/>
  <c r="F70" i="78"/>
  <c r="F52" i="78"/>
  <c r="U2" i="77" l="1"/>
  <c r="U3" i="77"/>
  <c r="U4" i="77"/>
  <c r="U5" i="77"/>
  <c r="I33" i="79" l="1"/>
  <c r="E33" i="79"/>
  <c r="I27" i="79"/>
  <c r="I28" i="79"/>
  <c r="I29" i="79"/>
  <c r="I30" i="79"/>
  <c r="I31" i="79"/>
  <c r="I32" i="79"/>
  <c r="I26" i="79"/>
  <c r="I4" i="79"/>
  <c r="I5" i="79"/>
  <c r="I7" i="79"/>
  <c r="I8" i="79"/>
  <c r="I9" i="79"/>
  <c r="I10" i="79"/>
  <c r="I11" i="79"/>
  <c r="I12" i="79"/>
  <c r="I13" i="79"/>
  <c r="I14" i="79"/>
  <c r="I15" i="79"/>
  <c r="I16" i="79"/>
  <c r="I3" i="79"/>
  <c r="Y6" i="1"/>
  <c r="X24" i="1"/>
  <c r="X23" i="1"/>
  <c r="X22" i="1"/>
  <c r="X21" i="1"/>
  <c r="Q72" i="78"/>
  <c r="Q59" i="78"/>
  <c r="K59" i="78"/>
  <c r="P74" i="78" s="1"/>
  <c r="F59" i="78"/>
  <c r="Q58" i="78"/>
  <c r="Q51" i="78"/>
  <c r="J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B35" i="1"/>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E81" i="77"/>
  <c r="B79" i="77" s="1"/>
  <c r="D81" i="77"/>
  <c r="B81" i="77"/>
  <c r="N78" i="77"/>
  <c r="M78" i="77"/>
  <c r="K78" i="77"/>
  <c r="J78" i="77" s="1"/>
  <c r="D78" i="77"/>
  <c r="M77" i="77"/>
  <c r="N77" i="77" s="1"/>
  <c r="K77" i="77"/>
  <c r="J77" i="77"/>
  <c r="D77" i="77"/>
  <c r="N76" i="77"/>
  <c r="M76" i="77"/>
  <c r="K76" i="77"/>
  <c r="J76" i="77" s="1"/>
  <c r="D76" i="77"/>
  <c r="N75" i="77"/>
  <c r="M75" i="77"/>
  <c r="K75" i="77"/>
  <c r="J75" i="77" s="1"/>
  <c r="D75" i="77"/>
  <c r="N74" i="77"/>
  <c r="M74" i="77"/>
  <c r="K74" i="77"/>
  <c r="J74" i="77" s="1"/>
  <c r="D74" i="77"/>
  <c r="N73" i="77"/>
  <c r="M73" i="77"/>
  <c r="K73" i="77"/>
  <c r="J73" i="77" s="1"/>
  <c r="D73" i="77"/>
  <c r="B73" i="77"/>
  <c r="N72" i="77"/>
  <c r="M72" i="77"/>
  <c r="K72" i="77"/>
  <c r="J72" i="77" s="1"/>
  <c r="D72" i="77"/>
  <c r="B72" i="77"/>
  <c r="N71" i="77"/>
  <c r="M71" i="77"/>
  <c r="K71" i="77"/>
  <c r="J71" i="77" s="1"/>
  <c r="D71" i="77"/>
  <c r="N70" i="77"/>
  <c r="M70" i="77"/>
  <c r="K70" i="77"/>
  <c r="J70" i="77" s="1"/>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N62" i="77"/>
  <c r="M62" i="77"/>
  <c r="K62" i="77"/>
  <c r="J62" i="77" s="1"/>
  <c r="D62" i="77"/>
  <c r="M61" i="77"/>
  <c r="N61" i="77" s="1"/>
  <c r="K61" i="77"/>
  <c r="J61" i="77"/>
  <c r="D61" i="77"/>
  <c r="B61" i="77"/>
  <c r="N60" i="77"/>
  <c r="M60" i="77"/>
  <c r="K60" i="77"/>
  <c r="J60" i="77" s="1"/>
  <c r="D60" i="77"/>
  <c r="M59" i="77"/>
  <c r="N59" i="77" s="1"/>
  <c r="K59" i="77"/>
  <c r="J59" i="77"/>
  <c r="D59" i="77"/>
  <c r="E59" i="77" s="1"/>
  <c r="B57" i="77" s="1"/>
  <c r="M56" i="77"/>
  <c r="N56" i="77" s="1"/>
  <c r="K56" i="77"/>
  <c r="J56" i="77" s="1"/>
  <c r="D56" i="77"/>
  <c r="N55" i="77"/>
  <c r="M55" i="77"/>
  <c r="K55" i="77"/>
  <c r="J55" i="77" s="1"/>
  <c r="D55" i="77" s="1"/>
  <c r="M54" i="77"/>
  <c r="N54" i="77" s="1"/>
  <c r="K54" i="77"/>
  <c r="J54" i="77" s="1"/>
  <c r="D54" i="77"/>
  <c r="N53" i="77"/>
  <c r="M53" i="77"/>
  <c r="K53" i="77"/>
  <c r="J53" i="77" s="1"/>
  <c r="N52" i="77"/>
  <c r="M52" i="77"/>
  <c r="K52" i="77"/>
  <c r="J52" i="77" s="1"/>
  <c r="D52" i="77"/>
  <c r="B52" i="77"/>
  <c r="M51" i="77"/>
  <c r="N51" i="77" s="1"/>
  <c r="K51" i="77"/>
  <c r="J51" i="77"/>
  <c r="D51" i="77"/>
  <c r="M50" i="77"/>
  <c r="N50" i="77" s="1"/>
  <c r="K50" i="77"/>
  <c r="J50" i="77" s="1"/>
  <c r="D50" i="77"/>
  <c r="B50" i="77"/>
  <c r="N49" i="77"/>
  <c r="M49" i="77"/>
  <c r="K49" i="77"/>
  <c r="J49" i="77" s="1"/>
  <c r="M48" i="77"/>
  <c r="N48" i="77" s="1"/>
  <c r="K48" i="77"/>
  <c r="J48" i="77" s="1"/>
  <c r="D48" i="77"/>
  <c r="B48" i="77"/>
  <c r="H39" i="77"/>
  <c r="H38" i="77"/>
  <c r="H37" i="77"/>
  <c r="H36" i="77"/>
  <c r="H35" i="77"/>
  <c r="H34" i="77"/>
  <c r="J20" i="77"/>
  <c r="M19" i="77"/>
  <c r="I19" i="77"/>
  <c r="C18"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M2" i="77"/>
  <c r="I2" i="77"/>
  <c r="M12" i="77" s="1"/>
  <c r="G2" i="77"/>
  <c r="N17" i="77" s="1"/>
  <c r="N1" i="77"/>
  <c r="M1" i="77"/>
  <c r="V25" i="1"/>
  <c r="X25" i="1" l="1"/>
  <c r="P61" i="78"/>
  <c r="D49" i="77"/>
  <c r="E48" i="77" s="1"/>
  <c r="B46" i="77" s="1"/>
  <c r="C24" i="77" s="1"/>
  <c r="D53" i="77"/>
  <c r="H100" i="77"/>
  <c r="D108" i="77"/>
  <c r="L108" i="77"/>
  <c r="H70" i="77"/>
  <c r="M4" i="77"/>
  <c r="E11" i="77"/>
  <c r="E10" i="77"/>
  <c r="E9" i="77"/>
  <c r="E8" i="77"/>
  <c r="N2" i="77"/>
  <c r="F48" i="77" s="1"/>
  <c r="M3" i="77"/>
  <c r="N4" i="77"/>
  <c r="M5" i="77"/>
  <c r="M6" i="77"/>
  <c r="N7" i="77"/>
  <c r="X7" i="77"/>
  <c r="N8" i="77"/>
  <c r="N9" i="77"/>
  <c r="M10" i="77"/>
  <c r="AA10" i="77"/>
  <c r="AC10" i="77"/>
  <c r="AE10" i="77"/>
  <c r="AG10" i="77"/>
  <c r="AI10" i="77"/>
  <c r="M11" i="77"/>
  <c r="N12" i="77"/>
  <c r="Z12" i="77"/>
  <c r="AB12" i="77"/>
  <c r="AD12" i="77"/>
  <c r="AF12" i="77"/>
  <c r="AH12" i="77"/>
  <c r="AJ12" i="77"/>
  <c r="E17" i="77"/>
  <c r="J17" i="77"/>
  <c r="H113" i="77"/>
  <c r="F59" i="77"/>
  <c r="F39" i="77"/>
  <c r="F38" i="77"/>
  <c r="F37" i="77"/>
  <c r="F36" i="77"/>
  <c r="F35" i="77"/>
  <c r="F34" i="77"/>
  <c r="F33" i="77"/>
  <c r="O17" i="77"/>
  <c r="M17" i="77"/>
  <c r="K17" i="77"/>
  <c r="I17" i="77"/>
  <c r="D17" i="77"/>
  <c r="N5" i="77"/>
  <c r="C6" i="77"/>
  <c r="N6" i="77"/>
  <c r="M7" i="77"/>
  <c r="M8" i="77"/>
  <c r="M9" i="77"/>
  <c r="N10" i="77"/>
  <c r="N11" i="77"/>
  <c r="C17" i="77"/>
  <c r="H17" i="77"/>
  <c r="L17"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9" i="78" l="1"/>
  <c r="H55" i="77"/>
  <c r="H50" i="77"/>
  <c r="H54" i="77"/>
  <c r="H49" i="77"/>
  <c r="H53" i="77"/>
  <c r="H48" i="77"/>
  <c r="H51" i="77"/>
  <c r="H56" i="77"/>
  <c r="H52" i="77"/>
  <c r="G17" i="77"/>
  <c r="C16" i="77" s="1"/>
  <c r="D5" i="77" s="1"/>
  <c r="H66" i="77"/>
  <c r="H64" i="77"/>
  <c r="H63" i="77"/>
  <c r="H60" i="77"/>
  <c r="H67" i="77"/>
  <c r="H65" i="77"/>
  <c r="H62" i="77"/>
  <c r="H61" i="77"/>
  <c r="H59" i="77"/>
  <c r="C7" i="77"/>
  <c r="C5" i="77"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B2" i="1"/>
  <c r="G19" i="77"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R500" i="31"/>
  <c r="R501" i="31"/>
  <c r="R502" i="31"/>
  <c r="S502" i="31" s="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78" i="31"/>
  <c r="E180" i="31"/>
  <c r="E182"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1" i="31"/>
  <c r="S120" i="31"/>
  <c r="S119" i="31"/>
  <c r="S118" i="31"/>
  <c r="S117" i="31"/>
  <c r="S116" i="31"/>
  <c r="S115" i="31"/>
  <c r="S114" i="31"/>
  <c r="S113" i="31"/>
  <c r="S112" i="31"/>
  <c r="S504" i="31"/>
  <c r="S500" i="31"/>
  <c r="S467" i="31"/>
  <c r="S465" i="31"/>
  <c r="S463" i="31"/>
  <c r="S461" i="31"/>
  <c r="S459" i="31"/>
  <c r="S457" i="31"/>
  <c r="S455" i="31"/>
  <c r="S453" i="31"/>
  <c r="S451" i="31"/>
  <c r="S97" i="31"/>
  <c r="S96" i="31"/>
  <c r="S95" i="31"/>
  <c r="S94" i="31"/>
  <c r="S93" i="31"/>
  <c r="S92" i="31"/>
  <c r="S91" i="31"/>
  <c r="S90" i="31"/>
  <c r="S89" i="31"/>
  <c r="S88" i="31"/>
  <c r="S87" i="31"/>
  <c r="S86" i="31"/>
  <c r="S85" i="31"/>
  <c r="S84" i="31"/>
  <c r="S83" i="31"/>
  <c r="S82" i="31"/>
  <c r="S81" i="31"/>
  <c r="S80" i="31"/>
  <c r="S7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C17" i="20"/>
  <c r="B59" i="77" s="1"/>
  <c r="C16" i="20"/>
  <c r="C17" i="39"/>
  <c r="C15" i="20"/>
  <c r="B70" i="77" s="1"/>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D33" i="77"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A13" i="3"/>
  <c r="E10" i="6"/>
  <c r="BA5" i="3"/>
  <c r="E11" i="6"/>
  <c r="BL17" i="3"/>
  <c r="AZ17" i="3"/>
  <c r="BL13" i="3"/>
  <c r="G30"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T35" i="4"/>
  <c r="A19" i="51"/>
  <c r="B14" i="72"/>
  <c r="C46" i="36"/>
  <c r="D46" i="36" s="1"/>
  <c r="C59" i="34"/>
  <c r="D59" i="34" s="1"/>
  <c r="E59" i="34" s="1"/>
  <c r="F59" i="34" s="1"/>
  <c r="G59" i="34" s="1"/>
  <c r="H59" i="34" s="1"/>
  <c r="I59" i="34" s="1"/>
  <c r="J59" i="34" s="1"/>
  <c r="K59" i="34" s="1"/>
  <c r="C52" i="37"/>
  <c r="D52" i="37" s="1"/>
  <c r="A4" i="51"/>
  <c r="B6" i="72" s="1"/>
  <c r="C48" i="35"/>
  <c r="D48" i="35" s="1"/>
  <c r="C4" i="12"/>
  <c r="H55" i="43"/>
  <c r="H56" i="43"/>
  <c r="H72"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R8" i="1"/>
  <c r="AE8" i="1"/>
  <c r="H109" i="9"/>
  <c r="H110" i="9"/>
  <c r="D18" i="53" s="1"/>
  <c r="B35" i="72" s="1"/>
  <c r="D124" i="9"/>
  <c r="H14" i="74" s="1"/>
  <c r="B7" i="74" s="1"/>
  <c r="D16" i="53"/>
  <c r="B34" i="72"/>
  <c r="D10" i="52"/>
  <c r="D17" i="53"/>
  <c r="B36" i="72" s="1"/>
  <c r="D125" i="9"/>
  <c r="D11" i="52" s="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D68" i="39"/>
  <c r="D70" i="39" s="1"/>
  <c r="E46" i="36"/>
  <c r="F46" i="36" s="1"/>
  <c r="G46" i="36"/>
  <c r="H46" i="36" s="1"/>
  <c r="I46" i="36" s="1"/>
  <c r="J46" i="36" s="1"/>
  <c r="K46" i="36" s="1"/>
  <c r="L46" i="36" s="1"/>
  <c r="M46" i="36" s="1"/>
  <c r="N46" i="36" s="1"/>
  <c r="O46" i="36"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8" i="39"/>
  <c r="F68" i="39" s="1"/>
  <c r="G68" i="39" s="1"/>
  <c r="H68" i="39" s="1"/>
  <c r="H70" i="39" s="1"/>
  <c r="V11" i="71"/>
  <c r="C11" i="71"/>
  <c r="D12" i="71"/>
  <c r="E70" i="39"/>
  <c r="D9" i="71"/>
  <c r="T11" i="71"/>
  <c r="D10" i="71"/>
  <c r="D11" i="71"/>
  <c r="C19" i="43"/>
  <c r="U11" i="71"/>
  <c r="G70" i="39"/>
  <c r="F26" i="78"/>
  <c r="F36" i="78"/>
  <c r="M28" i="15"/>
  <c r="D2" i="35"/>
  <c r="AO11" i="1"/>
  <c r="F6" i="73"/>
  <c r="E2" i="69"/>
  <c r="F9" i="67"/>
  <c r="AO12" i="1"/>
  <c r="M28" i="67"/>
  <c r="F26" i="67"/>
  <c r="L47" i="78"/>
  <c r="M24" i="67"/>
  <c r="D2" i="33"/>
  <c r="D3" i="73"/>
  <c r="B11" i="76"/>
  <c r="F6" i="67"/>
  <c r="AO10" i="1"/>
  <c r="F37" i="78"/>
  <c r="M22" i="15"/>
  <c r="L47" i="15"/>
  <c r="D7" i="73"/>
  <c r="J15" i="67"/>
  <c r="C76" i="15"/>
  <c r="F40" i="78"/>
  <c r="M28" i="78"/>
  <c r="F37" i="67"/>
  <c r="E11" i="76"/>
  <c r="B8" i="76"/>
  <c r="B12" i="76"/>
  <c r="M9" i="15"/>
  <c r="F36" i="15"/>
  <c r="F9" i="15"/>
  <c r="F8" i="15"/>
  <c r="F38" i="15"/>
  <c r="D2" i="37"/>
  <c r="F20" i="31"/>
  <c r="F13" i="78"/>
  <c r="M6" i="78"/>
  <c r="F3" i="73"/>
  <c r="L48" i="78"/>
  <c r="F40" i="67"/>
  <c r="B13" i="76"/>
  <c r="F42" i="67"/>
  <c r="M23" i="67"/>
  <c r="F4" i="73"/>
  <c r="M22" i="67"/>
  <c r="M9" i="67"/>
  <c r="AO9" i="1"/>
  <c r="F7" i="73"/>
  <c r="F16" i="78"/>
  <c r="F6" i="78"/>
  <c r="F6" i="15"/>
  <c r="D6" i="73"/>
  <c r="D2" i="34"/>
  <c r="F42" i="15"/>
  <c r="F16" i="67"/>
  <c r="E10" i="76"/>
  <c r="M23" i="78"/>
  <c r="M8" i="78"/>
  <c r="M23" i="15"/>
  <c r="M24" i="15"/>
  <c r="D5" i="73"/>
  <c r="F8" i="67"/>
  <c r="D4" i="73"/>
  <c r="E9" i="76"/>
  <c r="F38" i="78"/>
  <c r="F36" i="67"/>
  <c r="B9" i="76"/>
  <c r="AO8" i="1"/>
  <c r="J15" i="15"/>
  <c r="D2" i="21"/>
  <c r="M6" i="15"/>
  <c r="L48" i="15"/>
  <c r="E13" i="76"/>
  <c r="F9" i="78"/>
  <c r="M26" i="78"/>
  <c r="AO13" i="1"/>
  <c r="M6" i="67"/>
  <c r="F40" i="15"/>
  <c r="B10" i="76"/>
  <c r="F37" i="15"/>
  <c r="L48" i="67"/>
  <c r="F5" i="73"/>
  <c r="J15" i="78"/>
  <c r="F42" i="78"/>
  <c r="M22" i="78"/>
  <c r="F16" i="15"/>
  <c r="F13" i="15"/>
  <c r="D2" i="36"/>
  <c r="F26" i="15"/>
  <c r="C76" i="67"/>
  <c r="E8" i="76"/>
  <c r="F8" i="78"/>
  <c r="M24" i="78"/>
  <c r="C76" i="78"/>
  <c r="M26" i="67"/>
  <c r="M8" i="67"/>
  <c r="M26" i="15"/>
  <c r="L47" i="67"/>
  <c r="M9" i="78"/>
  <c r="M8" i="15"/>
  <c r="F38" i="67"/>
  <c r="F13" i="67"/>
  <c r="E12" i="76"/>
  <c r="E30" i="31" l="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R71" i="31"/>
  <c r="S71" i="31" s="1"/>
  <c r="U11" i="34"/>
  <c r="AC11" i="34"/>
  <c r="W8" i="34"/>
  <c r="H33" i="77"/>
  <c r="D1" i="77"/>
  <c r="AZ5" i="3"/>
  <c r="L27" i="6"/>
  <c r="G27" i="6"/>
  <c r="D29" i="43"/>
  <c r="D1" i="43" s="1"/>
  <c r="B67" i="77"/>
  <c r="B77" i="77"/>
  <c r="B56" i="77"/>
  <c r="B75" i="77"/>
  <c r="B66" i="77"/>
  <c r="B55" i="77"/>
  <c r="B75" i="43"/>
  <c r="B65" i="77"/>
  <c r="B74" i="77"/>
  <c r="B54" i="77"/>
  <c r="B71" i="77"/>
  <c r="B60" i="77"/>
  <c r="B49" i="77"/>
  <c r="B71" i="43"/>
  <c r="B59" i="43"/>
  <c r="C21" i="68"/>
  <c r="C40" i="69"/>
  <c r="Q71" i="78"/>
  <c r="C27" i="78"/>
  <c r="F64" i="78"/>
  <c r="F65" i="78"/>
  <c r="F68" i="78"/>
  <c r="F66" i="78"/>
  <c r="L59" i="78"/>
  <c r="N59" i="78"/>
  <c r="M59" i="78"/>
  <c r="F51" i="78"/>
  <c r="C36" i="69"/>
  <c r="G31" i="6"/>
  <c r="O7" i="1"/>
  <c r="E19" i="6"/>
  <c r="K6" i="1" s="1"/>
  <c r="A3" i="3"/>
  <c r="I68" i="39"/>
  <c r="F70" i="39"/>
  <c r="C24" i="12"/>
  <c r="I20" i="43"/>
  <c r="C28" i="78"/>
  <c r="P24" i="77"/>
  <c r="P25" i="77"/>
  <c r="M20" i="77"/>
  <c r="P23" i="77"/>
  <c r="P21" i="77"/>
  <c r="O19" i="77"/>
  <c r="C19" i="77" s="1"/>
  <c r="P22" i="77"/>
  <c r="L58" i="78"/>
  <c r="L56" i="78"/>
  <c r="I54" i="78"/>
  <c r="L57" i="78"/>
  <c r="J57" i="78"/>
  <c r="J55" i="78" s="1"/>
  <c r="J58" i="78" s="1"/>
  <c r="Q50" i="78" s="1"/>
  <c r="L60" i="78"/>
  <c r="J53" i="78"/>
  <c r="G7" i="1"/>
  <c r="I20" i="77"/>
  <c r="P61" i="15"/>
  <c r="C94" i="9"/>
  <c r="C92" i="9"/>
  <c r="F30" i="69"/>
  <c r="F48" i="69" s="1"/>
  <c r="D68" i="9"/>
  <c r="M18" i="15"/>
  <c r="F52" i="9"/>
  <c r="F32" i="15"/>
  <c r="F60" i="15" s="1"/>
  <c r="F32" i="67"/>
  <c r="F60" i="67" s="1"/>
  <c r="F28" i="67"/>
  <c r="C28" i="67" s="1"/>
  <c r="F48" i="9"/>
  <c r="O52" i="9" s="1"/>
  <c r="C30" i="69"/>
  <c r="C36" i="11"/>
  <c r="C30" i="11"/>
  <c r="F54" i="9"/>
  <c r="F28" i="15"/>
  <c r="C28" i="15" s="1"/>
  <c r="M18" i="67"/>
  <c r="F31" i="12"/>
  <c r="C31" i="12" s="1"/>
  <c r="F30" i="68"/>
  <c r="C21" i="69"/>
  <c r="D23" i="67"/>
  <c r="J59" i="43"/>
  <c r="J60" i="43"/>
  <c r="J61" i="43"/>
  <c r="J62" i="43"/>
  <c r="J64" i="43"/>
  <c r="J65" i="43"/>
  <c r="E59" i="43"/>
  <c r="B57" i="43" s="1"/>
  <c r="C24" i="43" s="1"/>
  <c r="E11" i="43"/>
  <c r="E9" i="43"/>
  <c r="E10" i="43"/>
  <c r="E8" i="43"/>
  <c r="E20" i="77"/>
  <c r="K5" i="4"/>
  <c r="B47" i="48" s="1"/>
  <c r="H82" i="43"/>
  <c r="H71" i="43"/>
  <c r="N8" i="43"/>
  <c r="M3" i="43"/>
  <c r="M11" i="43"/>
  <c r="H62" i="43"/>
  <c r="H65" i="43"/>
  <c r="H63" i="43"/>
  <c r="H66" i="43"/>
  <c r="H64" i="43"/>
  <c r="H59" i="43"/>
  <c r="H61" i="43"/>
  <c r="H67" i="43"/>
  <c r="H60" i="43"/>
  <c r="G17" i="43"/>
  <c r="C16" i="43" s="1"/>
  <c r="C5" i="43" s="1"/>
  <c r="K15" i="1"/>
  <c r="E30" i="6"/>
  <c r="E12" i="6"/>
  <c r="E62" i="39" s="1"/>
  <c r="AQ8" i="1"/>
  <c r="T8" i="1"/>
  <c r="E117" i="3"/>
  <c r="E290" i="3"/>
  <c r="E61" i="3"/>
  <c r="E169" i="3"/>
  <c r="E215" i="3"/>
  <c r="E387" i="3"/>
  <c r="M6" i="3"/>
  <c r="E514" i="3"/>
  <c r="E285" i="3"/>
  <c r="E574" i="3"/>
  <c r="AY6" i="3"/>
  <c r="AY87" i="3" s="1"/>
  <c r="AJ6" i="3"/>
  <c r="E268" i="3"/>
  <c r="E217" i="3"/>
  <c r="D9" i="69"/>
  <c r="C9" i="69" s="1"/>
  <c r="AY176" i="3"/>
  <c r="AY188" i="3"/>
  <c r="E57" i="40"/>
  <c r="E180" i="3"/>
  <c r="E221" i="3"/>
  <c r="E91" i="3"/>
  <c r="E254" i="3"/>
  <c r="E134" i="3"/>
  <c r="E130" i="3"/>
  <c r="E189" i="3"/>
  <c r="E230" i="3"/>
  <c r="E294" i="3"/>
  <c r="E320" i="3"/>
  <c r="E407" i="3"/>
  <c r="V6" i="3"/>
  <c r="E551" i="3"/>
  <c r="E559" i="3"/>
  <c r="E358" i="3"/>
  <c r="E143" i="3"/>
  <c r="E337" i="3"/>
  <c r="E410" i="3"/>
  <c r="E555" i="3"/>
  <c r="E388" i="3"/>
  <c r="N6" i="3"/>
  <c r="E282" i="3"/>
  <c r="E553" i="3"/>
  <c r="E366" i="3"/>
  <c r="E13" i="6"/>
  <c r="D9" i="68"/>
  <c r="C9" i="68" s="1"/>
  <c r="D19" i="12"/>
  <c r="C19" i="12" s="1"/>
  <c r="D5" i="43"/>
  <c r="H75"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E51" i="40"/>
  <c r="E56" i="39"/>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3" i="6"/>
  <c r="J20" i="9" s="1"/>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53" i="3"/>
  <c r="E15" i="6"/>
  <c r="O14" i="1"/>
  <c r="P14" i="1" s="1"/>
  <c r="P7" i="1"/>
  <c r="P6" i="1"/>
  <c r="O12" i="1"/>
  <c r="P12" i="1" s="1"/>
  <c r="O8" i="1"/>
  <c r="P11" i="1"/>
  <c r="E61" i="39"/>
  <c r="E56" i="40"/>
  <c r="O9" i="1"/>
  <c r="P9" i="1"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43" i="15"/>
  <c r="M29" i="15"/>
  <c r="G1" i="73"/>
  <c r="F7" i="15"/>
  <c r="F7" i="78"/>
  <c r="F43" i="78"/>
  <c r="M29" i="78"/>
  <c r="AY115" i="3" l="1"/>
  <c r="AY66" i="3"/>
  <c r="K7" i="1"/>
  <c r="F71" i="78"/>
  <c r="M7" i="78"/>
  <c r="J6" i="78" s="1"/>
  <c r="J18" i="78" s="1"/>
  <c r="C6" i="78"/>
  <c r="C32" i="78" s="1"/>
  <c r="F50" i="78"/>
  <c r="C49" i="78" s="1"/>
  <c r="Q74" i="78"/>
  <c r="Q61" i="78"/>
  <c r="AY131" i="3"/>
  <c r="AY59" i="3"/>
  <c r="AY155" i="3"/>
  <c r="AY23" i="3"/>
  <c r="AY83" i="3"/>
  <c r="AY281" i="3"/>
  <c r="AY152" i="3"/>
  <c r="AY42" i="3"/>
  <c r="AY95" i="3"/>
  <c r="AY124" i="3"/>
  <c r="AY144" i="3"/>
  <c r="AY207" i="3"/>
  <c r="AY34" i="3"/>
  <c r="AY51" i="3"/>
  <c r="C33" i="78"/>
  <c r="M7" i="15"/>
  <c r="J6" i="15" s="1"/>
  <c r="J18" i="15" s="1"/>
  <c r="C6" i="15"/>
  <c r="C32" i="15" s="1"/>
  <c r="F50" i="15"/>
  <c r="C49" i="15" s="1"/>
  <c r="F71" i="15"/>
  <c r="E322" i="3"/>
  <c r="O6" i="3"/>
  <c r="E97" i="3"/>
  <c r="E570" i="3"/>
  <c r="E335" i="3"/>
  <c r="E185" i="3"/>
  <c r="E161"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526" i="3"/>
  <c r="E359" i="3"/>
  <c r="AB6" i="3"/>
  <c r="E135" i="3"/>
  <c r="E85" i="3"/>
  <c r="E238" i="3"/>
  <c r="E116" i="3"/>
  <c r="E105" i="3"/>
  <c r="E379" i="3"/>
  <c r="E585" i="3"/>
  <c r="U6" i="3"/>
  <c r="E515" i="3"/>
  <c r="E411" i="3"/>
  <c r="E478"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216" i="3"/>
  <c r="E140" i="3"/>
  <c r="E223" i="3"/>
  <c r="E197" i="3"/>
  <c r="E173" i="3"/>
  <c r="E327" i="3"/>
  <c r="E576" i="3"/>
  <c r="Z6" i="3"/>
  <c r="AG6" i="3"/>
  <c r="AO6" i="3"/>
  <c r="E448" i="3"/>
  <c r="E485" i="3"/>
  <c r="P6" i="3"/>
  <c r="E400" i="3"/>
  <c r="E443" i="3"/>
  <c r="E345" i="3"/>
  <c r="E558" i="3"/>
  <c r="E557" i="3"/>
  <c r="E581" i="3"/>
  <c r="E531" i="3"/>
  <c r="E444" i="3"/>
  <c r="E489" i="3"/>
  <c r="E404" i="3"/>
  <c r="E28" i="3"/>
  <c r="E40" i="3"/>
  <c r="E104" i="3"/>
  <c r="E25" i="3"/>
  <c r="E41" i="3"/>
  <c r="E108" i="3"/>
  <c r="E115" i="3"/>
  <c r="E178" i="3"/>
  <c r="E198" i="3"/>
  <c r="E119" i="3"/>
  <c r="E139" i="3"/>
  <c r="E202" i="3"/>
  <c r="E225" i="3"/>
  <c r="E242" i="3"/>
  <c r="E281" i="3"/>
  <c r="E226"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6" i="1"/>
  <c r="E125" i="3"/>
  <c r="I4" i="6"/>
  <c r="J68" i="39"/>
  <c r="I70" i="39"/>
  <c r="F1" i="78"/>
  <c r="Q52" i="78"/>
  <c r="Q66" i="78"/>
  <c r="Q57" i="78"/>
  <c r="Q73" i="78"/>
  <c r="Q60" i="78"/>
  <c r="F11" i="78"/>
  <c r="M11" i="78"/>
  <c r="C48" i="69"/>
  <c r="F48" i="68"/>
  <c r="C48" i="68"/>
  <c r="C30" i="68"/>
  <c r="O28" i="77"/>
  <c r="M28" i="77"/>
  <c r="P28" i="77"/>
  <c r="N28" i="77"/>
  <c r="G20" i="77" s="1"/>
  <c r="F31" i="6"/>
  <c r="E27" i="6"/>
  <c r="AY103" i="3"/>
  <c r="AY67" i="3"/>
  <c r="AY50" i="3"/>
  <c r="AY196" i="3"/>
  <c r="AY160" i="3"/>
  <c r="AY139" i="3"/>
  <c r="AY289" i="3"/>
  <c r="AY74" i="3"/>
  <c r="AY183" i="3"/>
  <c r="AY123"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2" i="3"/>
  <c r="AY132" i="3"/>
  <c r="AY292" i="3"/>
  <c r="AY147" i="3"/>
  <c r="AY220" i="3"/>
  <c r="AY350"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75" i="3"/>
  <c r="AY237" i="3"/>
  <c r="AY387" i="3"/>
  <c r="AY334"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D3" i="34"/>
  <c r="D3" i="33"/>
  <c r="E6" i="6"/>
  <c r="D37" i="11"/>
  <c r="C37" i="11" s="1"/>
  <c r="D14" i="12"/>
  <c r="M18" i="9"/>
  <c r="B118" i="9" s="1"/>
  <c r="D19" i="11"/>
  <c r="C19" i="11" s="1"/>
  <c r="D3" i="37"/>
  <c r="D24" i="6"/>
  <c r="D29" i="6"/>
  <c r="D3" i="21"/>
  <c r="C17" i="4"/>
  <c r="B4" i="52" s="1"/>
  <c r="B43" i="72" s="1"/>
  <c r="D25" i="6"/>
  <c r="D22" i="6"/>
  <c r="D12" i="6"/>
  <c r="D13" i="6"/>
  <c r="AC6" i="3"/>
  <c r="H6" i="3"/>
  <c r="D20" i="6"/>
  <c r="D11" i="6"/>
  <c r="D10" i="6"/>
  <c r="D23" i="6"/>
  <c r="D19" i="6"/>
  <c r="E65" i="39"/>
  <c r="E60" i="40"/>
  <c r="E16" i="6"/>
  <c r="D21" i="6"/>
  <c r="D5" i="6"/>
  <c r="D28" i="6"/>
  <c r="D30" i="6" s="1"/>
  <c r="D9" i="6"/>
  <c r="D14" i="6"/>
  <c r="D8" i="6"/>
  <c r="D26" i="6"/>
  <c r="P8" i="1"/>
  <c r="P16" i="1" s="1"/>
  <c r="C11" i="12" s="1"/>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S7" i="33"/>
  <c r="AA7" i="33"/>
  <c r="R48" i="33" s="1"/>
  <c r="F48" i="35"/>
  <c r="E58" i="21"/>
  <c r="AC7" i="36"/>
  <c r="V36" i="36" s="1"/>
  <c r="I36" i="36" s="1"/>
  <c r="W7" i="36"/>
  <c r="AA7" i="37"/>
  <c r="R42" i="37" s="1"/>
  <c r="S7" i="37"/>
  <c r="M59" i="34"/>
  <c r="M17" i="67"/>
  <c r="M17" i="15"/>
  <c r="F59" i="15"/>
  <c r="P24" i="43"/>
  <c r="B66" i="40" s="1"/>
  <c r="P21" i="43"/>
  <c r="P25" i="43"/>
  <c r="P23" i="43"/>
  <c r="B71" i="39" s="1"/>
  <c r="M20" i="43"/>
  <c r="B40" i="1"/>
  <c r="F24" i="78" s="1"/>
  <c r="Q60" i="67"/>
  <c r="Q73" i="67"/>
  <c r="M28" i="43"/>
  <c r="N28" i="43"/>
  <c r="G20" i="43" s="1"/>
  <c r="O28" i="43"/>
  <c r="P28" i="43"/>
  <c r="M11" i="67"/>
  <c r="J10" i="67" s="1"/>
  <c r="F11" i="15"/>
  <c r="M11" i="15"/>
  <c r="J10" i="15" s="1"/>
  <c r="J5" i="15" s="1"/>
  <c r="F11" i="67"/>
  <c r="F1" i="15"/>
  <c r="Q52" i="15"/>
  <c r="F1" i="67"/>
  <c r="Q52" i="67"/>
  <c r="Q60" i="15"/>
  <c r="Q73" i="15"/>
  <c r="Q61" i="67"/>
  <c r="Q74" i="67"/>
  <c r="Q74" i="15"/>
  <c r="Q61" i="15"/>
  <c r="AE7" i="1"/>
  <c r="M29" i="67"/>
  <c r="AE6" i="1"/>
  <c r="F7" i="67"/>
  <c r="F41" i="15"/>
  <c r="F41" i="67"/>
  <c r="C16" i="15"/>
  <c r="C16" i="78"/>
  <c r="F43" i="67"/>
  <c r="B1" i="74" l="1"/>
  <c r="F69" i="67"/>
  <c r="AG6" i="1"/>
  <c r="C6" i="67"/>
  <c r="C32" i="67" s="1"/>
  <c r="F50" i="67"/>
  <c r="M7" i="67"/>
  <c r="J6" i="67" s="1"/>
  <c r="J18" i="67" s="1"/>
  <c r="F71" i="67"/>
  <c r="Q16" i="1"/>
  <c r="F27" i="69" s="1"/>
  <c r="J10" i="78"/>
  <c r="J5" i="78" s="1"/>
  <c r="J24" i="78" s="1"/>
  <c r="M7" i="1"/>
  <c r="M16" i="1" s="1"/>
  <c r="C34" i="69"/>
  <c r="G16" i="1"/>
  <c r="H16" i="1"/>
  <c r="K16" i="1"/>
  <c r="E66" i="39"/>
  <c r="G3" i="43"/>
  <c r="G3" i="77"/>
  <c r="F27" i="11"/>
  <c r="O6" i="1"/>
  <c r="O16" i="1" s="1"/>
  <c r="K68" i="39"/>
  <c r="J70" i="39"/>
  <c r="AG7" i="1"/>
  <c r="F69" i="15"/>
  <c r="C24" i="78"/>
  <c r="C53" i="78"/>
  <c r="C48" i="78" s="1"/>
  <c r="C10" i="78"/>
  <c r="C5" i="78" s="1"/>
  <c r="E41" i="77"/>
  <c r="C41" i="77" s="1"/>
  <c r="C20" i="77"/>
  <c r="E41" i="43"/>
  <c r="C41" i="43" s="1"/>
  <c r="C20" i="43"/>
  <c r="K20" i="6"/>
  <c r="K22" i="6"/>
  <c r="M22" i="6" s="1"/>
  <c r="I22" i="6" s="1"/>
  <c r="S22" i="6" s="1"/>
  <c r="K23" i="6"/>
  <c r="M23" i="6" s="1"/>
  <c r="I23" i="6" s="1"/>
  <c r="S23" i="6" s="1"/>
  <c r="K19" i="6"/>
  <c r="E31" i="6"/>
  <c r="K24" i="6"/>
  <c r="M24" i="6" s="1"/>
  <c r="I24" i="6" s="1"/>
  <c r="S24" i="6" s="1"/>
  <c r="K25" i="6"/>
  <c r="M25" i="6" s="1"/>
  <c r="I25" i="6" s="1"/>
  <c r="K26" i="6"/>
  <c r="M26" i="6" s="1"/>
  <c r="I26" i="6" s="1"/>
  <c r="K21" i="6"/>
  <c r="M21" i="6" s="1"/>
  <c r="I21" i="6" s="1"/>
  <c r="C18" i="4"/>
  <c r="E61" i="40"/>
  <c r="H22" i="6"/>
  <c r="R22" i="6" s="1"/>
  <c r="M19" i="9"/>
  <c r="C118" i="9" s="1"/>
  <c r="D15" i="6"/>
  <c r="D16" i="6" s="1"/>
  <c r="E6" i="3"/>
  <c r="C20" i="11"/>
  <c r="D17" i="12"/>
  <c r="C17" i="12" s="1"/>
  <c r="C14" i="12"/>
  <c r="D10" i="11"/>
  <c r="C10" i="11" s="1"/>
  <c r="D10" i="68"/>
  <c r="D10" i="69"/>
  <c r="D20" i="12"/>
  <c r="C20" i="12" s="1"/>
  <c r="D6" i="6"/>
  <c r="D27" i="6"/>
  <c r="D31" i="6" s="1"/>
  <c r="C7" i="74"/>
  <c r="C15" i="12"/>
  <c r="C12" i="12"/>
  <c r="F58" i="21"/>
  <c r="R37" i="36"/>
  <c r="E36" i="36"/>
  <c r="F63" i="40"/>
  <c r="E65" i="40"/>
  <c r="I52" i="33"/>
  <c r="J52" i="33" s="1"/>
  <c r="N59" i="34"/>
  <c r="R43" i="37"/>
  <c r="E42" i="37"/>
  <c r="I40" i="36"/>
  <c r="J40" i="36" s="1"/>
  <c r="I41" i="36"/>
  <c r="J41" i="36" s="1"/>
  <c r="G48" i="35"/>
  <c r="R49" i="33"/>
  <c r="E48" i="33"/>
  <c r="I53" i="33" s="1"/>
  <c r="J53" i="33" s="1"/>
  <c r="G40" i="36"/>
  <c r="H40" i="36" s="1"/>
  <c r="G41" i="36"/>
  <c r="H41" i="36" s="1"/>
  <c r="I47" i="37"/>
  <c r="J47" i="37" s="1"/>
  <c r="I46" i="37"/>
  <c r="J46" i="37" s="1"/>
  <c r="G46" i="37"/>
  <c r="H46" i="37" s="1"/>
  <c r="G47" i="37"/>
  <c r="H47" i="37" s="1"/>
  <c r="G52" i="33"/>
  <c r="H52" i="33" s="1"/>
  <c r="G53" i="33"/>
  <c r="H53" i="33" s="1"/>
  <c r="J24" i="15"/>
  <c r="C53" i="67"/>
  <c r="C10" i="67"/>
  <c r="C53" i="15"/>
  <c r="C48" i="15" s="1"/>
  <c r="C10" i="15"/>
  <c r="C5" i="15" s="1"/>
  <c r="F25" i="12"/>
  <c r="F22" i="69"/>
  <c r="F41" i="69" s="1"/>
  <c r="F24" i="67"/>
  <c r="C24" i="67" s="1"/>
  <c r="F22" i="11"/>
  <c r="F22" i="68"/>
  <c r="F24" i="15"/>
  <c r="C24" i="15" s="1"/>
  <c r="F41" i="78"/>
  <c r="M27" i="67"/>
  <c r="M27" i="78"/>
  <c r="C16" i="67"/>
  <c r="M27" i="15"/>
  <c r="F69" i="78" l="1"/>
  <c r="B2" i="74"/>
  <c r="H23" i="6"/>
  <c r="R23" i="6" s="1"/>
  <c r="H24" i="6"/>
  <c r="R24" i="6" s="1"/>
  <c r="F28" i="12"/>
  <c r="C29" i="12" s="1"/>
  <c r="D28" i="12" s="1"/>
  <c r="C5" i="67"/>
  <c r="C38" i="67" s="1"/>
  <c r="J5" i="67"/>
  <c r="J26" i="67" s="1"/>
  <c r="J29" i="67" s="1"/>
  <c r="C28" i="11"/>
  <c r="C27" i="11" s="1"/>
  <c r="F27" i="68"/>
  <c r="C29" i="68" s="1"/>
  <c r="D27" i="68" s="1"/>
  <c r="F59" i="67"/>
  <c r="C49" i="67"/>
  <c r="C48" i="67" s="1"/>
  <c r="C35" i="69"/>
  <c r="C38" i="69"/>
  <c r="J10" i="39"/>
  <c r="J10" i="40"/>
  <c r="H10" i="39"/>
  <c r="F10" i="39"/>
  <c r="F10" i="40"/>
  <c r="H10" i="40"/>
  <c r="C29" i="11"/>
  <c r="D27" i="11" s="1"/>
  <c r="C47" i="11"/>
  <c r="D45" i="11" s="1"/>
  <c r="I101" i="43"/>
  <c r="AD11" i="43"/>
  <c r="AD13" i="43" s="1"/>
  <c r="AI11" i="43"/>
  <c r="AI13" i="43" s="1"/>
  <c r="AA11" i="43"/>
  <c r="AA13" i="43" s="1"/>
  <c r="M101" i="43"/>
  <c r="AJ11" i="43"/>
  <c r="AJ13" i="43" s="1"/>
  <c r="AB11" i="43"/>
  <c r="AB13" i="43" s="1"/>
  <c r="AG11" i="43"/>
  <c r="AG13" i="43" s="1"/>
  <c r="Y11" i="43"/>
  <c r="Y13" i="43" s="1"/>
  <c r="S3" i="43"/>
  <c r="K101" i="43"/>
  <c r="N101" i="43"/>
  <c r="B113" i="43"/>
  <c r="C101" i="43"/>
  <c r="N104" i="46"/>
  <c r="H101" i="43"/>
  <c r="S2" i="43"/>
  <c r="T2" i="43" s="1"/>
  <c r="V2" i="43" s="1"/>
  <c r="C23" i="43"/>
  <c r="D101" i="43"/>
  <c r="AH11" i="43"/>
  <c r="AH13" i="43" s="1"/>
  <c r="Z11" i="43"/>
  <c r="Z13" i="43" s="1"/>
  <c r="AE11" i="43"/>
  <c r="AE13" i="43" s="1"/>
  <c r="H22" i="43"/>
  <c r="E101" i="43"/>
  <c r="AF11" i="43"/>
  <c r="AF13" i="43" s="1"/>
  <c r="Z7" i="43"/>
  <c r="AC11" i="43"/>
  <c r="AC13" i="43" s="1"/>
  <c r="S6" i="43"/>
  <c r="J22" i="43"/>
  <c r="F22" i="43"/>
  <c r="F101" i="43"/>
  <c r="E22" i="43"/>
  <c r="G101" i="43"/>
  <c r="J101" i="43"/>
  <c r="L101" i="43"/>
  <c r="G22" i="43"/>
  <c r="S5" i="43"/>
  <c r="T5" i="43" s="1"/>
  <c r="V5" i="43" s="1"/>
  <c r="S7" i="43"/>
  <c r="S4" i="43"/>
  <c r="T4" i="43" s="1"/>
  <c r="V4" i="43" s="1"/>
  <c r="C34" i="68"/>
  <c r="C34" i="11"/>
  <c r="L16" i="1"/>
  <c r="N16" i="1"/>
  <c r="F45" i="69"/>
  <c r="C29" i="69"/>
  <c r="D27" i="69" s="1"/>
  <c r="C47" i="69"/>
  <c r="D45" i="69" s="1"/>
  <c r="S2" i="77"/>
  <c r="S6" i="77"/>
  <c r="T6" i="77" s="1"/>
  <c r="V6" i="77" s="1"/>
  <c r="AC11" i="77"/>
  <c r="AC13" i="77" s="1"/>
  <c r="M101" i="77"/>
  <c r="E101" i="77"/>
  <c r="D101" i="77"/>
  <c r="C23" i="77"/>
  <c r="C21" i="77" s="1"/>
  <c r="C29" i="77" s="1"/>
  <c r="S4" i="77"/>
  <c r="T4" i="77" s="1"/>
  <c r="V4" i="77" s="1"/>
  <c r="AB11" i="77"/>
  <c r="AB13" i="77" s="1"/>
  <c r="AJ11" i="77"/>
  <c r="AJ13" i="77" s="1"/>
  <c r="S3" i="77"/>
  <c r="AE11" i="77"/>
  <c r="AE13" i="77" s="1"/>
  <c r="B113" i="77"/>
  <c r="G101" i="77"/>
  <c r="H101" i="77"/>
  <c r="F101" i="77"/>
  <c r="E22" i="77"/>
  <c r="Z11" i="77"/>
  <c r="Z13" i="77" s="1"/>
  <c r="AH11" i="77"/>
  <c r="AH13" i="77" s="1"/>
  <c r="H22" i="77"/>
  <c r="S5" i="77"/>
  <c r="T5" i="77" s="1"/>
  <c r="V5" i="77" s="1"/>
  <c r="Y11" i="77"/>
  <c r="Y13" i="77" s="1"/>
  <c r="AG11" i="77"/>
  <c r="AG13" i="77" s="1"/>
  <c r="I101" i="77"/>
  <c r="L101" i="77"/>
  <c r="J101" i="77"/>
  <c r="G22" i="77"/>
  <c r="Z7" i="77"/>
  <c r="AF11" i="77"/>
  <c r="AF13" i="77" s="1"/>
  <c r="F22" i="77"/>
  <c r="AA11" i="77"/>
  <c r="AA13" i="77" s="1"/>
  <c r="AI11" i="77"/>
  <c r="AI13" i="77" s="1"/>
  <c r="K101" i="77"/>
  <c r="C101" i="77"/>
  <c r="N101" i="77"/>
  <c r="J22" i="77"/>
  <c r="S7" i="77"/>
  <c r="T7" i="77" s="1"/>
  <c r="V7" i="77" s="1"/>
  <c r="AD11" i="77"/>
  <c r="AD13" i="77" s="1"/>
  <c r="L68" i="39"/>
  <c r="K70" i="39"/>
  <c r="C66" i="78"/>
  <c r="C60" i="78"/>
  <c r="C38" i="78"/>
  <c r="T15" i="77"/>
  <c r="V15" i="77" s="1"/>
  <c r="T13" i="77"/>
  <c r="V13" i="77" s="1"/>
  <c r="T9" i="77"/>
  <c r="V9" i="77" s="1"/>
  <c r="T16" i="77"/>
  <c r="V16" i="77" s="1"/>
  <c r="T10" i="77"/>
  <c r="V10" i="77" s="1"/>
  <c r="T3" i="77"/>
  <c r="V3" i="77" s="1"/>
  <c r="C36" i="77"/>
  <c r="C34" i="77"/>
  <c r="T14" i="77"/>
  <c r="V14" i="77" s="1"/>
  <c r="T12" i="77"/>
  <c r="V12" i="77" s="1"/>
  <c r="T8" i="77"/>
  <c r="V8" i="77" s="1"/>
  <c r="T11" i="77"/>
  <c r="V11" i="77" s="1"/>
  <c r="T2" i="77"/>
  <c r="V2" i="77" s="1"/>
  <c r="C37" i="77"/>
  <c r="C35" i="77"/>
  <c r="C33" i="77"/>
  <c r="C38" i="77"/>
  <c r="C39" i="77"/>
  <c r="C39" i="43"/>
  <c r="C38" i="43"/>
  <c r="T12" i="43"/>
  <c r="V12" i="43" s="1"/>
  <c r="C36" i="43"/>
  <c r="T15" i="43"/>
  <c r="V15" i="43" s="1"/>
  <c r="C34" i="43"/>
  <c r="T7" i="43"/>
  <c r="V7" i="43" s="1"/>
  <c r="T16" i="43"/>
  <c r="V16" i="43" s="1"/>
  <c r="T8" i="43"/>
  <c r="V8" i="43" s="1"/>
  <c r="T14" i="43"/>
  <c r="V14" i="43" s="1"/>
  <c r="T11" i="43"/>
  <c r="V11" i="43" s="1"/>
  <c r="C35" i="43"/>
  <c r="T9" i="43"/>
  <c r="V9" i="43" s="1"/>
  <c r="C37" i="43"/>
  <c r="T6" i="43"/>
  <c r="V6" i="43" s="1"/>
  <c r="T10" i="43"/>
  <c r="V10" i="43" s="1"/>
  <c r="C33" i="43"/>
  <c r="T13" i="43"/>
  <c r="V13" i="43" s="1"/>
  <c r="T3" i="43"/>
  <c r="V3" i="43" s="1"/>
  <c r="S26" i="6"/>
  <c r="H26" i="6"/>
  <c r="R26" i="6" s="1"/>
  <c r="S6" i="1"/>
  <c r="M19" i="6"/>
  <c r="K27" i="6"/>
  <c r="S21" i="6"/>
  <c r="H21" i="6"/>
  <c r="R21" i="6" s="1"/>
  <c r="S25" i="6"/>
  <c r="H25" i="6"/>
  <c r="R25" i="6" s="1"/>
  <c r="S7" i="1"/>
  <c r="M20" i="6"/>
  <c r="I20" i="6" s="1"/>
  <c r="D7" i="74"/>
  <c r="A10" i="51"/>
  <c r="B9" i="72" s="1"/>
  <c r="C4" i="52"/>
  <c r="B45" i="72" s="1"/>
  <c r="A7" i="51"/>
  <c r="B7" i="72" s="1"/>
  <c r="I5" i="6"/>
  <c r="I6" i="6"/>
  <c r="C10" i="68"/>
  <c r="B29" i="1" s="1"/>
  <c r="C8" i="68" s="1"/>
  <c r="D19" i="68"/>
  <c r="C10" i="69"/>
  <c r="C8" i="69" s="1"/>
  <c r="C5" i="69" s="1"/>
  <c r="D19" i="69"/>
  <c r="C16" i="12"/>
  <c r="C48" i="33"/>
  <c r="C49" i="33"/>
  <c r="B2" i="33" s="1"/>
  <c r="B3" i="33" s="1"/>
  <c r="H48" i="35"/>
  <c r="C43" i="37"/>
  <c r="B2" i="37" s="1"/>
  <c r="B3" i="37" s="1"/>
  <c r="C42" i="37"/>
  <c r="E40" i="36"/>
  <c r="F40" i="36" s="1"/>
  <c r="E41" i="36"/>
  <c r="F41" i="36" s="1"/>
  <c r="E53" i="33"/>
  <c r="F53" i="33" s="1"/>
  <c r="E52" i="33"/>
  <c r="F52" i="33" s="1"/>
  <c r="E47" i="37"/>
  <c r="F47" i="37" s="1"/>
  <c r="E46" i="37"/>
  <c r="F46" i="37" s="1"/>
  <c r="O59" i="34"/>
  <c r="H7" i="34"/>
  <c r="G63" i="40"/>
  <c r="F65" i="40"/>
  <c r="C37" i="36"/>
  <c r="B2" i="36" s="1"/>
  <c r="B3" i="36" s="1"/>
  <c r="C36" i="36"/>
  <c r="G58" i="21"/>
  <c r="F41" i="68"/>
  <c r="C60" i="15"/>
  <c r="C66" i="15"/>
  <c r="C26" i="69"/>
  <c r="D22" i="69" s="1"/>
  <c r="C44" i="69"/>
  <c r="D41" i="69" s="1"/>
  <c r="C23" i="69"/>
  <c r="C44" i="68"/>
  <c r="D41" i="68" s="1"/>
  <c r="C26" i="68"/>
  <c r="D22" i="68" s="1"/>
  <c r="C26" i="12"/>
  <c r="D25" i="12" s="1"/>
  <c r="C44" i="11"/>
  <c r="D41" i="11" s="1"/>
  <c r="C23" i="11"/>
  <c r="C24" i="11"/>
  <c r="C25" i="11"/>
  <c r="C26" i="11"/>
  <c r="D22" i="11" s="1"/>
  <c r="C38" i="15"/>
  <c r="C14" i="67"/>
  <c r="C17" i="15"/>
  <c r="C17" i="78"/>
  <c r="C17" i="67"/>
  <c r="F45" i="68" l="1"/>
  <c r="J24" i="67"/>
  <c r="C47" i="68"/>
  <c r="D45" i="68" s="1"/>
  <c r="C18" i="67"/>
  <c r="C15" i="67"/>
  <c r="C60" i="67"/>
  <c r="C66" i="67"/>
  <c r="U10" i="40"/>
  <c r="AB10" i="40"/>
  <c r="AA10" i="39"/>
  <c r="S10" i="39"/>
  <c r="W10" i="40"/>
  <c r="AC10" i="40"/>
  <c r="S10" i="40"/>
  <c r="AA10" i="40"/>
  <c r="AB10" i="39"/>
  <c r="U10" i="39"/>
  <c r="AC10" i="39"/>
  <c r="W10" i="39"/>
  <c r="D106" i="77"/>
  <c r="D102" i="77"/>
  <c r="D107" i="77"/>
  <c r="D103" i="77"/>
  <c r="D104" i="77"/>
  <c r="D109" i="77"/>
  <c r="D105" i="77"/>
  <c r="M106" i="77"/>
  <c r="M102" i="77"/>
  <c r="M107" i="77"/>
  <c r="M103" i="77"/>
  <c r="M104" i="77"/>
  <c r="M109" i="77"/>
  <c r="M105" i="77"/>
  <c r="F50" i="68"/>
  <c r="F50" i="11"/>
  <c r="F50" i="69"/>
  <c r="E7" i="70"/>
  <c r="N106" i="77"/>
  <c r="N102" i="77"/>
  <c r="N105" i="77"/>
  <c r="N109" i="77"/>
  <c r="N104" i="77"/>
  <c r="N107" i="77"/>
  <c r="N103" i="77"/>
  <c r="K109" i="77"/>
  <c r="K104" i="77"/>
  <c r="K103" i="77"/>
  <c r="K107" i="77"/>
  <c r="K106" i="77"/>
  <c r="K102" i="77"/>
  <c r="K105" i="77"/>
  <c r="L106" i="77"/>
  <c r="L102" i="77"/>
  <c r="L105" i="77"/>
  <c r="L107" i="77"/>
  <c r="L104" i="77"/>
  <c r="L109" i="77"/>
  <c r="L103" i="77"/>
  <c r="D22" i="77"/>
  <c r="H107" i="77"/>
  <c r="H104" i="77"/>
  <c r="H105" i="77"/>
  <c r="H109" i="77"/>
  <c r="H106" i="77"/>
  <c r="H102" i="77"/>
  <c r="H103" i="77"/>
  <c r="D118" i="77"/>
  <c r="E118" i="77" s="1"/>
  <c r="F118" i="77" s="1"/>
  <c r="D116" i="77"/>
  <c r="E116" i="77" s="1"/>
  <c r="F116" i="77" s="1"/>
  <c r="G116" i="77" s="1"/>
  <c r="H116" i="77" s="1"/>
  <c r="I116" i="77"/>
  <c r="J116" i="77" s="1"/>
  <c r="K116" i="77" s="1"/>
  <c r="L116" i="77" s="1"/>
  <c r="M116" i="77" s="1"/>
  <c r="B117" i="77"/>
  <c r="C117" i="77" s="1"/>
  <c r="I118" i="77"/>
  <c r="J118" i="77" s="1"/>
  <c r="K118" i="77" s="1"/>
  <c r="L118" i="77" s="1"/>
  <c r="M118" i="77" s="1"/>
  <c r="B116" i="77"/>
  <c r="C116" i="77" s="1"/>
  <c r="G118" i="77"/>
  <c r="H118" i="77" s="1"/>
  <c r="D117" i="77"/>
  <c r="E117" i="77" s="1"/>
  <c r="F117" i="77" s="1"/>
  <c r="G117" i="77" s="1"/>
  <c r="H117" i="77" s="1"/>
  <c r="D115" i="77"/>
  <c r="E115" i="77" s="1"/>
  <c r="F115" i="77" s="1"/>
  <c r="G115" i="77" s="1"/>
  <c r="H115" i="77" s="1"/>
  <c r="I117" i="77"/>
  <c r="J117" i="77" s="1"/>
  <c r="K117" i="77" s="1"/>
  <c r="L117" i="77" s="1"/>
  <c r="M117" i="77" s="1"/>
  <c r="B115" i="77"/>
  <c r="B118" i="77"/>
  <c r="C118" i="77" s="1"/>
  <c r="I115" i="77"/>
  <c r="J115" i="77" s="1"/>
  <c r="K115" i="77" s="1"/>
  <c r="L115" i="77" s="1"/>
  <c r="M115" i="77" s="1"/>
  <c r="E104" i="77"/>
  <c r="E109" i="77"/>
  <c r="E105" i="77"/>
  <c r="E106" i="77"/>
  <c r="E102" i="77"/>
  <c r="E107" i="77"/>
  <c r="E103" i="77"/>
  <c r="C38" i="68"/>
  <c r="C35" i="68"/>
  <c r="J104" i="43"/>
  <c r="J102" i="43"/>
  <c r="J106" i="43"/>
  <c r="J103" i="43"/>
  <c r="J107" i="43"/>
  <c r="J109" i="43"/>
  <c r="J105" i="43"/>
  <c r="D22" i="43"/>
  <c r="E106" i="43"/>
  <c r="E109" i="43"/>
  <c r="E104" i="43"/>
  <c r="E102" i="43"/>
  <c r="E103" i="43"/>
  <c r="E107" i="43"/>
  <c r="E105" i="43"/>
  <c r="C21" i="43"/>
  <c r="C29" i="43" s="1"/>
  <c r="C30" i="43" s="1"/>
  <c r="E30" i="43" s="1"/>
  <c r="H102" i="43"/>
  <c r="H104" i="43"/>
  <c r="H107" i="43"/>
  <c r="H105" i="43"/>
  <c r="H103" i="43"/>
  <c r="H109" i="43"/>
  <c r="H106" i="43"/>
  <c r="C103" i="43"/>
  <c r="C106" i="43"/>
  <c r="C107" i="43"/>
  <c r="C105" i="43"/>
  <c r="C109" i="43"/>
  <c r="C104" i="43"/>
  <c r="C102" i="43"/>
  <c r="N106" i="43"/>
  <c r="N105" i="43"/>
  <c r="N109" i="43"/>
  <c r="N103" i="43"/>
  <c r="N102" i="43"/>
  <c r="N104" i="43"/>
  <c r="N107" i="43"/>
  <c r="E6" i="70"/>
  <c r="C109" i="77"/>
  <c r="C104" i="77"/>
  <c r="C107" i="77"/>
  <c r="C103" i="77"/>
  <c r="C106" i="77"/>
  <c r="C102" i="77"/>
  <c r="C105" i="77"/>
  <c r="J106" i="77"/>
  <c r="J102" i="77"/>
  <c r="J105" i="77"/>
  <c r="J109" i="77"/>
  <c r="J104" i="77"/>
  <c r="J107" i="77"/>
  <c r="J103" i="77"/>
  <c r="I106" i="77"/>
  <c r="I102" i="77"/>
  <c r="I107" i="77"/>
  <c r="I103" i="77"/>
  <c r="I104" i="77"/>
  <c r="I109" i="77"/>
  <c r="I105" i="77"/>
  <c r="F109" i="77"/>
  <c r="F104" i="77"/>
  <c r="F107" i="77"/>
  <c r="F103" i="77"/>
  <c r="F106" i="77"/>
  <c r="F102" i="77"/>
  <c r="F105" i="77"/>
  <c r="G103" i="77"/>
  <c r="G106" i="77"/>
  <c r="G102" i="77"/>
  <c r="G105" i="77"/>
  <c r="G109" i="77"/>
  <c r="G104" i="77"/>
  <c r="G107" i="77"/>
  <c r="C35" i="11"/>
  <c r="C38" i="11"/>
  <c r="L106" i="43"/>
  <c r="L103" i="43"/>
  <c r="L105" i="43"/>
  <c r="L109" i="43"/>
  <c r="L107" i="43"/>
  <c r="L102" i="43"/>
  <c r="L104" i="43"/>
  <c r="G107" i="43"/>
  <c r="G106" i="43"/>
  <c r="G109" i="43"/>
  <c r="G105" i="43"/>
  <c r="G104" i="43"/>
  <c r="G102" i="43"/>
  <c r="G103" i="43"/>
  <c r="F102" i="43"/>
  <c r="F109" i="43"/>
  <c r="F104" i="43"/>
  <c r="F105" i="43"/>
  <c r="F107" i="43"/>
  <c r="F103" i="43"/>
  <c r="F106" i="43"/>
  <c r="D109" i="43"/>
  <c r="D106" i="43"/>
  <c r="D103" i="43"/>
  <c r="D104" i="43"/>
  <c r="D105" i="43"/>
  <c r="D102" i="43"/>
  <c r="D107" i="43"/>
  <c r="G118" i="43"/>
  <c r="H118" i="43" s="1"/>
  <c r="D115" i="43"/>
  <c r="E115" i="43" s="1"/>
  <c r="F115" i="43" s="1"/>
  <c r="G115" i="43" s="1"/>
  <c r="H115" i="43" s="1"/>
  <c r="B115" i="43"/>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D118" i="43"/>
  <c r="E118" i="43" s="1"/>
  <c r="F118" i="43" s="1"/>
  <c r="I115" i="43"/>
  <c r="J115" i="43" s="1"/>
  <c r="K115" i="43" s="1"/>
  <c r="L115" i="43" s="1"/>
  <c r="M115" i="43" s="1"/>
  <c r="B118" i="43"/>
  <c r="C118" i="43" s="1"/>
  <c r="B117" i="43"/>
  <c r="C117" i="43" s="1"/>
  <c r="D117" i="43"/>
  <c r="E117" i="43" s="1"/>
  <c r="F117" i="43" s="1"/>
  <c r="G117" i="43" s="1"/>
  <c r="H117" i="43" s="1"/>
  <c r="K102" i="43"/>
  <c r="K107" i="43"/>
  <c r="K103" i="43"/>
  <c r="K105" i="43"/>
  <c r="K104" i="43"/>
  <c r="K106" i="43"/>
  <c r="K109" i="43"/>
  <c r="M102" i="43"/>
  <c r="M103" i="43"/>
  <c r="M105" i="43"/>
  <c r="M109" i="43"/>
  <c r="M106" i="43"/>
  <c r="M104" i="43"/>
  <c r="M107" i="43"/>
  <c r="I109" i="43"/>
  <c r="I107" i="43"/>
  <c r="I106" i="43"/>
  <c r="I103" i="43"/>
  <c r="I104" i="43"/>
  <c r="I105" i="43"/>
  <c r="I102" i="43"/>
  <c r="M68" i="39"/>
  <c r="L70" i="39"/>
  <c r="C18" i="12"/>
  <c r="C21" i="12" s="1"/>
  <c r="C22" i="12" s="1"/>
  <c r="C27" i="12" s="1"/>
  <c r="C25" i="12" s="1"/>
  <c r="G38" i="77"/>
  <c r="I38" i="77" s="1"/>
  <c r="E38" i="77"/>
  <c r="G35" i="77"/>
  <c r="I35" i="77" s="1"/>
  <c r="E35" i="77"/>
  <c r="G34" i="77"/>
  <c r="I34" i="77" s="1"/>
  <c r="E34" i="77"/>
  <c r="G39" i="77"/>
  <c r="I39" i="77" s="1"/>
  <c r="E39" i="77"/>
  <c r="G33" i="77"/>
  <c r="I33" i="77" s="1"/>
  <c r="E33" i="77"/>
  <c r="G37" i="77"/>
  <c r="I37" i="77" s="1"/>
  <c r="E37" i="77"/>
  <c r="C30" i="77"/>
  <c r="E30" i="77" s="1"/>
  <c r="E29" i="77"/>
  <c r="G36" i="77"/>
  <c r="I36" i="77" s="1"/>
  <c r="E36" i="77"/>
  <c r="G33" i="43"/>
  <c r="I33" i="43" s="1"/>
  <c r="E33" i="43"/>
  <c r="E37" i="43"/>
  <c r="G37" i="43"/>
  <c r="I37" i="43" s="1"/>
  <c r="E35" i="43"/>
  <c r="G35" i="43"/>
  <c r="I35" i="43" s="1"/>
  <c r="G34" i="43"/>
  <c r="I34" i="43" s="1"/>
  <c r="E34" i="43"/>
  <c r="E36" i="43"/>
  <c r="G36" i="43"/>
  <c r="I36" i="43" s="1"/>
  <c r="E38" i="43"/>
  <c r="G38" i="43"/>
  <c r="I38" i="43" s="1"/>
  <c r="E39" i="43"/>
  <c r="G39" i="43"/>
  <c r="I39" i="43" s="1"/>
  <c r="AR7" i="1"/>
  <c r="T7" i="1"/>
  <c r="AQ7" i="1"/>
  <c r="M27" i="6"/>
  <c r="I19" i="6"/>
  <c r="L18" i="9" s="1"/>
  <c r="S20" i="6"/>
  <c r="H20" i="6"/>
  <c r="R20" i="6" s="1"/>
  <c r="S16" i="1"/>
  <c r="AQ6" i="1"/>
  <c r="T6" i="1"/>
  <c r="AR6" i="1"/>
  <c r="C19" i="69"/>
  <c r="C24" i="69" s="1"/>
  <c r="D37" i="69"/>
  <c r="C37" i="69" s="1"/>
  <c r="C33" i="69" s="1"/>
  <c r="C19" i="68"/>
  <c r="D37" i="68"/>
  <c r="C37" i="68" s="1"/>
  <c r="AB7" i="34"/>
  <c r="T49" i="34" s="1"/>
  <c r="G49" i="34" s="1"/>
  <c r="U7" i="34"/>
  <c r="H58" i="21"/>
  <c r="G65" i="40"/>
  <c r="H63" i="40"/>
  <c r="J7" i="34"/>
  <c r="F7" i="34"/>
  <c r="I48" i="35"/>
  <c r="C33" i="15"/>
  <c r="J59" i="15"/>
  <c r="J60" i="15" s="1"/>
  <c r="C22" i="11"/>
  <c r="C31" i="11" s="1"/>
  <c r="C14" i="78"/>
  <c r="C14" i="15"/>
  <c r="E29" i="43" l="1"/>
  <c r="C26" i="43" s="1"/>
  <c r="B2" i="43" s="1"/>
  <c r="C33" i="68"/>
  <c r="C39" i="68" s="1"/>
  <c r="C19" i="67"/>
  <c r="C20" i="67" s="1"/>
  <c r="C33" i="11"/>
  <c r="C42" i="11" s="1"/>
  <c r="E2" i="70"/>
  <c r="C15" i="15"/>
  <c r="C18" i="15"/>
  <c r="C18" i="78"/>
  <c r="C15" i="78"/>
  <c r="C39" i="11"/>
  <c r="T16" i="1"/>
  <c r="C115" i="43"/>
  <c r="D113" i="43" s="1"/>
  <c r="C115" i="77"/>
  <c r="D113" i="77" s="1"/>
  <c r="N68" i="39"/>
  <c r="M70" i="39"/>
  <c r="C26" i="77"/>
  <c r="B2" i="77" s="1"/>
  <c r="C27" i="77"/>
  <c r="C27" i="43"/>
  <c r="C20" i="69"/>
  <c r="C25" i="69" s="1"/>
  <c r="C22" i="69" s="1"/>
  <c r="S19" i="6"/>
  <c r="S27" i="6" s="1"/>
  <c r="I27" i="6"/>
  <c r="H19" i="6"/>
  <c r="L19" i="9" s="1"/>
  <c r="C39" i="69"/>
  <c r="C43" i="69" s="1"/>
  <c r="C42" i="69"/>
  <c r="C24" i="68"/>
  <c r="C30" i="12"/>
  <c r="C28" i="12" s="1"/>
  <c r="C32" i="12" s="1"/>
  <c r="B2" i="12" s="1"/>
  <c r="B3" i="12" s="1"/>
  <c r="AA7" i="34"/>
  <c r="R49" i="34" s="1"/>
  <c r="S7" i="34"/>
  <c r="I63" i="40"/>
  <c r="H65" i="40"/>
  <c r="J48" i="35"/>
  <c r="W7" i="34"/>
  <c r="AC7" i="34"/>
  <c r="V49" i="34" s="1"/>
  <c r="I49" i="34" s="1"/>
  <c r="G54" i="34" s="1"/>
  <c r="H54" i="34" s="1"/>
  <c r="I58" i="21"/>
  <c r="G53" i="34"/>
  <c r="H53" i="34" s="1"/>
  <c r="Q48" i="15"/>
  <c r="B6" i="76"/>
  <c r="B7" i="76"/>
  <c r="E6" i="76"/>
  <c r="E7" i="76"/>
  <c r="B3" i="77" l="1"/>
  <c r="C6" i="68"/>
  <c r="C28" i="69"/>
  <c r="C27" i="69" s="1"/>
  <c r="C42" i="68"/>
  <c r="C26" i="67"/>
  <c r="C23" i="67"/>
  <c r="C31" i="69"/>
  <c r="C19" i="15"/>
  <c r="C20" i="15" s="1"/>
  <c r="C19" i="78"/>
  <c r="C20" i="78" s="1"/>
  <c r="C26" i="78" s="1"/>
  <c r="C46" i="11"/>
  <c r="C45" i="11" s="1"/>
  <c r="C43" i="11"/>
  <c r="C41" i="11" s="1"/>
  <c r="O68" i="39"/>
  <c r="O70" i="39" s="1"/>
  <c r="N70" i="39"/>
  <c r="C41" i="69"/>
  <c r="E2" i="76"/>
  <c r="B2" i="76"/>
  <c r="C7" i="68" s="1"/>
  <c r="C5" i="68" s="1"/>
  <c r="B3" i="43"/>
  <c r="R19" i="6"/>
  <c r="R7" i="1" s="1"/>
  <c r="H27" i="6"/>
  <c r="C46" i="69"/>
  <c r="C45" i="69" s="1"/>
  <c r="C49" i="69" s="1"/>
  <c r="C51" i="69" s="1"/>
  <c r="C46" i="68"/>
  <c r="C45" i="68" s="1"/>
  <c r="C43" i="68"/>
  <c r="C41" i="68" s="1"/>
  <c r="J58" i="21"/>
  <c r="I53" i="34"/>
  <c r="J53" i="34" s="1"/>
  <c r="K48" i="35"/>
  <c r="J63" i="40"/>
  <c r="I65" i="40"/>
  <c r="R50" i="34"/>
  <c r="E49" i="34"/>
  <c r="M21" i="67"/>
  <c r="F35" i="67"/>
  <c r="C29" i="67" l="1"/>
  <c r="C13" i="67" s="1"/>
  <c r="J20" i="67"/>
  <c r="C34" i="67"/>
  <c r="F63" i="67"/>
  <c r="C62" i="67" s="1"/>
  <c r="C49" i="11"/>
  <c r="C51" i="11" s="1"/>
  <c r="C52" i="11" s="1"/>
  <c r="B2" i="11" s="1"/>
  <c r="B3" i="11" s="1"/>
  <c r="C26" i="15"/>
  <c r="C23" i="15"/>
  <c r="C23" i="78"/>
  <c r="C29" i="78" s="1"/>
  <c r="J59" i="78" s="1"/>
  <c r="J60" i="78" s="1"/>
  <c r="J7" i="39"/>
  <c r="F7" i="39"/>
  <c r="H7" i="39"/>
  <c r="C49" i="68"/>
  <c r="C51" i="68" s="1"/>
  <c r="C23" i="68"/>
  <c r="C20" i="68"/>
  <c r="B3" i="76"/>
  <c r="R6" i="1"/>
  <c r="R27" i="6"/>
  <c r="C52" i="69"/>
  <c r="B2" i="69" s="1"/>
  <c r="B3" i="69" s="1"/>
  <c r="C49" i="34"/>
  <c r="C50" i="34"/>
  <c r="B2" i="34" s="1"/>
  <c r="B3" i="34" s="1"/>
  <c r="J65" i="40"/>
  <c r="K63" i="40"/>
  <c r="L48" i="35"/>
  <c r="E54" i="34"/>
  <c r="F54" i="34" s="1"/>
  <c r="E53" i="34"/>
  <c r="F53" i="34" s="1"/>
  <c r="I54" i="34"/>
  <c r="J54" i="34" s="1"/>
  <c r="K58" i="21"/>
  <c r="F35" i="78"/>
  <c r="M21" i="15"/>
  <c r="M21" i="78"/>
  <c r="F35" i="15"/>
  <c r="Q48" i="78" l="1"/>
  <c r="L46" i="78"/>
  <c r="Q49" i="67"/>
  <c r="C37" i="67"/>
  <c r="C56" i="67"/>
  <c r="C65" i="67" s="1"/>
  <c r="C75" i="67"/>
  <c r="J14" i="67"/>
  <c r="J59" i="67"/>
  <c r="J60" i="67" s="1"/>
  <c r="Q48" i="67" s="1"/>
  <c r="J19" i="67"/>
  <c r="J17" i="67" s="1"/>
  <c r="C57" i="67"/>
  <c r="C36" i="67"/>
  <c r="C33" i="67"/>
  <c r="C31" i="67" s="1"/>
  <c r="Q70" i="67"/>
  <c r="C56" i="11"/>
  <c r="C57" i="11" s="1"/>
  <c r="C29" i="15"/>
  <c r="C36" i="78"/>
  <c r="C57" i="78"/>
  <c r="J19" i="78"/>
  <c r="J14" i="78"/>
  <c r="C13" i="78"/>
  <c r="Q49" i="78"/>
  <c r="S7" i="39"/>
  <c r="AA7" i="39"/>
  <c r="R47" i="39" s="1"/>
  <c r="U7" i="39"/>
  <c r="AB7" i="39"/>
  <c r="T47" i="39" s="1"/>
  <c r="G47" i="39" s="1"/>
  <c r="W7" i="39"/>
  <c r="AC7" i="39"/>
  <c r="V47" i="39" s="1"/>
  <c r="I47" i="39" s="1"/>
  <c r="I51" i="39" s="1"/>
  <c r="J51" i="39" s="1"/>
  <c r="F63" i="78"/>
  <c r="C62" i="78" s="1"/>
  <c r="C34" i="78"/>
  <c r="C31" i="78" s="1"/>
  <c r="J20" i="78"/>
  <c r="C34" i="15"/>
  <c r="C31" i="15" s="1"/>
  <c r="F63" i="15"/>
  <c r="C62" i="15" s="1"/>
  <c r="J20" i="15"/>
  <c r="R16" i="1"/>
  <c r="C25" i="68"/>
  <c r="C22" i="68" s="1"/>
  <c r="C28" i="68"/>
  <c r="C27" i="68" s="1"/>
  <c r="C57" i="69"/>
  <c r="C56" i="69" s="1"/>
  <c r="M48" i="35"/>
  <c r="K65" i="40"/>
  <c r="L63" i="40"/>
  <c r="L58" i="21"/>
  <c r="M58" i="21" s="1"/>
  <c r="N58" i="21" s="1"/>
  <c r="O58" i="21" s="1"/>
  <c r="J7" i="21" s="1"/>
  <c r="H7" i="21"/>
  <c r="J17" i="78" l="1"/>
  <c r="C30" i="67"/>
  <c r="C39" i="67" s="1"/>
  <c r="Q69" i="67" s="1"/>
  <c r="Q68" i="67" s="1"/>
  <c r="C64" i="67"/>
  <c r="C61" i="67"/>
  <c r="C59" i="67" s="1"/>
  <c r="J13" i="67"/>
  <c r="J23" i="67" s="1"/>
  <c r="J22" i="67"/>
  <c r="J14" i="15"/>
  <c r="C13" i="15"/>
  <c r="C57" i="15"/>
  <c r="C36" i="15"/>
  <c r="J19" i="15"/>
  <c r="J17" i="15" s="1"/>
  <c r="Q49" i="15"/>
  <c r="J13" i="78"/>
  <c r="J23" i="78" s="1"/>
  <c r="J22" i="78"/>
  <c r="C64" i="78"/>
  <c r="C61" i="78"/>
  <c r="C59" i="78" s="1"/>
  <c r="Q70" i="78"/>
  <c r="C75" i="78"/>
  <c r="C37" i="78"/>
  <c r="C30" i="78" s="1"/>
  <c r="C39" i="78" s="1"/>
  <c r="C56" i="78"/>
  <c r="C65" i="78" s="1"/>
  <c r="G51" i="39"/>
  <c r="H51" i="39" s="1"/>
  <c r="G52" i="39"/>
  <c r="H52" i="39" s="1"/>
  <c r="R48" i="39"/>
  <c r="E47" i="39"/>
  <c r="L57" i="15"/>
  <c r="L60" i="15" s="1"/>
  <c r="C31" i="68"/>
  <c r="C52" i="68" s="1"/>
  <c r="W7" i="21"/>
  <c r="AC7" i="21"/>
  <c r="V48" i="21" s="1"/>
  <c r="I48" i="21" s="1"/>
  <c r="F7" i="21"/>
  <c r="L65" i="40"/>
  <c r="M63" i="40"/>
  <c r="N48" i="35"/>
  <c r="O48" i="35" s="1"/>
  <c r="F7" i="35"/>
  <c r="AB7" i="21"/>
  <c r="T48" i="21" s="1"/>
  <c r="G48" i="21" s="1"/>
  <c r="U7" i="21"/>
  <c r="L51" i="78"/>
  <c r="L51" i="67"/>
  <c r="J16" i="67" l="1"/>
  <c r="J25" i="67" s="1"/>
  <c r="C58" i="67"/>
  <c r="C67" i="67" s="1"/>
  <c r="C68" i="67" s="1"/>
  <c r="C71" i="67" s="1"/>
  <c r="C40" i="67"/>
  <c r="C83" i="67" s="1"/>
  <c r="C82" i="67" s="1"/>
  <c r="L57" i="67"/>
  <c r="L60" i="67" s="1"/>
  <c r="Q57" i="67" s="1"/>
  <c r="Q67" i="67"/>
  <c r="C80" i="67"/>
  <c r="C79" i="67" s="1"/>
  <c r="L46" i="67"/>
  <c r="C61" i="15"/>
  <c r="C59" i="15" s="1"/>
  <c r="C64" i="15"/>
  <c r="J22" i="15"/>
  <c r="J13" i="15"/>
  <c r="J23" i="15" s="1"/>
  <c r="C75" i="15"/>
  <c r="C37" i="15"/>
  <c r="C30" i="15" s="1"/>
  <c r="C39" i="15" s="1"/>
  <c r="C56" i="15"/>
  <c r="C65" i="15" s="1"/>
  <c r="Q70" i="15"/>
  <c r="C80" i="78"/>
  <c r="C79" i="78" s="1"/>
  <c r="J16" i="78"/>
  <c r="J25" i="78" s="1"/>
  <c r="J26" i="78" s="1"/>
  <c r="J29" i="78" s="1"/>
  <c r="C58" i="78"/>
  <c r="C67" i="78" s="1"/>
  <c r="C68" i="78" s="1"/>
  <c r="C71" i="78" s="1"/>
  <c r="Q69" i="78"/>
  <c r="Q68" i="78" s="1"/>
  <c r="C40" i="78"/>
  <c r="C43" i="78" s="1"/>
  <c r="I52" i="39"/>
  <c r="J52" i="39" s="1"/>
  <c r="E51" i="39"/>
  <c r="F51" i="39" s="1"/>
  <c r="E52" i="39"/>
  <c r="F52" i="39" s="1"/>
  <c r="C48" i="39"/>
  <c r="C47" i="39"/>
  <c r="Q67" i="78"/>
  <c r="L46" i="15"/>
  <c r="Q66" i="15"/>
  <c r="Q57" i="15"/>
  <c r="C57" i="68"/>
  <c r="C56" i="68" s="1"/>
  <c r="S7" i="21"/>
  <c r="AA7" i="21"/>
  <c r="R48" i="21" s="1"/>
  <c r="G53" i="21"/>
  <c r="H53" i="21" s="1"/>
  <c r="G52" i="21"/>
  <c r="H52" i="21" s="1"/>
  <c r="H7" i="35"/>
  <c r="J7" i="35"/>
  <c r="I52" i="21"/>
  <c r="J52" i="21" s="1"/>
  <c r="AA7" i="35"/>
  <c r="R38" i="35" s="1"/>
  <c r="S7" i="35"/>
  <c r="M65" i="40"/>
  <c r="N63" i="40"/>
  <c r="L51" i="15"/>
  <c r="J37" i="78" l="1"/>
  <c r="Q56" i="67"/>
  <c r="Q62" i="67" s="1"/>
  <c r="Q66" i="67"/>
  <c r="Q65" i="67"/>
  <c r="D2" i="67"/>
  <c r="B2" i="67" s="1"/>
  <c r="C43" i="67"/>
  <c r="C45" i="67"/>
  <c r="C46" i="67" s="1"/>
  <c r="Q47" i="67"/>
  <c r="Q53" i="67" s="1"/>
  <c r="Q47" i="78"/>
  <c r="Q53" i="78" s="1"/>
  <c r="B2" i="78"/>
  <c r="J16" i="15"/>
  <c r="J25" i="15" s="1"/>
  <c r="J26" i="15" s="1"/>
  <c r="J29" i="15" s="1"/>
  <c r="Q67" i="15"/>
  <c r="C58" i="15"/>
  <c r="C67" i="15" s="1"/>
  <c r="C68" i="15" s="1"/>
  <c r="C71" i="15" s="1"/>
  <c r="C80" i="15"/>
  <c r="C79" i="15" s="1"/>
  <c r="C40" i="15"/>
  <c r="Q69" i="15"/>
  <c r="Q68" i="15" s="1"/>
  <c r="C83" i="78"/>
  <c r="C82" i="78" s="1"/>
  <c r="Q65" i="78"/>
  <c r="Q75" i="78" s="1"/>
  <c r="Q56" i="78"/>
  <c r="Q62" i="78" s="1"/>
  <c r="C46" i="78"/>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R39" i="35"/>
  <c r="E38" i="35"/>
  <c r="N65" i="40"/>
  <c r="O63" i="40"/>
  <c r="O65" i="40" s="1"/>
  <c r="W7" i="35"/>
  <c r="AC7" i="35"/>
  <c r="V38" i="35" s="1"/>
  <c r="I38" i="35" s="1"/>
  <c r="R49" i="21"/>
  <c r="E48" i="21"/>
  <c r="U7" i="35"/>
  <c r="AB7" i="35"/>
  <c r="T38" i="35" s="1"/>
  <c r="G38" i="35" s="1"/>
  <c r="AO7" i="1"/>
  <c r="E2" i="68"/>
  <c r="B2" i="68" l="1"/>
  <c r="B3" i="67"/>
  <c r="Q75" i="67"/>
  <c r="B7" i="70"/>
  <c r="G7" i="70" s="1"/>
  <c r="B3" i="78"/>
  <c r="C46" i="15"/>
  <c r="Q47" i="15"/>
  <c r="Q53" i="15" s="1"/>
  <c r="Q65" i="15"/>
  <c r="Q75" i="15" s="1"/>
  <c r="Q56" i="15"/>
  <c r="Q62" i="15" s="1"/>
  <c r="C83" i="15"/>
  <c r="C82" i="15" s="1"/>
  <c r="C43" i="15"/>
  <c r="B2" i="15"/>
  <c r="C49" i="21"/>
  <c r="B2" i="21" s="1"/>
  <c r="B3" i="21" s="1"/>
  <c r="C48" i="21"/>
  <c r="C39" i="35"/>
  <c r="B2" i="35" s="1"/>
  <c r="B3" i="35" s="1"/>
  <c r="C38" i="35"/>
  <c r="G42" i="35"/>
  <c r="H42" i="35" s="1"/>
  <c r="G43" i="35"/>
  <c r="H43" i="35" s="1"/>
  <c r="E52" i="21"/>
  <c r="F52" i="21" s="1"/>
  <c r="E53" i="21"/>
  <c r="F53" i="21" s="1"/>
  <c r="I53" i="21"/>
  <c r="J53" i="21" s="1"/>
  <c r="I42" i="35"/>
  <c r="J42" i="35" s="1"/>
  <c r="I43" i="35"/>
  <c r="J43" i="35" s="1"/>
  <c r="H7" i="40"/>
  <c r="J7" i="40"/>
  <c r="F7" i="40"/>
  <c r="E42" i="35"/>
  <c r="F42" i="35" s="1"/>
  <c r="E43" i="35"/>
  <c r="F43" i="35" s="1"/>
  <c r="AO6" i="1"/>
  <c r="C19" i="9"/>
  <c r="C102" i="9" l="1"/>
  <c r="C21" i="9"/>
  <c r="B3" i="68"/>
  <c r="B6" i="70"/>
  <c r="B3" i="15"/>
  <c r="AA7" i="40"/>
  <c r="R42" i="40" s="1"/>
  <c r="S7" i="40"/>
  <c r="U7" i="40"/>
  <c r="AB7" i="40"/>
  <c r="T42" i="40" s="1"/>
  <c r="G42" i="40" s="1"/>
  <c r="AC7" i="40"/>
  <c r="V42" i="40" s="1"/>
  <c r="I42" i="40" s="1"/>
  <c r="W7" i="40"/>
  <c r="D34" i="9"/>
  <c r="D35" i="9"/>
  <c r="C20" i="9"/>
  <c r="C103" i="9" l="1"/>
  <c r="G6" i="70"/>
  <c r="B2" i="70"/>
  <c r="G47" i="40"/>
  <c r="H47" i="40" s="1"/>
  <c r="G46" i="40"/>
  <c r="H46" i="40" s="1"/>
  <c r="I46" i="40"/>
  <c r="J46" i="40" s="1"/>
  <c r="R43" i="40"/>
  <c r="E42" i="40"/>
  <c r="I47" i="40" s="1"/>
  <c r="J47" i="40" s="1"/>
  <c r="D19" i="9"/>
  <c r="D22" i="9" l="1"/>
  <c r="G19" i="9"/>
  <c r="D21" i="9"/>
  <c r="D102" i="9"/>
  <c r="B3" i="70"/>
  <c r="E46" i="40"/>
  <c r="F46" i="40" s="1"/>
  <c r="E47" i="40"/>
  <c r="F47" i="40" s="1"/>
  <c r="C43" i="40"/>
  <c r="C42" i="40"/>
  <c r="D20" i="9"/>
  <c r="D103" i="9" l="1"/>
  <c r="G20" i="9"/>
  <c r="R24" i="31" s="1"/>
  <c r="C32" i="9"/>
  <c r="C35" i="9" s="1"/>
  <c r="C34" i="9" s="1"/>
  <c r="D118" i="9" s="1"/>
  <c r="D4" i="52" s="1"/>
  <c r="B47" i="72" s="1"/>
  <c r="N25" i="1"/>
  <c r="G21"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S24" i="31" l="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F118" i="9"/>
  <c r="F119" i="9" s="1"/>
  <c r="F5" i="52" s="1"/>
  <c r="B53" i="72" s="1"/>
  <c r="H118" i="9"/>
  <c r="H4" i="52" s="1"/>
  <c r="D119" i="9"/>
  <c r="D5" i="52" s="1"/>
  <c r="B49" i="72" s="1"/>
  <c r="G118" i="9" l="1"/>
  <c r="G4" i="52" s="1"/>
  <c r="B52" i="72" s="1"/>
  <c r="S22" i="31"/>
  <c r="F4" i="52"/>
  <c r="B51" i="72" s="1"/>
  <c r="I118" i="9"/>
  <c r="C105" i="9" s="1"/>
  <c r="H119" i="9"/>
  <c r="H5" i="52" s="1"/>
  <c r="C104" i="9"/>
  <c r="H101" i="9"/>
  <c r="D5" i="53" s="1"/>
  <c r="R22" i="31" l="1"/>
  <c r="B20" i="31"/>
  <c r="E118" i="9"/>
  <c r="E4" i="52" s="1"/>
  <c r="B48" i="72" s="1"/>
  <c r="H107" i="9"/>
  <c r="D13" i="53" s="1"/>
  <c r="H102" i="9"/>
  <c r="D7" i="53" s="1"/>
  <c r="B21" i="72" s="1"/>
  <c r="I4" i="52"/>
  <c r="B20" i="72"/>
  <c r="D6" i="53"/>
  <c r="B22" i="72" s="1"/>
  <c r="D45" i="9" l="1"/>
  <c r="M48" i="9" s="1"/>
  <c r="M49" i="9" s="1"/>
  <c r="D14" i="74"/>
  <c r="G14" i="74" s="1"/>
  <c r="D52" i="9"/>
  <c r="B21" i="31"/>
  <c r="H108" i="9"/>
  <c r="D15" i="53" s="1"/>
  <c r="B31" i="72" s="1"/>
  <c r="D122" i="9"/>
  <c r="D8" i="52" s="1"/>
  <c r="L68" i="9"/>
  <c r="M68" i="9" s="1"/>
  <c r="B30" i="72"/>
  <c r="D14" i="53"/>
  <c r="B32" i="72" s="1"/>
  <c r="D53" i="9" l="1"/>
  <c r="C85" i="9"/>
  <c r="C64" i="9"/>
  <c r="C63" i="9" s="1"/>
  <c r="C67" i="9" s="1"/>
  <c r="D59" i="9" s="1"/>
  <c r="M55" i="9" s="1"/>
  <c r="C72" i="9"/>
  <c r="C93" i="9"/>
  <c r="C86" i="9" s="1"/>
  <c r="C78" i="9"/>
  <c r="C73" i="9" s="1"/>
  <c r="D55" i="9"/>
  <c r="M53" i="9" s="1"/>
  <c r="F14" i="74"/>
  <c r="E14" i="74"/>
  <c r="B6" i="74"/>
  <c r="D6" i="74" s="1"/>
  <c r="F16" i="74"/>
  <c r="E16" i="74"/>
  <c r="L66" i="9"/>
  <c r="M66" i="9" s="1"/>
  <c r="D123" i="9"/>
  <c r="D9" i="52" s="1"/>
  <c r="L63" i="9"/>
  <c r="M63" i="9" s="1"/>
  <c r="L67" i="9"/>
  <c r="M67" i="9" s="1"/>
  <c r="L65" i="9"/>
  <c r="M65" i="9" s="1"/>
  <c r="L64" i="9"/>
  <c r="M64" i="9" s="1"/>
  <c r="C79" i="9" l="1"/>
  <c r="C80" i="9" s="1"/>
  <c r="E80" i="9" s="1"/>
  <c r="E81" i="9" s="1"/>
  <c r="C95" i="9"/>
  <c r="C96" i="9" s="1"/>
  <c r="E96" i="9" s="1"/>
  <c r="E97" i="9" s="1"/>
  <c r="C68" i="9"/>
  <c r="D54" i="9" s="1"/>
  <c r="D48" i="9" s="1"/>
  <c r="M52" i="9" s="1"/>
  <c r="C6" i="74"/>
  <c r="M69" i="9"/>
  <c r="N69" i="9" s="1"/>
  <c r="C97" i="9"/>
  <c r="C81" i="9"/>
  <c r="D58" i="9" s="1"/>
  <c r="D56" i="9" s="1"/>
  <c r="M54" i="9" s="1"/>
  <c r="N57" i="9" s="1"/>
  <c r="P57" i="9" s="1"/>
  <c r="N58" i="9" l="1"/>
  <c r="N59" i="9"/>
  <c r="H111" i="9" s="1"/>
  <c r="D19" i="53" l="1"/>
  <c r="D126" i="9"/>
  <c r="N61" i="9"/>
  <c r="H112" i="9" s="1"/>
  <c r="D21" i="53" s="1"/>
  <c r="B39" i="72" s="1"/>
  <c r="N60" i="9"/>
  <c r="I14" i="74" l="1"/>
  <c r="D12" i="52"/>
  <c r="D127" i="9"/>
  <c r="D13" i="52" s="1"/>
  <c r="D20" i="53"/>
  <c r="B40" i="72" s="1"/>
  <c r="B38" i="72"/>
  <c r="B8" i="74" l="1"/>
  <c r="C8" i="74" l="1"/>
  <c r="D8" i="74"/>
  <c r="F15" i="74" l="1"/>
  <c r="B5" i="74"/>
  <c r="E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<sst xmlns="http://schemas.openxmlformats.org/spreadsheetml/2006/main" count="8196" uniqueCount="3181">
  <si>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</si>
  <si>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</si>
  <si>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</si>
  <si>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</si>
  <si>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</si>
  <si>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</si>
  <si>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</si>
  <si>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</si>
  <si>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</si>
  <si>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</si>
  <si>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</si>
  <si>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</si>
  <si>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</si>
  <si>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</si>
  <si>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</si>
  <si>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</si>
  <si>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</si>
  <si>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</si>
  <si>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</si>
  <si>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</si>
  <si>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</si>
  <si>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</si>
  <si>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</si>
  <si>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</si>
  <si>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</si>
  <si>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</si>
  <si>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</si>
  <si>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</si>
  <si>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</si>
  <si>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</si>
  <si>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</si>
  <si>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</si>
  <si>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</si>
  <si>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</si>
  <si>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</si>
  <si>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</si>
  <si>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</si>
  <si>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</si>
  <si>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</si>
  <si>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</si>
  <si>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</si>
  <si>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</si>
  <si>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</si>
  <si>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</si>
  <si>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</si>
  <si>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</si>
  <si>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</si>
  <si>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</si>
  <si>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</si>
  <si>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</si>
  <si>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</si>
  <si>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</si>
  <si>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</si>
  <si>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</si>
  <si>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</si>
  <si>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</si>
  <si>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</si>
  <si>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</si>
  <si>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</si>
  <si>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</si>
  <si>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</si>
  <si>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</si>
  <si>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</si>
  <si>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</si>
  <si>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</si>
  <si>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</si>
  <si>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</si>
  <si>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</si>
  <si>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</si>
  <si>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</si>
  <si>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</si>
  <si>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</si>
  <si>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</si>
  <si>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</si>
  <si>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</si>
  <si>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</si>
  <si>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</si>
  <si>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</si>
  <si>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</si>
  <si>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</si>
  <si>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</si>
  <si>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</si>
  <si>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</si>
  <si>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</si>
  <si>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</si>
  <si>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</si>
  <si>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</si>
  <si>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</si>
  <si>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</si>
  <si>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</si>
  <si>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</si>
  <si>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</si>
  <si>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</si>
  <si>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</si>
  <si>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</si>
  <si>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</si>
  <si>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</si>
  <si>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</si>
  <si>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</si>
  <si>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</si>
  <si>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</si>
  <si>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</si>
  <si>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</si>
  <si>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</si>
  <si>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</si>
  <si>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</si>
  <si>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</si>
  <si>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</si>
  <si>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</si>
  <si>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</si>
  <si>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</si>
  <si>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</si>
  <si>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</si>
  <si>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</si>
  <si>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</si>
  <si>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</si>
  <si>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</si>
  <si>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</si>
  <si>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</si>
  <si>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</si>
  <si>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</si>
  <si>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</si>
  <si>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</si>
  <si>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</si>
  <si>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</si>
  <si>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</si>
  <si>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</si>
  <si>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</si>
  <si>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</si>
  <si>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</si>
  <si>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</si>
  <si>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</si>
  <si>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</si>
  <si>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</si>
  <si>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</si>
  <si>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</si>
  <si>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</si>
  <si>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</si>
  <si>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</si>
  <si>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</si>
  <si>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</si>
  <si>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</si>
  <si>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</si>
  <si>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</si>
  <si>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</si>
  <si>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</si>
  <si>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</si>
  <si>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</si>
  <si>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</si>
  <si>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</si>
  <si>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</si>
  <si>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</si>
  <si>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</si>
  <si>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</si>
  <si>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</si>
  <si>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</si>
  <si>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</si>
  <si>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</si>
  <si>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</si>
  <si>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</si>
  <si>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</si>
  <si>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</si>
  <si>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</si>
  <si>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</si>
  <si>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</si>
  <si>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</si>
  <si>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</si>
  <si>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</si>
  <si>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</si>
  <si>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</si>
  <si>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</si>
  <si>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</si>
  <si>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</si>
  <si>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</si>
  <si>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</si>
  <si>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</si>
  <si>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</si>
  <si>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</si>
  <si>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</si>
  <si>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</si>
  <si>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</si>
  <si>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</si>
  <si>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</si>
  <si>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</si>
  <si>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</si>
  <si>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</si>
  <si>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</si>
  <si>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</si>
  <si>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</si>
  <si>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</si>
  <si>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</si>
  <si>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</si>
  <si>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</si>
  <si>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</si>
  <si>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</si>
  <si>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</si>
  <si>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</si>
  <si>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</si>
  <si>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</si>
  <si>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</si>
  <si>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</si>
  <si>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</si>
  <si>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</si>
  <si>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</si>
  <si>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</si>
  <si>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</si>
  <si>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</si>
  <si>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</si>
  <si>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</si>
  <si>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</si>
  <si>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</si>
  <si>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</si>
  <si>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</si>
  <si>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</si>
  <si>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</si>
  <si>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</si>
  <si>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</si>
  <si>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</si>
  <si>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</si>
  <si>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</si>
  <si>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</si>
  <si>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</si>
  <si>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</si>
  <si>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</si>
  <si>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</si>
  <si>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</si>
  <si>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</si>
  <si>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</si>
  <si>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</si>
  <si>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</si>
  <si>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</si>
  <si>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</si>
  <si>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</si>
  <si>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</si>
  <si>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</si>
  <si>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</si>
  <si>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</si>
  <si>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</si>
  <si>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</si>
  <si>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</si>
  <si>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</si>
  <si>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</si>
  <si>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</si>
  <si>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</si>
  <si>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</si>
  <si>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</si>
  <si>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</si>
  <si>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</si>
  <si>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</si>
  <si>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</si>
  <si>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</si>
  <si>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</si>
  <si>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</si>
  <si>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</si>
  <si>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</si>
  <si>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</si>
  <si>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</si>
  <si>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</si>
  <si>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</si>
  <si>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</si>
  <si>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</si>
  <si>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</si>
  <si>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</si>
  <si>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</si>
  <si>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</si>
  <si>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</si>
  <si>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</si>
  <si>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</si>
  <si>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</si>
  <si>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</si>
  <si>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</si>
  <si>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</si>
  <si>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</si>
  <si>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</si>
  <si>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</si>
  <si>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</si>
  <si>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</si>
  <si>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</si>
  <si>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</si>
  <si>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</si>
  <si>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</si>
  <si>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</si>
  <si>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</si>
  <si>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</si>
  <si>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</si>
  <si>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</si>
  <si>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</si>
  <si>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</si>
  <si>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</si>
  <si>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</si>
  <si>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</si>
  <si>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</si>
  <si>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</si>
  <si>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</si>
  <si>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</si>
  <si>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</si>
  <si>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</si>
  <si>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</si>
  <si>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</si>
  <si>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</si>
  <si>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</si>
  <si>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</si>
  <si>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</si>
  <si>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</si>
  <si>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</si>
  <si>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</si>
  <si>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</si>
  <si>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</si>
  <si>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</si>
  <si>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</si>
  <si>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</si>
  <si>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</si>
  <si>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</si>
  <si>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</si>
  <si>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</si>
  <si>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</si>
  <si>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</si>
  <si>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</si>
  <si>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</si>
  <si>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</si>
  <si>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</si>
  <si>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</si>
  <si>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</si>
  <si>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</si>
  <si>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</si>
  <si>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</si>
  <si>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</si>
  <si>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</si>
  <si>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</si>
  <si>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</si>
  <si>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</si>
  <si>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</si>
  <si>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</si>
  <si>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</si>
  <si>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</si>
  <si>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</si>
  <si>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</si>
  <si>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</si>
  <si>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</si>
  <si>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</si>
  <si>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</si>
  <si>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</si>
  <si>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</si>
  <si>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</si>
  <si>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</si>
  <si>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</si>
  <si>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</si>
  <si>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</si>
  <si>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</si>
  <si>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</si>
  <si>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</si>
  <si>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</si>
  <si>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</si>
  <si>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</si>
  <si>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</si>
  <si>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</si>
  <si>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</si>
  <si>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</si>
  <si>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</si>
  <si>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</si>
  <si>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</si>
  <si>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</si>
  <si>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</si>
  <si>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</si>
  <si>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</si>
  <si>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</si>
  <si>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</si>
  <si>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</si>
  <si>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</si>
  <si>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</si>
  <si>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</si>
  <si>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</si>
  <si>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</si>
  <si>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</si>
  <si>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</si>
  <si>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</si>
  <si>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</si>
  <si>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</si>
  <si>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</si>
  <si>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</si>
  <si>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</si>
  <si>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</si>
  <si>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</si>
  <si>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</si>
  <si>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</si>
  <si>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</si>
  <si>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</si>
  <si>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</si>
  <si>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</si>
  <si>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</si>
  <si>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</si>
  <si>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</si>
  <si>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</si>
  <si>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</si>
  <si>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</si>
  <si>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</si>
  <si>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</si>
  <si>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</si>
  <si>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</si>
  <si>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</si>
  <si>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</si>
  <si>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</si>
  <si>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</si>
  <si>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</si>
  <si>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</si>
  <si>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</si>
  <si>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</si>
  <si>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</si>
  <si>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</si>
  <si>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</si>
  <si>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</si>
  <si>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</si>
  <si>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</si>
  <si>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</si>
  <si>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</si>
  <si>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</si>
  <si>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</si>
  <si>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</si>
  <si>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</si>
  <si>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</si>
  <si>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</si>
  <si>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</si>
  <si>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</si>
  <si>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</si>
  <si>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</si>
  <si>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</si>
  <si>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</si>
  <si>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</si>
  <si>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</si>
  <si>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</si>
  <si>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</si>
  <si>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</si>
  <si>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</si>
  <si>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</si>
  <si>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</si>
  <si>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</si>
  <si>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</si>
  <si>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</si>
  <si>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</si>
  <si>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</si>
  <si>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</si>
  <si>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</si>
  <si>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</si>
  <si>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</si>
  <si>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</si>
  <si>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</si>
  <si>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</si>
  <si>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</si>
  <si>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</si>
  <si>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</si>
  <si>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</si>
  <si>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</si>
  <si>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</si>
  <si>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</si>
  <si>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</si>
  <si>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</si>
  <si>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</si>
  <si>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</si>
  <si>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</si>
  <si>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</si>
  <si>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</si>
  <si>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</si>
  <si>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</si>
  <si>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</si>
  <si>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</si>
  <si>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</si>
  <si>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</si>
  <si>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</si>
  <si>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</si>
  <si>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</si>
  <si>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</si>
  <si>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</si>
  <si>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</si>
  <si>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</si>
  <si>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</si>
  <si>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</si>
  <si>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</si>
  <si>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</si>
  <si>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</si>
  <si>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</si>
  <si>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</si>
  <si>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</si>
  <si>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</si>
  <si>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</si>
  <si>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</si>
  <si>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</si>
  <si>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</si>
  <si>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</si>
  <si>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</si>
  <si>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</si>
  <si>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</si>
  <si>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</si>
  <si>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</si>
  <si>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</si>
  <si>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</si>
  <si>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</si>
  <si>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</si>
  <si>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</si>
  <si>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</si>
  <si>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</si>
  <si>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</si>
  <si>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</si>
  <si>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</si>
  <si>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</si>
  <si>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</si>
  <si>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</si>
  <si>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</si>
  <si>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</si>
  <si>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</si>
  <si>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</si>
  <si>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</si>
  <si>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</si>
  <si>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</si>
  <si>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</si>
  <si>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</si>
  <si>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</si>
  <si>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</si>
  <si>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</si>
  <si>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</si>
  <si>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</si>
  <si>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</si>
  <si>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</si>
  <si>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</si>
  <si>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</si>
  <si>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</si>
  <si>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</si>
  <si>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</si>
  <si>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</si>
  <si>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</si>
  <si>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</si>
  <si>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</si>
  <si>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</si>
  <si>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</si>
  <si>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</si>
  <si>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</si>
  <si>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</si>
  <si>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</si>
  <si>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</si>
  <si>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</si>
  <si>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</si>
  <si>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</si>
  <si>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</si>
  <si>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</si>
  <si>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</si>
  <si>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</si>
  <si>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</si>
  <si>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</si>
  <si>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</si>
  <si>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</si>
  <si>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</si>
  <si>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</si>
  <si>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</si>
  <si>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</si>
  <si>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</si>
  <si>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</si>
  <si>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</si>
  <si>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</si>
  <si>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</si>
  <si>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</si>
  <si>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</si>
  <si>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</si>
  <si>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</si>
  <si>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</si>
  <si>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</si>
  <si>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</si>
  <si>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</si>
  <si>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</si>
  <si>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</si>
  <si>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</si>
  <si>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</si>
  <si>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</si>
  <si>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</si>
  <si>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</si>
  <si>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</si>
  <si>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</si>
  <si>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</si>
  <si>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</si>
  <si>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</si>
  <si>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</si>
  <si>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</si>
  <si>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</si>
  <si>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</si>
  <si>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</si>
  <si>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</si>
  <si>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</si>
  <si>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</si>
  <si>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</si>
  <si>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</si>
  <si>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</si>
  <si>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</si>
  <si>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</si>
  <si>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</si>
  <si>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</si>
  <si>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</si>
  <si>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</si>
  <si>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</si>
  <si>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</si>
  <si>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</si>
  <si>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</si>
  <si>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</si>
  <si>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</si>
  <si>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</si>
  <si>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</si>
  <si>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</si>
  <si>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</si>
  <si>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</si>
  <si>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</si>
  <si>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</si>
  <si>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</si>
  <si>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</si>
  <si>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</si>
  <si>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</si>
  <si>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</si>
  <si>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</si>
  <si>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</si>
  <si>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</si>
  <si>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</si>
  <si>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</si>
  <si>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</si>
  <si>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</si>
  <si>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</si>
  <si>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</si>
  <si>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</si>
  <si>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</si>
  <si>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</si>
  <si>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</si>
  <si>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</si>
  <si>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</si>
  <si>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</si>
  <si>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</si>
  <si>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</si>
  <si>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</si>
  <si>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</si>
  <si>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</si>
  <si>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</si>
  <si>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</si>
  <si>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</si>
  <si>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</si>
  <si>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</si>
  <si>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</si>
  <si>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</si>
  <si>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</si>
  <si>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</si>
  <si>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</si>
  <si>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</si>
  <si>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</si>
  <si>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</si>
  <si>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</si>
  <si>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</si>
  <si>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</si>
  <si>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</si>
  <si>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</si>
  <si>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</si>
  <si>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</si>
  <si>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</si>
  <si>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</si>
  <si>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</si>
  <si>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</si>
  <si>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</si>
  <si>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</si>
  <si>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</si>
  <si>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</si>
  <si>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</si>
  <si>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</si>
  <si>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</si>
  <si>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</si>
  <si>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</si>
  <si>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</si>
  <si>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</si>
  <si>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</si>
  <si>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</si>
  <si>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</si>
  <si>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</si>
  <si>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</si>
  <si>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</si>
  <si>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</si>
  <si>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</si>
  <si>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</si>
  <si>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</si>
  <si>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</si>
  <si>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</si>
  <si>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</si>
  <si>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</si>
  <si>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</si>
  <si>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</si>
  <si>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</si>
  <si>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</si>
  <si>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</si>
  <si>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</si>
  <si>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</si>
  <si>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</si>
  <si>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</si>
  <si>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</si>
  <si>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</si>
  <si>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</si>
  <si>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</si>
  <si>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</si>
  <si>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</si>
  <si>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</si>
  <si>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</si>
  <si>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</si>
  <si>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</si>
  <si>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</si>
  <si>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</si>
  <si>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</si>
  <si>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</si>
  <si>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</si>
  <si>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</si>
  <si>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</si>
  <si>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</si>
  <si>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</si>
  <si>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</si>
  <si>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</si>
  <si>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</si>
  <si>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</si>
  <si>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</si>
  <si>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</si>
  <si>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</si>
  <si>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</si>
  <si>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</si>
  <si>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</si>
  <si>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</si>
  <si>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</si>
  <si>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</si>
  <si>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</si>
  <si>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</si>
  <si>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</si>
  <si>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</si>
  <si>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</si>
  <si>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</si>
  <si>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</si>
  <si>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</si>
  <si>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</si>
  <si>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</si>
  <si>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</si>
  <si>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</si>
  <si>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</si>
  <si>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</si>
  <si>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</si>
  <si>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</si>
  <si>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</si>
  <si>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</si>
  <si>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</si>
  <si>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</si>
  <si>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</si>
  <si>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</si>
  <si>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</si>
  <si>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</si>
  <si>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</si>
  <si>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</si>
  <si>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</si>
  <si>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</si>
  <si>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</si>
  <si>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</si>
  <si>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</si>
  <si>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</si>
  <si>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</si>
  <si>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</si>
  <si>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</si>
  <si>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</si>
  <si>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</si>
  <si>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</si>
  <si>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</si>
  <si>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</si>
  <si>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</si>
  <si>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</si>
  <si>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</si>
  <si>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</si>
  <si>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</si>
  <si>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</si>
  <si>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</si>
  <si>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</si>
  <si>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</si>
  <si>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</si>
  <si>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</si>
  <si>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</si>
  <si>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</si>
  <si>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</si>
  <si>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</si>
  <si>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</si>
  <si>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</si>
  <si>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</si>
  <si>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</si>
  <si>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</si>
  <si>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</si>
  <si>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</si>
  <si>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</si>
  <si>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</si>
  <si>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</si>
  <si>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</si>
  <si>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</si>
  <si>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</si>
  <si>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</si>
  <si>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</si>
  <si>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</si>
  <si>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</si>
  <si>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</si>
  <si>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</si>
  <si>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</si>
  <si>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</si>
  <si>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</si>
  <si>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</si>
  <si>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</si>
  <si>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</si>
  <si>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</si>
  <si>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</si>
  <si>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</si>
  <si>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</si>
  <si>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</si>
  <si>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</si>
  <si>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</si>
  <si>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</si>
  <si>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</si>
  <si>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</si>
  <si>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</si>
  <si>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</si>
  <si>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</si>
  <si>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</si>
  <si>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</si>
  <si>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</si>
  <si>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</si>
  <si>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</si>
  <si>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</si>
  <si>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</si>
  <si>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</si>
  <si>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</si>
  <si>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</si>
  <si>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</si>
  <si>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</si>
  <si>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</si>
  <si>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</si>
  <si>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</si>
  <si>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</si>
  <si>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</si>
  <si>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</si>
  <si>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</si>
  <si>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</si>
  <si>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</si>
  <si>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</si>
  <si>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</si>
  <si>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</si>
  <si>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</si>
  <si>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</si>
  <si>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</si>
  <si>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</si>
  <si>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</si>
  <si>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</si>
  <si>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</si>
  <si>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</si>
  <si>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</si>
  <si>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</si>
  <si>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</si>
  <si>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</si>
  <si>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</si>
  <si>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</si>
  <si>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</si>
  <si>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</si>
  <si>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</si>
  <si>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</si>
  <si>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</si>
  <si>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</si>
  <si>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</si>
  <si>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</si>
  <si>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</si>
  <si>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</si>
  <si>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</si>
  <si>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</si>
  <si>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</si>
  <si>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</si>
  <si>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</si>
  <si>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</si>
  <si>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</si>
  <si>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</si>
  <si>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</si>
  <si>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</si>
  <si>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</si>
  <si>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</si>
  <si>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</si>
  <si>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</si>
  <si>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</si>
  <si>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</si>
  <si>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</si>
  <si>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</si>
  <si>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</si>
  <si>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</si>
  <si>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</si>
  <si>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</si>
  <si>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</si>
  <si>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</si>
  <si>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</si>
  <si>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</si>
  <si>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</si>
  <si>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</si>
  <si>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</si>
  <si>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</si>
  <si>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</si>
  <si>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</si>
  <si>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</si>
  <si>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</si>
  <si>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</si>
  <si>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</si>
  <si>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</si>
  <si>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</si>
  <si>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</si>
  <si>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</si>
  <si>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</si>
  <si>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</si>
  <si>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</si>
  <si>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</si>
  <si>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</si>
  <si>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</si>
  <si>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</si>
  <si>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</si>
  <si>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</si>
  <si>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</si>
  <si>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</si>
  <si>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</si>
  <si>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</si>
  <si>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</si>
  <si>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</si>
  <si>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</si>
  <si>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</si>
  <si>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</si>
  <si>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</si>
  <si>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</si>
  <si>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</si>
  <si>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</si>
  <si>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</si>
  <si>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</si>
  <si>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</si>
  <si>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</si>
  <si>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</si>
  <si>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</si>
  <si>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</si>
  <si>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</si>
  <si>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</si>
  <si>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</si>
  <si>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</si>
  <si>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</si>
  <si>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</si>
  <si>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</si>
  <si>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</si>
  <si>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</si>
  <si>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</si>
  <si>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</si>
  <si>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</si>
  <si>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</si>
  <si>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</si>
  <si>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</si>
  <si>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</si>
  <si>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</si>
  <si>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</si>
  <si>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</si>
  <si>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</si>
  <si>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</si>
  <si>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</si>
  <si>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</si>
  <si>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</si>
  <si>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</si>
  <si>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</si>
  <si>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</si>
  <si>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</si>
  <si>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</si>
  <si>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</si>
  <si>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</si>
  <si>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</si>
  <si>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</si>
  <si>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</si>
  <si>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</si>
  <si>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</si>
  <si>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</si>
  <si>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</si>
  <si>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</si>
  <si>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</si>
  <si>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</si>
  <si>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</si>
  <si>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</si>
  <si>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</si>
  <si>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</si>
  <si>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</si>
  <si>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</si>
  <si>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</si>
  <si>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</si>
  <si>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</si>
  <si>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</si>
  <si>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</si>
  <si>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</si>
  <si>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</si>
  <si>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</si>
  <si>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</si>
  <si>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</si>
  <si>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</si>
  <si>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</si>
  <si>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</si>
  <si>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</si>
  <si>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</si>
  <si>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</si>
  <si>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</si>
  <si>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</si>
  <si>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</si>
  <si>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</si>
  <si>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</si>
  <si>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</si>
  <si>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</si>
  <si>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</si>
  <si>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</si>
  <si>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</si>
  <si>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</si>
  <si>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</si>
  <si>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</si>
  <si>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</si>
  <si>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</si>
  <si>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</si>
  <si>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</si>
  <si>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</si>
  <si>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</si>
  <si>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</si>
  <si>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</si>
  <si>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</si>
  <si>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</si>
  <si>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</si>
  <si>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</si>
  <si>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</si>
  <si>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</si>
  <si>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</si>
  <si>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</si>
  <si>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</si>
  <si>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</si>
  <si>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</si>
  <si>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</si>
  <si>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</si>
  <si>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</si>
  <si>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</si>
  <si>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</si>
  <si>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</si>
  <si>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</si>
  <si>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</si>
  <si>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</si>
  <si>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</si>
  <si>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</si>
  <si>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</si>
  <si>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</si>
  <si>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</si>
  <si>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</si>
  <si>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</si>
  <si>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</si>
  <si>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</si>
  <si>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</si>
  <si>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</si>
  <si>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</si>
  <si>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</si>
  <si>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</si>
  <si>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</si>
  <si>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</si>
  <si>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</si>
  <si>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</si>
  <si>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</si>
  <si>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</si>
  <si>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</si>
  <si>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</si>
  <si>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</si>
  <si>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</si>
  <si>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</si>
  <si>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</si>
  <si>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</si>
  <si>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</si>
  <si>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</si>
  <si>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</si>
  <si>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</si>
  <si>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</si>
  <si>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</si>
  <si>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</si>
  <si>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</si>
  <si>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</si>
  <si>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</si>
  <si>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</si>
  <si>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</si>
  <si>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</si>
  <si>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</si>
  <si>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</si>
  <si>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</si>
  <si>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</si>
  <si>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</si>
  <si>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</si>
  <si>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</si>
  <si>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</si>
  <si>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</si>
  <si>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</si>
  <si>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</si>
  <si>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</si>
  <si>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</si>
  <si>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</si>
  <si>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</si>
  <si>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</si>
  <si>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</si>
  <si>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</si>
  <si>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</si>
  <si>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</si>
  <si>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</si>
  <si>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</si>
  <si>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</si>
  <si>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</si>
  <si>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</si>
  <si>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</si>
  <si>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</si>
  <si>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</si>
  <si>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</si>
  <si>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</si>
  <si>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</si>
  <si>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</si>
  <si>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</si>
  <si>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</si>
  <si>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</si>
  <si>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</si>
  <si>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</si>
  <si>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</si>
  <si>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</si>
  <si>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</si>
  <si>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</si>
  <si>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</si>
  <si>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</si>
  <si>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</si>
  <si>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</si>
  <si>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</si>
  <si>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</si>
  <si>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</si>
  <si>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</si>
  <si>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</si>
  <si>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</si>
  <si>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</si>
  <si>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</si>
  <si>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</si>
  <si>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</si>
  <si>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</si>
  <si>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</si>
  <si>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</si>
  <si>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</si>
  <si>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</si>
  <si>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</si>
  <si>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</si>
  <si>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</si>
  <si>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</si>
  <si>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</si>
  <si>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</si>
  <si>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</si>
  <si>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</si>
  <si>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</si>
  <si>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</si>
  <si>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</si>
  <si>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</si>
  <si>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</si>
  <si>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</si>
  <si>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</si>
  <si>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</si>
  <si>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</si>
  <si>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</si>
  <si>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</si>
  <si>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</si>
  <si>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</si>
  <si>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</si>
  <si>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</si>
  <si>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</si>
  <si>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</si>
  <si>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</si>
  <si>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</si>
  <si>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</si>
  <si>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</si>
  <si>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</si>
  <si>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</si>
  <si>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</si>
  <si>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</si>
  <si>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</si>
  <si>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</si>
  <si>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</si>
  <si>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</si>
  <si>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</si>
  <si>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</si>
  <si>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</si>
  <si>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</si>
  <si>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</si>
  <si>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</si>
  <si>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</si>
  <si>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</si>
  <si>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</si>
  <si>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</si>
  <si>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</si>
  <si>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</si>
  <si>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</si>
  <si>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</si>
  <si>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</si>
  <si>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</si>
  <si>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</si>
  <si>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</si>
  <si>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</si>
  <si>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</si>
  <si>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</si>
  <si>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</si>
  <si>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</si>
  <si>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</si>
  <si>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</si>
  <si>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</si>
  <si>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</si>
  <si>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</si>
  <si>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</si>
  <si>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</si>
  <si>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</si>
  <si>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</si>
  <si>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</si>
  <si>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</si>
  <si>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</si>
  <si>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</si>
  <si>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</si>
  <si>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</si>
  <si>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</si>
  <si>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</si>
  <si>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</si>
  <si>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</si>
  <si>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</si>
  <si>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</si>
  <si>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</si>
  <si>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</si>
  <si>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</si>
  <si>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</si>
  <si>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</si>
  <si>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</si>
  <si>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</si>
  <si>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</si>
  <si>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</si>
  <si>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</si>
  <si>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</si>
  <si>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</si>
  <si>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</si>
  <si>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</si>
  <si>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</si>
  <si>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</si>
  <si>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</si>
  <si>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</si>
  <si>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</si>
  <si>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</si>
  <si>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</si>
  <si>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</si>
  <si>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</si>
  <si>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</si>
  <si>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</si>
  <si>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</si>
  <si>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</si>
  <si>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</si>
  <si>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</si>
  <si>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</si>
  <si>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</si>
  <si>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</si>
  <si>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</si>
  <si>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</si>
  <si>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</si>
  <si>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</si>
  <si>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</si>
  <si>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</si>
  <si>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</si>
  <si>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</si>
  <si>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</si>
  <si>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</si>
  <si>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</si>
  <si>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</si>
  <si>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</si>
  <si>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</si>
  <si>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</si>
  <si>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</si>
  <si>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</si>
  <si>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</si>
  <si>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</si>
  <si>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</si>
  <si>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</si>
  <si>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</si>
  <si>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</si>
  <si>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</si>
  <si>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</si>
  <si>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</si>
  <si>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</si>
  <si>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</si>
  <si>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</si>
  <si>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</si>
  <si>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</si>
  <si>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</si>
  <si>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</si>
  <si>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</si>
  <si>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</si>
  <si>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</si>
  <si>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</si>
  <si>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</si>
  <si>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</si>
  <si>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</si>
  <si>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</si>
  <si>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</si>
  <si>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</si>
  <si>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</si>
  <si>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</si>
  <si>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</si>
  <si>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</si>
  <si>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</si>
  <si>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</si>
  <si>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</si>
  <si>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</si>
  <si>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</si>
  <si>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</si>
  <si>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</si>
  <si>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</si>
  <si>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</si>
  <si>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</si>
  <si>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</si>
  <si>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</si>
  <si>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</si>
  <si>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</si>
  <si>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</si>
  <si>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</si>
  <si>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</si>
  <si>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</si>
  <si>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</si>
  <si>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</si>
  <si>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</si>
  <si>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</si>
  <si>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</si>
  <si>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</si>
  <si>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</si>
  <si>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</si>
  <si>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</si>
  <si>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</si>
  <si>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</si>
  <si>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</si>
  <si>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</si>
  <si>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</si>
  <si>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</si>
  <si>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</si>
  <si>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</si>
  <si>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</si>
  <si>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</si>
  <si>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</si>
  <si>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</si>
  <si>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</si>
  <si>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</si>
  <si>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</si>
  <si>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</si>
  <si>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</si>
  <si>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</si>
  <si>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</si>
  <si>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</si>
  <si>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</si>
  <si>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</si>
  <si>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</si>
  <si>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</si>
  <si>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</si>
  <si>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</si>
  <si>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</si>
  <si>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</si>
  <si>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</si>
  <si>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</si>
  <si>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</si>
  <si>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</si>
  <si>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</si>
  <si>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</si>
  <si>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</si>
  <si>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</si>
  <si>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</si>
  <si>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</si>
  <si>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</si>
  <si>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</si>
  <si>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</si>
  <si>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</si>
  <si>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</si>
  <si>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</si>
  <si>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</si>
  <si>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</si>
  <si>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</si>
  <si>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</si>
  <si>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</si>
  <si>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</si>
  <si>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</si>
  <si>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</si>
  <si>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</si>
  <si>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</si>
  <si>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</si>
  <si>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</si>
  <si>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</si>
  <si>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</si>
  <si>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</si>
  <si>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</si>
  <si>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</si>
  <si>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</si>
  <si>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</si>
  <si>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</si>
  <si>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</si>
  <si>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</si>
  <si>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</si>
  <si>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</si>
  <si>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</si>
  <si>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</si>
  <si>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</si>
  <si>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</si>
  <si>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</si>
  <si>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</si>
  <si>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</si>
  <si>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</si>
  <si>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</si>
  <si>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</si>
  <si>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</si>
  <si>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</si>
  <si>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</si>
  <si>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</si>
  <si>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</si>
  <si>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</si>
  <si>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</si>
  <si>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</si>
  <si>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</si>
  <si>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</si>
  <si>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</si>
  <si>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</si>
  <si>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</si>
  <si>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</si>
  <si>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</si>
  <si>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</si>
  <si>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</si>
  <si>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</si>
  <si>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</si>
  <si>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</si>
  <si>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</si>
  <si>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</si>
  <si>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</si>
  <si>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</si>
  <si>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</si>
  <si>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</si>
  <si>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</si>
  <si>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</si>
  <si>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</si>
  <si>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</si>
  <si>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</si>
  <si>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</si>
  <si>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</si>
  <si>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</si>
  <si>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</si>
  <si>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</si>
  <si>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</si>
  <si>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</si>
  <si>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</si>
  <si>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</si>
  <si>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</si>
  <si>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</si>
  <si>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</si>
  <si>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</si>
  <si>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</si>
  <si>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</si>
  <si>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</si>
  <si>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</si>
  <si>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</si>
  <si>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</si>
  <si>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</si>
  <si>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</si>
  <si>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</si>
  <si>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</si>
  <si>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</si>
  <si>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</si>
  <si>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</si>
  <si>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</si>
  <si>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</si>
  <si>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</si>
  <si>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</si>
  <si>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</si>
  <si>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</si>
  <si>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</si>
  <si>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</si>
  <si>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</si>
  <si>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</si>
  <si>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</si>
  <si>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</si>
  <si>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</si>
  <si>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</si>
  <si>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</si>
  <si>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</si>
  <si>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</si>
  <si>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</si>
  <si>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</si>
  <si>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</si>
  <si>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</si>
  <si>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</si>
  <si>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</si>
  <si>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</si>
  <si>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</si>
  <si>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</si>
  <si>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</si>
  <si>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</si>
  <si>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</si>
  <si>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</si>
  <si>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</si>
  <si>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</si>
  <si>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</si>
  <si>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</si>
  <si>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</si>
  <si>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</si>
  <si>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</si>
  <si>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</si>
  <si>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</si>
  <si>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</si>
  <si>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</si>
  <si>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</si>
  <si>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</si>
  <si>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</si>
  <si>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</si>
  <si>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</si>
  <si>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</si>
  <si>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</si>
  <si>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</si>
  <si>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</si>
  <si>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</si>
  <si>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</si>
  <si>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</si>
  <si>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</si>
  <si>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</si>
  <si>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</si>
  <si>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</si>
  <si>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</si>
  <si>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</si>
  <si>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</si>
  <si>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</si>
  <si>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</si>
  <si>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</si>
  <si>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</si>
  <si>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</si>
  <si>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</si>
  <si>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</si>
  <si>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</si>
  <si>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</si>
  <si>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</si>
  <si>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</si>
  <si>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</si>
  <si>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</si>
  <si>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</si>
  <si>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</si>
  <si>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</si>
  <si>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</si>
  <si>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</si>
  <si>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</si>
  <si>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</si>
  <si>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</si>
  <si>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</si>
  <si>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</si>
  <si>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</si>
  <si>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</si>
  <si>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</si>
  <si>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</si>
  <si>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</si>
  <si>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</si>
  <si>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</si>
  <si>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</si>
  <si>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</si>
  <si>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</si>
  <si>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</si>
  <si>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</si>
  <si>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</si>
  <si>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</si>
  <si>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</si>
  <si>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</si>
  <si>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</si>
  <si>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</si>
  <si>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</si>
  <si>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</si>
  <si>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</si>
  <si>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</si>
  <si>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</si>
  <si>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</si>
  <si>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</si>
  <si>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</si>
  <si>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</si>
  <si>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</si>
  <si>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</si>
  <si>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</si>
  <si>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</si>
  <si>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</si>
  <si>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</si>
  <si>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</si>
  <si>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</si>
  <si>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</si>
  <si>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</si>
  <si>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</si>
  <si>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</si>
  <si>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</si>
  <si>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</si>
  <si>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</si>
  <si>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</si>
  <si>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</si>
  <si>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</si>
  <si>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</si>
  <si>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</si>
  <si>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</si>
  <si>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</si>
  <si>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</si>
  <si>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</si>
  <si>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</si>
  <si>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</si>
  <si>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</si>
  <si>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</si>
  <si>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</si>
  <si>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</si>
  <si>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</si>
  <si>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</si>
  <si>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</si>
  <si>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</si>
  <si>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</si>
  <si>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</si>
  <si>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</si>
  <si>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</si>
  <si>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</si>
  <si>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</si>
  <si>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</si>
  <si>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</si>
  <si>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</si>
  <si>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</si>
  <si>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</si>
  <si>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</si>
  <si>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</si>
  <si>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</si>
  <si>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</si>
  <si>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</si>
  <si>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</si>
  <si>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</si>
  <si>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</si>
  <si>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</si>
  <si>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</si>
  <si>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</si>
  <si>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</si>
  <si>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</si>
  <si>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</si>
  <si>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</si>
  <si>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</si>
  <si>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</si>
  <si>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</si>
  <si>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</si>
  <si>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</si>
  <si>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</si>
  <si>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</si>
  <si>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</si>
  <si>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</si>
  <si>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</si>
  <si>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</si>
  <si>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</si>
  <si>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</si>
  <si>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</si>
  <si>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</si>
  <si>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</si>
  <si>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</si>
  <si>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</si>
  <si>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</si>
  <si>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</si>
  <si>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</si>
  <si>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</si>
  <si>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</si>
  <si>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</si>
  <si>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</si>
  <si>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</si>
  <si>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</si>
  <si>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</si>
  <si>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</si>
  <si>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</si>
  <si>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</si>
  <si>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</si>
  <si>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</si>
  <si>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</si>
  <si>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</si>
  <si>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</si>
  <si>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</si>
  <si>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</si>
  <si>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</si>
  <si>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</si>
  <si>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</si>
  <si>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</si>
  <si>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</si>
  <si>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</si>
  <si>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</si>
  <si>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</si>
  <si>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</si>
  <si>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</si>
  <si>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</si>
  <si>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</si>
  <si>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</si>
  <si>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</si>
  <si>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</si>
  <si>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</si>
  <si>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</si>
  <si>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</si>
  <si>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</si>
  <si>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</si>
  <si>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</si>
  <si>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</si>
  <si>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</si>
  <si>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</si>
  <si>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</si>
  <si>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</si>
  <si>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</si>
  <si>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</si>
  <si>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</si>
  <si>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</si>
  <si>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</si>
  <si>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</si>
  <si>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</si>
  <si>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</si>
  <si>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</si>
  <si>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</si>
  <si>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</si>
  <si>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</si>
  <si>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</si>
  <si>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</si>
  <si>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</si>
  <si>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</si>
  <si>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</si>
  <si>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</si>
  <si>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</si>
  <si>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</si>
  <si>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</si>
  <si>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</si>
  <si>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</si>
  <si>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</si>
  <si>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</si>
  <si>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</si>
  <si>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</si>
  <si>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</si>
  <si>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</si>
  <si>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</si>
  <si>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</si>
  <si>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</si>
  <si>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</si>
  <si>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</si>
  <si>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</si>
  <si>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</si>
  <si>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</si>
  <si>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</si>
  <si>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</si>
  <si>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</si>
  <si>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</si>
  <si>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</si>
  <si>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</si>
  <si>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</si>
  <si>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</si>
  <si>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</si>
  <si>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</si>
  <si>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</si>
  <si>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</si>
  <si>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</si>
  <si>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</si>
  <si>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</si>
  <si>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</si>
  <si>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</si>
  <si>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</si>
  <si>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</si>
  <si>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</si>
  <si>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</si>
  <si>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</si>
  <si>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</si>
  <si>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</si>
  <si>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</si>
  <si>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</si>
  <si>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</si>
  <si>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</si>
  <si>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</si>
  <si>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</si>
  <si>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</si>
  <si>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</si>
  <si>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</si>
  <si>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</si>
  <si>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</si>
  <si>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</si>
  <si>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</si>
  <si>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</si>
  <si>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</si>
  <si>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</si>
  <si>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</si>
  <si>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</si>
  <si>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</si>
  <si>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</si>
  <si>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</si>
  <si>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</si>
  <si>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</si>
  <si>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</si>
  <si>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</si>
  <si>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</si>
  <si>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</si>
  <si>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</si>
  <si>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</si>
  <si>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</si>
  <si>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</si>
  <si>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</si>
  <si>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</si>
  <si>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</si>
  <si>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</si>
  <si>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</si>
  <si>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</si>
  <si>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</si>
  <si>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</si>
  <si>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</si>
  <si>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</si>
  <si>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</si>
  <si>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</si>
  <si>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</si>
  <si>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</si>
  <si>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</si>
  <si>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</si>
  <si>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</si>
  <si>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</si>
  <si>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</si>
  <si>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</si>
  <si>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</si>
  <si>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</si>
  <si>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</si>
  <si>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</si>
  <si>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</si>
  <si>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</si>
  <si>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</si>
  <si>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</si>
  <si>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</si>
  <si>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</si>
  <si>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</si>
  <si>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</si>
  <si>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</si>
  <si>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</si>
  <si>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</si>
  <si>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</si>
  <si>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</si>
  <si>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</si>
  <si>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</si>
  <si>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</si>
  <si>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</si>
  <si>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</si>
  <si>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</si>
  <si>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</si>
  <si>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</si>
  <si>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</si>
  <si>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</si>
  <si>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</si>
  <si>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</si>
  <si>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</si>
  <si>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</si>
  <si>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</si>
  <si>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</si>
  <si>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</si>
  <si>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</si>
  <si>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</si>
  <si>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</si>
  <si>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</si>
  <si>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</si>
  <si>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</si>
  <si>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</si>
  <si>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</si>
  <si>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</si>
  <si>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</si>
  <si>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</si>
  <si>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</si>
  <si>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</si>
  <si>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</si>
  <si>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</si>
  <si>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</si>
  <si>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</si>
  <si>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</si>
  <si>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</si>
  <si>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</si>
  <si>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</si>
  <si>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</si>
  <si>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</si>
  <si>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</si>
  <si>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</si>
  <si>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</si>
  <si>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</si>
  <si>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</si>
  <si>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</si>
  <si>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</si>
  <si>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</si>
  <si>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</si>
  <si>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</si>
  <si>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</si>
  <si>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</si>
  <si>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</si>
  <si>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</si>
  <si>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</si>
  <si>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</si>
  <si>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</si>
  <si>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</si>
  <si>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</si>
  <si>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</si>
  <si>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</si>
  <si>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</si>
  <si>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</si>
  <si>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</si>
  <si>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</si>
  <si>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</si>
  <si>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</si>
  <si>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</si>
  <si>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</si>
  <si>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</si>
  <si>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</si>
  <si>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</si>
  <si>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</si>
  <si>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</si>
  <si>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</si>
  <si>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</si>
  <si>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</si>
  <si>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</si>
  <si>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</si>
  <si>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</si>
  <si>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</si>
  <si>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</si>
  <si>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</si>
  <si>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</si>
  <si>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</si>
  <si>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</si>
  <si>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</si>
  <si>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</si>
  <si>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</si>
  <si>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</si>
  <si>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</si>
  <si>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</si>
  <si>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</si>
  <si>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</si>
  <si>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</si>
  <si>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</si>
  <si>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</si>
  <si>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</si>
  <si>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</si>
  <si>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</si>
  <si>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</si>
  <si>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</si>
  <si>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</si>
  <si>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</si>
  <si>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</si>
  <si>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</si>
  <si>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</si>
  <si>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</si>
  <si>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</si>
  <si>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</si>
  <si>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</si>
  <si>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</si>
  <si>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</si>
  <si>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</si>
  <si>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</si>
  <si>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</si>
  <si>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</si>
  <si>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</si>
  <si>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</si>
  <si>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</si>
  <si>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</si>
  <si>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</si>
  <si>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</si>
  <si>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</si>
  <si>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</si>
  <si>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</si>
  <si>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</si>
  <si>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</si>
  <si>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</si>
  <si>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</si>
  <si>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</si>
  <si>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</si>
  <si>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</si>
  <si>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</si>
  <si>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</si>
  <si>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</si>
  <si>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</si>
  <si>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</si>
  <si>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</si>
  <si>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</si>
  <si>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</si>
  <si>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</si>
  <si>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</si>
  <si>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</si>
  <si>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</si>
  <si>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</si>
  <si>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</si>
  <si>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</si>
  <si>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</si>
  <si>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</si>
  <si>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</si>
  <si>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</si>
  <si>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</si>
  <si>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</si>
  <si>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</si>
  <si>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</si>
  <si>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</si>
  <si>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</si>
  <si>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</si>
  <si>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</si>
  <si>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</si>
  <si>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</si>
  <si>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</si>
  <si>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</si>
  <si>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</si>
  <si>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</si>
  <si>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</si>
  <si>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</si>
  <si>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</si>
  <si>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</si>
  <si>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</si>
  <si>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</si>
  <si>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</si>
  <si>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</si>
  <si>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</si>
  <si>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</si>
  <si>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</si>
  <si>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</si>
  <si>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</si>
  <si>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</si>
  <si>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</si>
  <si>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</si>
  <si>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</si>
  <si>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</si>
  <si>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</si>
  <si>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</si>
  <si>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</si>
  <si>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</si>
  <si>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</si>
  <si>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</si>
  <si>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</si>
  <si>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</si>
  <si>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</si>
  <si>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</si>
  <si>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</si>
  <si>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</si>
  <si>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</si>
  <si>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</si>
  <si>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</si>
  <si>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</si>
  <si>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</si>
  <si>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</si>
  <si>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</si>
  <si>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</si>
  <si>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</si>
  <si>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</si>
  <si>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</si>
  <si>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</si>
  <si>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</si>
  <si>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</si>
  <si>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</si>
  <si>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</si>
  <si>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</si>
  <si>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</si>
  <si>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</si>
  <si>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</si>
  <si>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</si>
  <si>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</si>
  <si>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</si>
  <si>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</si>
  <si>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</si>
  <si>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</si>
  <si>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</si>
  <si>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</si>
  <si>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</si>
  <si>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</si>
  <si>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</si>
  <si>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</si>
  <si>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</si>
  <si>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</si>
  <si>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</si>
  <si>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</si>
  <si>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</si>
  <si>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</si>
  <si>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</si>
  <si>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</si>
  <si>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</si>
  <si>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</si>
  <si>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</si>
  <si>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</si>
  <si>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</si>
  <si>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</si>
  <si>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</si>
  <si>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</si>
  <si>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</si>
  <si>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</si>
  <si>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</si>
  <si>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</si>
  <si>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</si>
  <si>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</si>
  <si>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</si>
  <si>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</si>
  <si>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</si>
  <si>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</si>
  <si>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</si>
  <si>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</si>
  <si>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</si>
  <si>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</si>
  <si>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</si>
  <si>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</si>
  <si>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</si>
  <si>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</si>
  <si>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</si>
  <si>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</si>
  <si>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</si>
  <si>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</si>
  <si>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</si>
  <si>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</si>
  <si>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</si>
  <si>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</si>
  <si>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</si>
  <si>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</si>
  <si>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</si>
  <si>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</si>
  <si>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</si>
  <si>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</si>
  <si>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</si>
  <si>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</si>
  <si>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</si>
  <si>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</si>
  <si>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</si>
  <si>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</si>
  <si>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</si>
  <si>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</si>
  <si>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</si>
  <si>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</si>
  <si>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</si>
  <si>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</si>
  <si>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</si>
  <si>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</si>
  <si>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</si>
  <si>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</si>
  <si>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</si>
  <si>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</si>
  <si>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</si>
  <si>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</si>
  <si>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</si>
  <si>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</si>
  <si>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</si>
  <si>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</si>
  <si>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</si>
  <si>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</si>
  <si>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</si>
  <si>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</si>
  <si>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</si>
  <si>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</si>
  <si>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</si>
  <si>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</si>
  <si>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</si>
  <si>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</si>
  <si>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</si>
  <si>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</si>
  <si>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</si>
  <si>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</si>
  <si>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</si>
  <si>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</si>
  <si>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</si>
  <si>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</si>
  <si>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</si>
  <si>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</si>
  <si>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</si>
  <si>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</si>
  <si>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</si>
  <si>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</si>
  <si>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</si>
  <si>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</si>
  <si>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</si>
  <si>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</si>
  <si>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</si>
  <si>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</si>
  <si>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</si>
  <si>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</si>
  <si>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</si>
  <si>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</si>
  <si>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</si>
  <si>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</si>
  <si>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</si>
  <si>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</si>
  <si>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</si>
  <si>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</si>
  <si>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</si>
  <si>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</si>
  <si>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</si>
  <si>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</si>
  <si>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</si>
  <si>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</si>
  <si>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</si>
  <si>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</si>
  <si>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</si>
  <si>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</si>
  <si>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</si>
  <si>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</si>
  <si>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</si>
  <si>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</si>
  <si>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</si>
  <si>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</si>
  <si>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</si>
  <si>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</si>
  <si>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</si>
  <si>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</si>
  <si>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</si>
  <si>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</si>
  <si>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</si>
  <si>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</si>
  <si>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</si>
  <si>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</si>
  <si>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</si>
  <si>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</si>
  <si>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</si>
  <si>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</si>
  <si>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</si>
  <si>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</si>
  <si>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</si>
  <si>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</si>
  <si>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</si>
  <si>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</si>
  <si>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</si>
  <si>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</si>
  <si>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</si>
  <si>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</si>
  <si>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</si>
  <si>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</si>
  <si>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</si>
  <si>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</si>
  <si>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</si>
  <si>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</si>
  <si>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</si>
  <si>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</si>
  <si>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</si>
  <si>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</si>
  <si>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</si>
  <si>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</si>
  <si>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</si>
  <si>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</si>
  <si>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</si>
  <si>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</si>
  <si>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</si>
  <si>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</si>
  <si>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</si>
  <si>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</si>
  <si>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</si>
  <si>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</si>
  <si>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</si>
  <si>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</si>
  <si>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</si>
  <si>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</si>
  <si>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</si>
  <si>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</si>
  <si>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</si>
  <si>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</si>
  <si>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</si>
  <si>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</si>
  <si>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</si>
  <si>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</si>
  <si>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</si>
  <si>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</si>
  <si>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</si>
  <si>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</si>
  <si>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</si>
  <si>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</si>
  <si>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</si>
  <si>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</si>
  <si>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</si>
  <si>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</si>
  <si>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</si>
  <si>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</si>
  <si>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</si>
  <si>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</si>
  <si>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</si>
  <si>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</si>
  <si>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</si>
  <si>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</si>
  <si>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</si>
  <si>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</si>
  <si>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</si>
  <si>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</si>
  <si>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</si>
  <si>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</si>
  <si>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</si>
  <si>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</si>
  <si>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</si>
  <si>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</si>
  <si>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</si>
  <si>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</si>
  <si>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</si>
  <si>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</si>
  <si>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</si>
  <si>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</si>
  <si>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</si>
  <si>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</si>
  <si>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</si>
  <si>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</si>
  <si>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</si>
  <si>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</si>
  <si>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</si>
  <si>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</si>
  <si>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</si>
  <si>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</si>
  <si>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</si>
  <si>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</si>
  <si>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</si>
  <si>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</si>
  <si>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</si>
  <si>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</si>
  <si>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</si>
  <si>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</si>
  <si>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</si>
  <si>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</si>
  <si>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</si>
  <si>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</si>
  <si>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</si>
  <si>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</si>
  <si>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</si>
  <si>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</si>
  <si>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</si>
  <si>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</si>
  <si>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</si>
  <si>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</si>
  <si>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</si>
  <si>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</si>
  <si>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</si>
  <si>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</si>
  <si>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</si>
  <si>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</si>
  <si>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</si>
  <si>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</si>
  <si>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</si>
  <si>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</si>
  <si>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</si>
  <si>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</si>
  <si>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</si>
  <si>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</si>
  <si>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</si>
  <si>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</si>
  <si>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</si>
  <si>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</si>
  <si>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</si>
  <si>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</si>
  <si>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</si>
  <si>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</si>
  <si>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</si>
  <si>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</si>
  <si>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</si>
  <si>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</si>
  <si>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</si>
  <si>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</si>
  <si>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</si>
  <si>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</si>
  <si>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</si>
  <si>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</si>
  <si>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</si>
  <si>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</si>
  <si>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</si>
  <si>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</si>
  <si>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</si>
  <si>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</si>
  <si>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</si>
  <si>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</si>
  <si>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</si>
  <si>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</si>
  <si>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</si>
  <si>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</si>
  <si>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</si>
  <si>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</si>
  <si>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</si>
  <si>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</si>
  <si>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</si>
  <si>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</si>
  <si>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</si>
  <si>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</si>
  <si>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</si>
  <si>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</si>
  <si>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</si>
  <si>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</si>
  <si>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</si>
  <si>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</si>
  <si>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</si>
  <si>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</si>
  <si>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</si>
  <si>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</si>
  <si>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</si>
  <si>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</si>
  <si>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</si>
  <si>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</si>
  <si>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</si>
  <si>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</si>
  <si>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</si>
  <si>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</si>
  <si>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</si>
  <si>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</si>
  <si>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</si>
  <si>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</si>
  <si>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</si>
  <si>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</si>
  <si>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</si>
  <si>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</si>
  <si>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</si>
  <si>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</si>
  <si>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</si>
  <si>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</si>
  <si>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</si>
  <si>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</si>
  <si>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</si>
  <si>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</si>
  <si>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</si>
  <si>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</si>
  <si>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</si>
  <si>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</si>
  <si>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</si>
  <si>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</si>
  <si>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</si>
  <si>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</si>
  <si>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</si>
  <si>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</si>
  <si>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</si>
  <si>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</si>
  <si>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</si>
  <si>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</si>
  <si>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</si>
  <si>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</si>
  <si>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</si>
  <si>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</si>
  <si>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</si>
  <si>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</si>
  <si>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</si>
  <si>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</si>
  <si>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</si>
  <si>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</si>
  <si>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</si>
  <si>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</si>
  <si>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</si>
  <si>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</si>
  <si>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</si>
  <si>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</si>
  <si>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</si>
  <si>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</si>
  <si>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</si>
  <si>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</si>
  <si>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</si>
  <si>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</si>
  <si>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</si>
  <si>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</si>
  <si>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</si>
  <si>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</si>
  <si>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</si>
  <si>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</si>
  <si>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</si>
  <si>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</si>
  <si>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</si>
  <si>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</si>
  <si>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</si>
  <si>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</si>
  <si>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</si>
  <si>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</si>
  <si>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</si>
  <si>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</si>
  <si>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</si>
  <si>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</si>
  <si>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</si>
  <si>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</si>
  <si>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</si>
  <si>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</si>
  <si>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</si>
  <si>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</si>
  <si>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</si>
  <si>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</si>
  <si>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</si>
  <si>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</si>
  <si>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</si>
  <si>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</si>
  <si>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</si>
  <si>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</si>
  <si>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</si>
  <si>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</si>
  <si>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</si>
  <si>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</si>
  <si>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</si>
  <si>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</si>
  <si>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</si>
  <si>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</si>
  <si>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</si>
  <si>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</si>
  <si>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</si>
  <si>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</si>
  <si>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</si>
  <si>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</si>
  <si>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</si>
  <si>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</si>
  <si>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</si>
  <si>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</si>
  <si>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</si>
  <si>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</si>
  <si>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</si>
  <si>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</si>
  <si>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</si>
  <si>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</si>
  <si>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</si>
  <si>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</si>
  <si>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</si>
  <si>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</si>
  <si>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</si>
  <si>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</si>
  <si>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</si>
  <si>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</si>
  <si>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</si>
  <si>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</si>
  <si>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</si>
  <si>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</si>
  <si>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</si>
  <si>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</si>
  <si>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</si>
  <si>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</si>
  <si>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</si>
  <si>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</si>
  <si>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</si>
  <si>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</si>
  <si>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</si>
  <si>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</si>
  <si>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</si>
  <si>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</si>
  <si>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</si>
  <si>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</si>
  <si>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</si>
  <si>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</si>
  <si>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</si>
  <si>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</si>
  <si>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</si>
  <si>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</si>
  <si>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</si>
  <si>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</si>
  <si>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</si>
  <si>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</si>
  <si>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</si>
  <si>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</si>
  <si>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</si>
  <si>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</si>
  <si>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</si>
  <si>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</si>
  <si>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</si>
  <si>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</si>
  <si>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</si>
  <si>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</si>
  <si>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</si>
  <si>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</si>
  <si>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</si>
  <si>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</si>
  <si>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</si>
  <si>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</si>
  <si>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</si>
  <si>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</si>
  <si>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</si>
  <si>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</si>
  <si>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</si>
  <si>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</si>
  <si>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</si>
  <si>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</si>
  <si>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</si>
  <si>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</si>
  <si>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</si>
  <si>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</si>
  <si>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</si>
  <si>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</si>
  <si>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</si>
  <si>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</si>
  <si>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</si>
  <si>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</si>
  <si>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</si>
  <si>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</si>
  <si>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</si>
  <si>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</si>
  <si>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</si>
  <si>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</si>
  <si>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</si>
  <si>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</si>
  <si>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</si>
  <si>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</si>
  <si>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</si>
  <si>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</si>
  <si>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</si>
  <si>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</si>
  <si>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</si>
  <si>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</si>
  <si>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</si>
  <si>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</si>
  <si>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</si>
  <si>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</si>
  <si>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</si>
  <si>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</si>
  <si>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</si>
  <si>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</si>
  <si>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</si>
  <si>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</si>
  <si>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</si>
  <si>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</si>
  <si>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</si>
  <si>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</si>
  <si>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</si>
  <si>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</si>
  <si>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</si>
  <si>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</si>
  <si>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</si>
  <si>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</si>
  <si>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</si>
  <si>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</si>
  <si>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</si>
  <si>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</si>
  <si>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</si>
  <si>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</si>
  <si>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</si>
  <si>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</si>
  <si>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</si>
  <si>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</si>
  <si>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</si>
  <si>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</si>
  <si>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</si>
  <si>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</si>
  <si>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</si>
  <si>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</si>
  <si>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</si>
  <si>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</si>
  <si>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</si>
  <si>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</si>
  <si>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</si>
  <si>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</si>
  <si>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</si>
  <si>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</si>
  <si>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</si>
  <si>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</si>
  <si>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</si>
  <si>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</si>
  <si>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</si>
  <si>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</si>
  <si>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</si>
  <si>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</si>
  <si>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</si>
  <si>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</si>
  <si>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</si>
  <si>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</si>
  <si>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</si>
  <si>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</si>
  <si>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</si>
  <si>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</si>
  <si>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</si>
  <si>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</si>
  <si>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</si>
  <si>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</si>
  <si>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</si>
  <si>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</si>
  <si>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</si>
  <si>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</si>
  <si>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</si>
  <si>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</si>
  <si>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</si>
  <si>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</si>
  <si>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</si>
  <si>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</si>
  <si>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</si>
  <si>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</si>
  <si>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</si>
  <si>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</si>
  <si>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</si>
  <si>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</si>
  <si>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</si>
  <si>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</si>
  <si>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</si>
  <si>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</si>
  <si>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</si>
  <si>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</si>
  <si>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</si>
  <si>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</si>
  <si>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</si>
  <si>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</si>
  <si>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</si>
  <si>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</si>
  <si>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</si>
  <si>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</si>
  <si>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</si>
  <si>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</si>
  <si>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</si>
  <si>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</si>
  <si>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</si>
  <si>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</si>
  <si>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</si>
  <si>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</si>
  <si>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</si>
  <si>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</si>
  <si>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</si>
  <si>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</si>
  <si>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</si>
  <si>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</si>
  <si>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</si>
  <si>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</si>
  <si>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</si>
  <si>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</si>
  <si>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</si>
  <si>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</si>
  <si>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</si>
  <si>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</si>
  <si>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</si>
  <si>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</si>
  <si>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</si>
  <si>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</si>
  <si>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</si>
  <si>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</si>
  <si>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</si>
  <si>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</si>
  <si>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</si>
  <si>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</si>
  <si>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</si>
  <si>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</si>
  <si>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</si>
  <si>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</si>
  <si>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</si>
  <si>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</si>
  <si>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</si>
  <si>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</si>
  <si>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</si>
  <si>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</si>
  <si>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</si>
  <si>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</si>
  <si>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</si>
  <si>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</si>
  <si>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</si>
  <si>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</si>
  <si>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</si>
  <si>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</si>
  <si>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</si>
  <si>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</si>
  <si>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</si>
  <si>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</si>
  <si>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</si>
  <si>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</si>
  <si>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</si>
  <si>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</si>
  <si>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</si>
  <si>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</si>
  <si>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</si>
  <si>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</si>
  <si>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</si>
  <si>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</si>
  <si>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</si>
  <si>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</si>
  <si>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</si>
  <si>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</si>
  <si>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</si>
  <si>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</si>
  <si>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</si>
  <si>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</si>
  <si>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</si>
  <si>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</si>
  <si>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</si>
  <si>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</si>
  <si>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</si>
  <si>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</si>
  <si>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</si>
  <si>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</si>
  <si>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</si>
  <si>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</si>
  <si>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</si>
  <si>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</si>
  <si>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</si>
  <si>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</si>
  <si>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</si>
  <si>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</si>
  <si>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</si>
  <si>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</si>
  <si>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</si>
  <si>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</si>
  <si>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</si>
  <si>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</si>
  <si>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</si>
  <si>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</si>
  <si>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</si>
  <si>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</si>
  <si>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</si>
  <si>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</si>
  <si>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</si>
  <si>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</si>
  <si>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</si>
  <si>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</si>
  <si>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</si>
  <si>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</si>
  <si>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</si>
  <si>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</si>
  <si>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</si>
  <si>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</si>
  <si>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</si>
  <si>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</si>
  <si>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</si>
  <si>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</si>
  <si>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</si>
  <si>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</si>
  <si>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</si>
  <si>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</si>
  <si>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</si>
  <si>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</si>
  <si>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</si>
  <si>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</si>
  <si>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</si>
  <si>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</si>
  <si>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</si>
  <si>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</si>
  <si>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</si>
  <si>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</si>
  <si>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</si>
  <si>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</si>
  <si>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</si>
  <si>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</si>
  <si>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</si>
  <si>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</si>
  <si>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</si>
  <si>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</si>
  <si>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</si>
  <si>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</si>
  <si>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</si>
  <si>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</si>
  <si>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</si>
  <si>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</si>
  <si>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</si>
  <si>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</si>
  <si>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</si>
  <si>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</si>
  <si>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</si>
  <si>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</si>
  <si>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</si>
  <si>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</si>
  <si>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</si>
  <si>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</si>
  <si>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</si>
  <si>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</si>
  <si>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</si>
  <si>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</si>
  <si>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</si>
  <si>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</si>
  <si>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</si>
  <si>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</si>
  <si>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</si>
  <si>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</si>
  <si>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</si>
  <si>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</si>
  <si>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</si>
  <si>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</si>
  <si>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</si>
  <si>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</si>
  <si>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</si>
  <si>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</si>
  <si>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</si>
  <si>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</si>
  <si>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</si>
  <si>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</si>
  <si>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</si>
  <si>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</si>
  <si>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</si>
  <si>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</si>
  <si>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</si>
  <si>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</si>
  <si>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</si>
  <si>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</si>
  <si>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</si>
  <si>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</si>
  <si>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</si>
  <si>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</si>
  <si>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</si>
  <si>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</si>
  <si>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</si>
  <si>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</si>
  <si>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</si>
  <si>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</si>
  <si>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</si>
  <si>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</si>
  <si>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</si>
  <si>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</si>
  <si>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</si>
  <si>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</si>
  <si>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</si>
  <si>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</si>
  <si>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</si>
  <si>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</si>
  <si>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</si>
  <si>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</si>
  <si>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</si>
  <si>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</si>
  <si>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</si>
  <si>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</si>
  <si>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</si>
  <si>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</si>
  <si>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</si>
  <si>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</si>
  <si>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</si>
  <si>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</si>
  <si>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</si>
  <si>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</si>
  <si>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</si>
  <si>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</si>
  <si>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</si>
  <si>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</si>
  <si>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</si>
  <si>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</si>
  <si>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</si>
  <si>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</si>
  <si>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</si>
  <si>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</si>
  <si>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</si>
  <si>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</si>
  <si>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</si>
  <si>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</si>
  <si>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</si>
  <si>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</si>
  <si>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</si>
  <si>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</si>
  <si>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</si>
  <si>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</si>
  <si>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</si>
  <si>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</si>
  <si>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</si>
  <si>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</si>
  <si>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</si>
  <si>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</si>
  <si>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</si>
  <si>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</si>
  <si>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</si>
  <si>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</si>
  <si>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</si>
  <si>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</si>
  <si>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</si>
  <si>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</si>
  <si>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</si>
  <si>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</si>
  <si>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</si>
  <si>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</si>
  <si>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</si>
  <si>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</si>
  <si>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</si>
  <si>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</si>
  <si>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</si>
  <si>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</si>
  <si>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</si>
  <si>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</si>
  <si>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</si>
  <si>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</si>
  <si>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</si>
  <si>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</si>
  <si>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</si>
  <si>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</si>
  <si>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</si>
  <si>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</si>
  <si>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</si>
  <si>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</si>
  <si>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</si>
  <si>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</si>
  <si>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</si>
  <si>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</si>
  <si>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</si>
  <si>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</si>
  <si>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</si>
  <si>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</si>
  <si>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</si>
  <si>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</si>
  <si>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</si>
  <si>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</si>
  <si>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</si>
  <si>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</si>
  <si>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</si>
  <si>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</si>
  <si>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</si>
  <si>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</si>
  <si>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</si>
  <si>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</si>
  <si>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</si>
  <si>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</si>
  <si>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</si>
  <si>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</si>
  <si>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</si>
  <si>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</si>
  <si>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</si>
  <si>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</si>
  <si>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</si>
  <si>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</si>
  <si>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</si>
  <si>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</si>
  <si>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</si>
  <si>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</si>
  <si>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</si>
  <si>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</si>
  <si>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</si>
  <si>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</si>
  <si>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</si>
  <si>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</si>
  <si>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</si>
  <si>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</si>
  <si>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</si>
  <si>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</si>
  <si>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</si>
  <si>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</si>
  <si>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</si>
  <si>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</si>
  <si>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</si>
  <si>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</si>
  <si>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</si>
  <si>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</si>
  <si>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</si>
  <si>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</si>
  <si>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</si>
  <si>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</si>
  <si>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</si>
  <si>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</si>
  <si>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</si>
  <si>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</si>
  <si>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</si>
  <si>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</si>
  <si>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</si>
  <si>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</si>
  <si>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</si>
  <si>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</si>
  <si>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</si>
  <si>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</si>
  <si>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</si>
  <si>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</si>
  <si>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</si>
  <si>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</si>
  <si>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</si>
  <si>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</si>
  <si>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</si>
  <si>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</si>
  <si>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</si>
  <si>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</si>
  <si>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</si>
  <si>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</si>
  <si>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</si>
  <si>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</si>
  <si>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</si>
  <si>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</si>
  <si>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</si>
  <si>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</si>
  <si>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</si>
  <si>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</si>
  <si>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</si>
  <si>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</si>
  <si>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</si>
  <si>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</si>
  <si>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</si>
  <si>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</si>
  <si>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</si>
  <si>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</si>
  <si>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</si>
  <si>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</si>
  <si>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</si>
  <si>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</si>
  <si>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</si>
  <si>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</si>
  <si>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</si>
  <si>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</si>
  <si>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</si>
  <si>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</si>
  <si>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</si>
  <si>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</si>
  <si>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</si>
  <si>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</si>
  <si>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</si>
  <si>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</si>
  <si>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</si>
  <si>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</si>
  <si>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</si>
  <si>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</si>
  <si>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</si>
  <si>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</si>
  <si>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</si>
  <si>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</si>
  <si>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</si>
  <si>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</si>
  <si>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</si>
  <si>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</si>
  <si>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</si>
  <si>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</si>
  <si>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抵押</t>
  </si>
  <si>
    <t>房地产抵押价值</t>
  </si>
  <si>
    <t>北京市</t>
  </si>
  <si>
    <t>亿利生态广场</t>
    <phoneticPr fontId="6" type="noConversion"/>
  </si>
  <si>
    <t>企业</t>
  </si>
  <si>
    <t>出让</t>
  </si>
  <si>
    <t>建成</t>
    <phoneticPr fontId="3" type="noConversion"/>
  </si>
  <si>
    <t>地上</t>
  </si>
  <si>
    <t>办公楼</t>
  </si>
  <si>
    <t>独立商业</t>
  </si>
  <si>
    <t>地下</t>
  </si>
  <si>
    <t>是</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</si>
  <si>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</si>
  <si>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</si>
  <si>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</si>
  <si>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</si>
  <si>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</si>
  <si>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</si>
  <si>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建筑</t>
    <phoneticPr fontId="3" type="noConversion"/>
  </si>
  <si>
    <t>系数</t>
    <phoneticPr fontId="3" type="noConversion"/>
  </si>
  <si>
    <t>租金</t>
    <phoneticPr fontId="3" type="noConversion"/>
  </si>
  <si>
    <t>商务金融用地（办公类）</t>
  </si>
  <si>
    <t>基准地价修正-商业</t>
  </si>
  <si>
    <t>基准地价修正-商业</t>
    <phoneticPr fontId="16" type="noConversion"/>
  </si>
  <si>
    <t>基准地价修正-办公</t>
  </si>
  <si>
    <t>基准地价修正-办公</t>
    <phoneticPr fontId="16" type="noConversion"/>
  </si>
  <si>
    <t>商务金融用地（商业类）</t>
  </si>
  <si>
    <t>不临58条商业街</t>
  </si>
  <si>
    <t>通路</t>
  </si>
  <si>
    <t>通电</t>
  </si>
  <si>
    <t>通讯</t>
  </si>
  <si>
    <t>通上水</t>
  </si>
  <si>
    <t>通下水</t>
  </si>
  <si>
    <t>平整</t>
  </si>
  <si>
    <t>与级别开发程度不一致</t>
  </si>
  <si>
    <t>按公示增长率计算</t>
  </si>
  <si>
    <t>较好</t>
  </si>
  <si>
    <t>一般</t>
  </si>
  <si>
    <t>好</t>
  </si>
  <si>
    <t>容积率修正</t>
  </si>
  <si>
    <t>部分缴纳</t>
  </si>
  <si>
    <t>已包含在土地取得成本中</t>
  </si>
  <si>
    <t>押一</t>
  </si>
  <si>
    <t>按租金收入计税</t>
  </si>
  <si>
    <t>钢混</t>
  </si>
  <si>
    <t>非生产用房</t>
  </si>
  <si>
    <t>收益法-办公</t>
    <phoneticPr fontId="16" type="noConversion"/>
  </si>
  <si>
    <t>收益法-商业</t>
  </si>
  <si>
    <t>收益法-商业</t>
    <phoneticPr fontId="16" type="noConversion"/>
  </si>
  <si>
    <t>租赁楼层</t>
  </si>
  <si>
    <t>租户</t>
  </si>
  <si>
    <t>开始日期</t>
  </si>
  <si>
    <t>到期日</t>
  </si>
  <si>
    <t>计租面积</t>
  </si>
  <si>
    <t>（㎡）</t>
  </si>
  <si>
    <r>
      <t>起始租金单价（元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</si>
  <si>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现行租金单价（元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</si>
  <si>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管理费（元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</si>
  <si>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1F1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7</t>
    </r>
    <r>
      <rPr>
        <sz val="9"/>
        <color rgb="FF000000"/>
        <rFont val="仿宋"/>
        <family val="3"/>
        <charset val="134"/>
      </rPr>
      <t>室</t>
    </r>
  </si>
  <si>
    <t>中国银行</t>
  </si>
  <si>
    <r>
      <t>1F3</t>
    </r>
    <r>
      <rPr>
        <sz val="9"/>
        <color rgb="FF000000"/>
        <rFont val="仿宋"/>
        <family val="3"/>
        <charset val="134"/>
      </rPr>
      <t>室</t>
    </r>
  </si>
  <si>
    <t>邻鲜便利店</t>
  </si>
  <si>
    <r>
      <t>1F4</t>
    </r>
    <r>
      <rPr>
        <sz val="9"/>
        <color rgb="FF000000"/>
        <rFont val="仿宋"/>
        <family val="3"/>
        <charset val="134"/>
      </rPr>
      <t>室</t>
    </r>
  </si>
  <si>
    <t>牧歌汇</t>
  </si>
  <si>
    <r>
      <t>1F6</t>
    </r>
    <r>
      <rPr>
        <sz val="9"/>
        <color rgb="FF000000"/>
        <rFont val="仿宋"/>
        <family val="3"/>
        <charset val="134"/>
      </rPr>
      <t>室</t>
    </r>
  </si>
  <si>
    <t>星巴克</t>
  </si>
  <si>
    <r>
      <t xml:space="preserve"> 20,000.00</t>
    </r>
    <r>
      <rPr>
        <sz val="9"/>
        <color rgb="FF000000"/>
        <rFont val="仿宋"/>
        <family val="3"/>
        <charset val="134"/>
      </rPr>
      <t>元</t>
    </r>
    <r>
      <rPr>
        <sz val="9"/>
        <color rgb="FF000000"/>
        <rFont val="Times New Roman"/>
        <family val="1"/>
      </rPr>
      <t>/</t>
    </r>
    <r>
      <rPr>
        <sz val="9"/>
        <color rgb="FF000000"/>
        <rFont val="仿宋"/>
        <family val="3"/>
        <charset val="134"/>
      </rPr>
      <t>月</t>
    </r>
  </si>
  <si>
    <r>
      <t>1F5</t>
    </r>
    <r>
      <rPr>
        <sz val="9"/>
        <color rgb="FF000000"/>
        <rFont val="仿宋"/>
        <family val="3"/>
        <charset val="134"/>
      </rPr>
      <t>室、</t>
    </r>
    <r>
      <rPr>
        <sz val="9"/>
        <color rgb="FF000000"/>
        <rFont val="Times New Roman"/>
        <family val="1"/>
      </rPr>
      <t>2F3</t>
    </r>
    <r>
      <rPr>
        <sz val="9"/>
        <color rgb="FF000000"/>
        <rFont val="仿宋"/>
        <family val="3"/>
        <charset val="134"/>
      </rPr>
      <t>室</t>
    </r>
  </si>
  <si>
    <t>渤海银行</t>
  </si>
  <si>
    <r>
      <t>2F1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室</t>
    </r>
  </si>
  <si>
    <t>亿利集团</t>
  </si>
  <si>
    <r>
      <t>10F1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t>
    </r>
    <r>
      <rPr>
        <sz val="9"/>
        <color rgb="FF000000"/>
        <rFont val="Times New Roman"/>
        <family val="1"/>
      </rPr>
      <t>7</t>
    </r>
    <r>
      <rPr>
        <sz val="9"/>
        <color rgb="FF000000"/>
        <rFont val="仿宋"/>
        <family val="3"/>
        <charset val="134"/>
      </rPr>
      <t>、</t>
    </r>
    <r>
      <rPr>
        <sz val="9"/>
        <color rgb="FF000000"/>
        <rFont val="Times New Roman"/>
        <family val="1"/>
      </rPr>
      <t>8</t>
    </r>
    <r>
      <rPr>
        <sz val="9"/>
        <color rgb="FF000000"/>
        <rFont val="仿宋"/>
        <family val="3"/>
        <charset val="134"/>
      </rPr>
      <t>室</t>
    </r>
  </si>
  <si>
    <r>
      <t>10F6</t>
    </r>
    <r>
      <rPr>
        <sz val="9"/>
        <color rgb="FF000000"/>
        <rFont val="仿宋"/>
        <family val="3"/>
        <charset val="134"/>
      </rPr>
      <t>室</t>
    </r>
  </si>
  <si>
    <r>
      <t>13F</t>
    </r>
    <r>
      <rPr>
        <sz val="9"/>
        <color rgb="FF000000"/>
        <rFont val="仿宋"/>
        <family val="3"/>
        <charset val="134"/>
      </rPr>
      <t>整层</t>
    </r>
  </si>
  <si>
    <t>华一银河科技</t>
  </si>
  <si>
    <r>
      <t>二期</t>
    </r>
    <r>
      <rPr>
        <sz val="9"/>
        <color rgb="FF000000"/>
        <rFont val="Times New Roman"/>
        <family val="1"/>
      </rPr>
      <t>864.05</t>
    </r>
  </si>
  <si>
    <r>
      <t>15F</t>
    </r>
    <r>
      <rPr>
        <sz val="9"/>
        <color rgb="FF000000"/>
        <rFont val="仿宋"/>
        <family val="3"/>
        <charset val="134"/>
      </rPr>
      <t>整层</t>
    </r>
  </si>
  <si>
    <r>
      <t>16F</t>
    </r>
    <r>
      <rPr>
        <sz val="9"/>
        <color rgb="FF000000"/>
        <rFont val="仿宋"/>
        <family val="3"/>
        <charset val="134"/>
      </rPr>
      <t>整层</t>
    </r>
  </si>
  <si>
    <t>中视体育</t>
  </si>
  <si>
    <r>
      <t>19F1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室</t>
    </r>
  </si>
  <si>
    <t>计租面积㎡</t>
  </si>
  <si>
    <r>
      <t>1F101</t>
    </r>
    <r>
      <rPr>
        <sz val="9"/>
        <color rgb="FF000000"/>
        <rFont val="仿宋"/>
        <family val="3"/>
        <charset val="134"/>
      </rPr>
      <t>室</t>
    </r>
  </si>
  <si>
    <r>
      <t>1F102</t>
    </r>
    <r>
      <rPr>
        <sz val="9"/>
        <color rgb="FF000000"/>
        <rFont val="仿宋"/>
        <family val="3"/>
        <charset val="134"/>
      </rPr>
      <t>室</t>
    </r>
  </si>
  <si>
    <r>
      <t>2F</t>
    </r>
    <r>
      <rPr>
        <sz val="9"/>
        <color rgb="FF000000"/>
        <rFont val="仿宋"/>
        <family val="3"/>
        <charset val="134"/>
      </rPr>
      <t>整层</t>
    </r>
  </si>
  <si>
    <r>
      <t>3F</t>
    </r>
    <r>
      <rPr>
        <sz val="9"/>
        <color rgb="FF000000"/>
        <rFont val="仿宋"/>
        <family val="3"/>
        <charset val="134"/>
      </rPr>
      <t>整层</t>
    </r>
  </si>
  <si>
    <r>
      <t>4F</t>
    </r>
    <r>
      <rPr>
        <sz val="9"/>
        <color rgb="FF000000"/>
        <rFont val="仿宋"/>
        <family val="3"/>
        <charset val="134"/>
      </rPr>
      <t>整层</t>
    </r>
  </si>
  <si>
    <t>江南赋餐厅</t>
  </si>
  <si>
    <r>
      <t>B1</t>
    </r>
    <r>
      <rPr>
        <sz val="9"/>
        <color rgb="FF000000"/>
        <rFont val="仿宋"/>
        <family val="3"/>
        <charset val="134"/>
      </rPr>
      <t>部分</t>
    </r>
  </si>
  <si>
    <t>能量满满</t>
  </si>
  <si>
    <r>
      <t>B1</t>
    </r>
    <r>
      <rPr>
        <sz val="9"/>
        <color rgb="FF000000"/>
        <rFont val="仿宋"/>
        <family val="3"/>
        <charset val="134"/>
      </rPr>
      <t>剩余部分</t>
    </r>
  </si>
  <si>
    <t>成本法</t>
  </si>
  <si>
    <t>正常</t>
  </si>
  <si>
    <t>转让取得</t>
  </si>
  <si>
    <t>总价</t>
  </si>
  <si>
    <t>成本比率</t>
  </si>
  <si>
    <t xml:space="preserve"> </t>
    <phoneticPr fontId="140" type="noConversion"/>
  </si>
  <si>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</si>
  <si>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</si>
  <si>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</si>
  <si>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</si>
  <si>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</si>
  <si>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</si>
  <si>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未包含在土地购买价格中</t>
  </si>
  <si>
    <t>需扣减承租人权益</t>
  </si>
  <si>
    <t>现房</t>
  </si>
  <si>
    <t>项目局部</t>
  </si>
  <si>
    <t>购房发票</t>
  </si>
  <si>
    <r>
      <t>一期</t>
    </r>
    <r>
      <rPr>
        <sz val="9"/>
        <color rgb="FF000000"/>
        <rFont val="Times New Roman"/>
        <family val="1"/>
      </rPr>
      <t>1500</t>
    </r>
    <r>
      <rPr>
        <sz val="9"/>
        <color rgb="FF000000"/>
        <rFont val="仿宋"/>
        <family val="3"/>
        <charset val="134"/>
      </rPr>
      <t>；</t>
    </r>
    <phoneticPr fontId="140" type="noConversion"/>
  </si>
  <si>
    <t>收益法-办公</t>
  </si>
  <si>
    <t>售价</t>
  </si>
  <si>
    <t>比较法-办公</t>
  </si>
  <si>
    <t>2016年5月1日后购买</t>
  </si>
  <si>
    <t>楼层</t>
    <phoneticPr fontId="3" type="noConversion"/>
  </si>
  <si>
    <t>高</t>
  </si>
  <si>
    <t>高</t>
    <phoneticPr fontId="25" type="noConversion"/>
  </si>
  <si>
    <t>中</t>
  </si>
  <si>
    <t>中</t>
    <phoneticPr fontId="25" type="noConversion"/>
  </si>
  <si>
    <t>低</t>
  </si>
  <si>
    <t>低</t>
    <phoneticPr fontId="25" type="noConversion"/>
  </si>
  <si>
    <t>办公-基准</t>
  </si>
  <si>
    <t>办公-基准</t>
    <phoneticPr fontId="7" type="noConversion"/>
  </si>
  <si>
    <r>
      <rPr>
        <sz val="10"/>
        <color indexed="8"/>
        <rFont val="宋体"/>
        <family val="3"/>
        <charset val="134"/>
      </rPr>
      <t>办公</t>
    </r>
    <r>
      <rPr>
        <sz val="10"/>
        <color indexed="8"/>
        <rFont val="Arial"/>
        <family val="2"/>
      </rPr>
      <t>-</t>
    </r>
    <r>
      <rPr>
        <sz val="10"/>
        <color indexed="8"/>
        <rFont val="宋体"/>
        <family val="3"/>
        <charset val="134"/>
      </rPr>
      <t>其他</t>
    </r>
    <phoneticPr fontId="7" type="noConversion"/>
  </si>
  <si>
    <t>情况4</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</si>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</sst>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仿宋"/>
      <family val="3"/>
      <charset val="134"/>
    </font>
    <font>
      <b/>
      <sz val="9"/>
      <color rgb="FF000000"/>
      <name val="Times New Roman"/>
      <family val="1"/>
    </font>
    <font>
      <sz val="9"/>
      <color rgb="FF000000"/>
      <name val="Times New Roman"/>
      <family val="1"/>
    </font>
    <font>
      <sz val="9"/>
      <color rgb="FF000000"/>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54" fillId="13" borderId="162" xfId="0" applyFont="1" applyFill="1" applyBorder="1" applyAlignment="1">
      <alignment horizontal="center" wrapText="1"/>
    </xf>
    <xf numFmtId="0" fontId="254" fillId="13" borderId="163" xfId="0" applyFont="1" applyFill="1" applyBorder="1" applyAlignment="1">
      <alignment horizontal="center" wrapText="1"/>
    </xf>
    <xf numFmtId="0" fontId="256" fillId="13" borderId="160" xfId="0" applyFont="1" applyFill="1" applyBorder="1" applyAlignment="1">
      <alignment horizontal="center"/>
    </xf>
    <xf numFmtId="0" fontId="257" fillId="13" borderId="163" xfId="0" applyFont="1" applyFill="1" applyBorder="1" applyAlignment="1">
      <alignment horizontal="center"/>
    </xf>
    <xf numFmtId="14" fontId="256" fillId="13" borderId="163" xfId="0" applyNumberFormat="1" applyFont="1" applyFill="1" applyBorder="1" applyAlignment="1">
      <alignment horizontal="center"/>
    </xf>
    <xf numFmtId="0" fontId="256" fillId="13" borderId="163" xfId="0" applyFont="1" applyFill="1" applyBorder="1" applyAlignment="1">
      <alignment horizontal="center"/>
    </xf>
    <xf numFmtId="14" fontId="256" fillId="0" borderId="163" xfId="0" applyNumberFormat="1" applyFont="1" applyBorder="1" applyAlignment="1">
      <alignment horizontal="center"/>
    </xf>
    <xf numFmtId="0" fontId="257" fillId="13" borderId="165" xfId="0" applyFont="1" applyFill="1" applyBorder="1" applyAlignment="1">
      <alignment horizontal="center"/>
    </xf>
    <xf numFmtId="0" fontId="256" fillId="13" borderId="165" xfId="0" applyFont="1" applyFill="1" applyBorder="1" applyAlignment="1">
      <alignment horizontal="center"/>
    </xf>
    <xf numFmtId="0" fontId="256" fillId="0" borderId="163" xfId="0" applyFont="1" applyBorder="1" applyAlignment="1">
      <alignment horizontal="center"/>
    </xf>
    <xf numFmtId="4" fontId="256" fillId="13" borderId="163" xfId="0" applyNumberFormat="1" applyFont="1" applyFill="1" applyBorder="1" applyAlignment="1">
      <alignment horizontal="center"/>
    </xf>
    <xf numFmtId="0" fontId="254" fillId="13" borderId="158" xfId="0" applyFont="1" applyFill="1" applyBorder="1" applyAlignment="1">
      <alignment horizontal="center"/>
    </xf>
    <xf numFmtId="0" fontId="254" fillId="13" borderId="161" xfId="0" applyFont="1" applyFill="1" applyBorder="1" applyAlignment="1">
      <alignment horizontal="center"/>
    </xf>
    <xf numFmtId="0" fontId="254" fillId="13" borderId="161" xfId="0" applyFont="1" applyFill="1" applyBorder="1" applyAlignment="1">
      <alignment horizontal="center" wrapText="1"/>
    </xf>
    <xf numFmtId="0" fontId="46" fillId="0" borderId="1" xfId="0" applyFont="1" applyBorder="1" applyAlignment="1" applyProtection="1">
      <alignment horizontal="center" vertical="center"/>
      <protection locked="0"/>
    </xf>
    <xf numFmtId="0" fontId="55" fillId="6" borderId="0"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98" fillId="0" borderId="0" xfId="0" applyFont="1">
      <alignment vertical="center"/>
    </xf>
    <xf numFmtId="181" fontId="103" fillId="20" borderId="1" xfId="0" applyNumberFormat="1" applyFont="1" applyFill="1" applyBorder="1" applyAlignment="1" applyProtection="1">
      <alignment horizontal="center" vertical="center"/>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0" fillId="20" borderId="0" xfId="0" applyFill="1">
      <alignment vertical="center"/>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03" fillId="0" borderId="0" xfId="0" applyFont="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13" borderId="159" xfId="0" applyFont="1" applyFill="1" applyBorder="1" applyAlignment="1">
      <alignment horizontal="center"/>
    </xf>
    <xf numFmtId="0" fontId="254" fillId="13" borderId="160" xfId="0" applyFont="1" applyFill="1" applyBorder="1" applyAlignment="1">
      <alignment horizontal="center"/>
    </xf>
    <xf numFmtId="0" fontId="256" fillId="13" borderId="159" xfId="0" applyFont="1" applyFill="1" applyBorder="1" applyAlignment="1">
      <alignment horizontal="center"/>
    </xf>
    <xf numFmtId="0" fontId="256" fillId="13" borderId="164" xfId="0" applyFont="1" applyFill="1" applyBorder="1" applyAlignment="1">
      <alignment horizontal="center"/>
    </xf>
    <xf numFmtId="0" fontId="256" fillId="13" borderId="160" xfId="0" applyFont="1" applyFill="1" applyBorder="1" applyAlignment="1">
      <alignment horizontal="center"/>
    </xf>
    <xf numFmtId="0" fontId="257" fillId="13" borderId="159" xfId="0" applyFont="1" applyFill="1" applyBorder="1" applyAlignment="1">
      <alignment horizontal="center"/>
    </xf>
    <xf numFmtId="0" fontId="257" fillId="13" borderId="164" xfId="0" applyFont="1" applyFill="1" applyBorder="1" applyAlignment="1">
      <alignment horizontal="center"/>
    </xf>
    <xf numFmtId="0" fontId="257" fillId="13" borderId="160" xfId="0" applyFont="1" applyFill="1" applyBorder="1" applyAlignment="1">
      <alignment horizontal="center"/>
    </xf>
    <xf numFmtId="14" fontId="256" fillId="13" borderId="159" xfId="0" applyNumberFormat="1" applyFont="1" applyFill="1" applyBorder="1" applyAlignment="1">
      <alignment horizontal="center"/>
    </xf>
    <xf numFmtId="14" fontId="256" fillId="13" borderId="164" xfId="0" applyNumberFormat="1" applyFont="1" applyFill="1" applyBorder="1" applyAlignment="1">
      <alignment horizontal="center"/>
    </xf>
    <xf numFmtId="14" fontId="256" fillId="13" borderId="160" xfId="0" applyNumberFormat="1"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北京市亿利生态广场房地产抵押价值预评估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受贵公司委托，我公司对北京市亿利生态广场房地产抵押价值进行了预评估。</v>
      </c>
    </row>
    <row r="7" spans="1:2" s="1364" customFormat="1">
      <c r="A7" s="1362" t="s">
        <v>1231</v>
      </c>
      <c r="B7" s="1363" t="str">
        <f>'预评函-1'!A7</f>
        <v>估价对象为北京市亿利生态广场房地产，为所有。根据《国有土地使用证》[]，估价对象（分摊）出让国有建设用地使用权面积为4399.12平方米，建筑面积为15279.68平方米。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估价对象为北京市亿利生态广场房地产,属开发建设的，该项目尚在开发建设中。根据《国有土地使用证》[]，估价对象（分摊）出让国有建设用地使用权面积为4399.12平方米，规划建筑面积为15279.68平方米。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2020年9月14日</v>
      </c>
    </row>
    <row r="13" spans="1:2" s="1364" customFormat="1">
      <c r="A13" s="1362" t="s">
        <v>1194</v>
      </c>
      <c r="B13" s="1363" t="str">
        <f>'预评函-1'!A18</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5321</v>
      </c>
    </row>
    <row r="21" spans="1:2" s="1364" customFormat="1">
      <c r="A21" s="1362" t="s">
        <v>1202</v>
      </c>
      <c r="B21" s="1363" t="e">
        <f ca="1">'预评函-2'!D7</f>
        <v>#DIV/0!</v>
      </c>
    </row>
    <row r="22" spans="1:2" s="1364" customFormat="1">
      <c r="A22" s="1362" t="s">
        <v>1203</v>
      </c>
      <c r="B22" s="1363" t="str">
        <f ca="1">'预评函-2'!D6</f>
        <v>伍仟叁佰贰拾壹万元整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5321</v>
      </c>
    </row>
    <row r="31" spans="1:2" s="1364" customFormat="1">
      <c r="A31" s="1362" t="s">
        <v>1241</v>
      </c>
      <c r="B31" s="1363">
        <f ca="1">'预评函-2'!D15</f>
        <v>3482</v>
      </c>
    </row>
    <row r="32" spans="1:2" s="1364" customFormat="1">
      <c r="A32" s="1362" t="s">
        <v>1208</v>
      </c>
      <c r="B32" s="1363" t="str">
        <f ca="1">'预评函-2'!D14</f>
        <v>伍仟叁佰贰拾壹万元整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104937</v>
      </c>
    </row>
    <row r="39" spans="1:2" s="1364" customFormat="1">
      <c r="A39" s="1362" t="s">
        <v>1210</v>
      </c>
      <c r="B39" s="1363">
        <f ca="1">'预评函-2'!D21</f>
        <v>68677</v>
      </c>
    </row>
    <row r="40" spans="1:2" s="1364" customFormat="1">
      <c r="A40" s="1362" t="s">
        <v>1211</v>
      </c>
      <c r="B40" s="1363" t="str">
        <f ca="1">'预评函-2'!D20</f>
        <v>壹拾亿肆仟玖佰叁拾柒万元整</v>
      </c>
    </row>
    <row r="41" spans="1:2" s="1364" customFormat="1">
      <c r="A41" s="1362" t="s">
        <v>1257</v>
      </c>
      <c r="B41" s="1363" t="str">
        <f>'预评函-3'!A4</f>
        <v>北京市亿利生态广场房地产</v>
      </c>
    </row>
    <row r="42" spans="1:2" s="1364" customFormat="1">
      <c r="A42" s="1362" t="s">
        <v>1255</v>
      </c>
      <c r="B42" s="1363" t="str">
        <f>'预评函-3'!B2</f>
        <v>建筑面积</v>
      </c>
    </row>
    <row r="43" spans="1:2" s="1364" customFormat="1">
      <c r="A43" s="1362" t="s">
        <v>1256</v>
      </c>
      <c r="B43" s="1363">
        <f>'预评函-3'!B4</f>
        <v>15279.68</v>
      </c>
    </row>
    <row r="44" spans="1:2" s="1364" customFormat="1">
      <c r="A44" s="1362" t="s">
        <v>1240</v>
      </c>
      <c r="B44" s="1363" t="str">
        <f>'预评函-3'!C2</f>
        <v>(分摊)土地面积</v>
      </c>
    </row>
    <row r="45" spans="1:2" s="1364" customFormat="1">
      <c r="A45" s="1362" t="s">
        <v>1212</v>
      </c>
      <c r="B45" s="1363">
        <f>'预评函-3'!C4</f>
        <v>4399.12</v>
      </c>
    </row>
    <row r="46" spans="1:2" s="1364" customFormat="1">
      <c r="A46" s="1362" t="s">
        <v>1238</v>
      </c>
      <c r="B46" s="1363" t="str">
        <f>'预评函-3'!D2</f>
        <v>出让国有建设用地使用权价值</v>
      </c>
    </row>
    <row r="47" spans="1:2" s="1364" customFormat="1">
      <c r="A47" s="1362" t="s">
        <v>1213</v>
      </c>
      <c r="B47" s="1363" t="e">
        <f ca="1">'预评函-3'!D4</f>
        <v>#DIV/0!</v>
      </c>
    </row>
    <row r="48" spans="1:2" s="1364" customFormat="1">
      <c r="A48" s="1362" t="s">
        <v>1214</v>
      </c>
      <c r="B48" s="1363" t="e">
        <f ca="1">'预评函-3'!E4</f>
        <v>#DIV/0!</v>
      </c>
    </row>
    <row r="49" spans="1:2" s="1364" customFormat="1">
      <c r="A49" s="1362" t="s">
        <v>1215</v>
      </c>
      <c r="B49" s="1363" t="e">
        <f ca="1">'预评函-3'!D5</f>
        <v>#DIV/0!</v>
      </c>
    </row>
    <row r="50" spans="1:2" s="1364" customFormat="1">
      <c r="A50" s="1362" t="s">
        <v>1239</v>
      </c>
      <c r="B50" s="1363" t="str">
        <f>'预评函-3'!F2</f>
        <v>在建建筑物价值</v>
      </c>
    </row>
    <row r="51" spans="1:2" s="1364" customFormat="1">
      <c r="A51" s="1362" t="s">
        <v>1216</v>
      </c>
      <c r="B51" s="1363" t="e">
        <f ca="1">'预评函-3'!F4</f>
        <v>#DIV/0!</v>
      </c>
    </row>
    <row r="52" spans="1:2" s="1364" customFormat="1">
      <c r="A52" s="1362" t="s">
        <v>1217</v>
      </c>
      <c r="B52" s="1363" t="e">
        <f ca="1">'预评函-3'!G4</f>
        <v>#DIV/0!</v>
      </c>
    </row>
    <row r="53" spans="1:2" s="1364" customFormat="1">
      <c r="A53" s="1362" t="s">
        <v>1245</v>
      </c>
      <c r="B53" s="1363" t="e">
        <f ca="1">'预评函-3'!F5</f>
        <v>#DIV/0!</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F23" sqref="F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3035</v>
      </c>
      <c r="C17" s="1733"/>
    </row>
    <row r="18" spans="1:3">
      <c r="A18" s="1732" t="s">
        <v>1732</v>
      </c>
      <c r="B18" s="1732" t="s">
        <v>3080</v>
      </c>
      <c r="C18" s="1733"/>
    </row>
    <row r="19" spans="1:3">
      <c r="A19" s="1732" t="s">
        <v>1733</v>
      </c>
      <c r="B19" s="1732" t="s">
        <v>3082</v>
      </c>
      <c r="C19" s="1733"/>
    </row>
    <row r="20" spans="1:3">
      <c r="A20" s="1732" t="s">
        <v>1734</v>
      </c>
      <c r="B20" s="1732" t="s">
        <v>3103</v>
      </c>
      <c r="C20" s="1733"/>
    </row>
    <row r="21" spans="1:3">
      <c r="A21" s="1732" t="s">
        <v>1735</v>
      </c>
      <c r="B21" s="1732" t="s">
        <v>3105</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拟使用北京市亿利生态广场房地产作为抵押担保物，向办理贷款手续。特委托北京康正宏基房地产评估有限公司对上述抵押物进行评估。本次评估为确定房地产抵押贷款额度提供参考依据而评估房地产抵押价值。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1740" t="s">
        <v>832</v>
      </c>
      <c r="C54" s="1737" t="s">
        <v>1248</v>
      </c>
    </row>
    <row r="55" spans="1:4">
      <c r="A55" s="3135"/>
      <c r="B55" s="1740" t="s">
        <v>833</v>
      </c>
      <c r="C55" s="1737" t="s">
        <v>1249</v>
      </c>
    </row>
    <row r="56" spans="1:4">
      <c r="A56" s="3135"/>
      <c r="B56" s="1740" t="s">
        <v>834</v>
      </c>
      <c r="C56" s="1737" t="s">
        <v>1253</v>
      </c>
    </row>
    <row r="57" spans="1:4">
      <c r="A57" s="313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34" sqref="L3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36" t="str">
        <f>IF(B10="北京市","北京市",C10)&amp;F10&amp;IF(结果表!G1="在建","出让国有建设用地使用权及在建建筑物",IF(结果表!G1="土地","出让国有建设用地使用权",))&amp;B9&amp;"预评估"</f>
        <v>北京市亿利生态广场房地产抵押价值预评估</v>
      </c>
      <c r="C1" s="3137"/>
      <c r="D1" s="3137"/>
      <c r="E1" s="3137"/>
      <c r="F1" s="3137"/>
      <c r="G1" s="3137"/>
      <c r="H1" s="3137"/>
      <c r="I1" s="3138"/>
      <c r="J1" s="2696"/>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北京市亿利生态广场房地产抵押价值</v>
      </c>
      <c r="T1" s="1932"/>
      <c r="U1" s="1932"/>
      <c r="V1" s="1932"/>
      <c r="W1" s="1932"/>
      <c r="X1" s="1932"/>
      <c r="Y1" s="1932"/>
      <c r="Z1" s="1932"/>
      <c r="AA1" s="1932"/>
      <c r="AB1" s="1932"/>
    </row>
    <row r="2" spans="1:28">
      <c r="A2" s="2592" t="s">
        <v>2915</v>
      </c>
      <c r="B2" s="2596"/>
      <c r="C2" s="2597"/>
      <c r="D2" s="2896"/>
      <c r="E2" s="2887"/>
      <c r="F2" s="2887"/>
      <c r="G2" s="2888"/>
      <c r="H2" s="2888"/>
      <c r="I2" s="2888"/>
      <c r="J2" s="2696"/>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北京市亿利生态广场房地产</v>
      </c>
      <c r="T2" s="1932"/>
      <c r="U2" s="1932"/>
      <c r="V2" s="1932"/>
      <c r="W2" s="1932"/>
      <c r="X2" s="1932"/>
      <c r="Y2" s="1932"/>
      <c r="Z2" s="1932"/>
      <c r="AA2" s="1932"/>
      <c r="AB2" s="1932"/>
    </row>
    <row r="3" spans="1:28">
      <c r="A3" s="307" t="s">
        <v>2916</v>
      </c>
      <c r="B3" s="2598"/>
      <c r="C3" s="2599" t="s">
        <v>2917</v>
      </c>
      <c r="D3" s="2598">
        <v>44088</v>
      </c>
      <c r="E3" s="2888"/>
      <c r="F3" s="2888"/>
      <c r="G3" s="2888"/>
      <c r="H3" s="2888"/>
      <c r="I3" s="2888"/>
      <c r="J3" s="2696"/>
      <c r="K3" s="2593"/>
      <c r="L3" s="2594"/>
      <c r="M3" s="2594"/>
      <c r="N3" s="2595"/>
      <c r="O3" s="1762"/>
      <c r="P3" s="2595"/>
      <c r="Q3" s="2595"/>
      <c r="R3" s="2595"/>
      <c r="S3" s="1869"/>
      <c r="T3" s="1932"/>
      <c r="U3" s="1932"/>
      <c r="V3" s="1932"/>
      <c r="W3" s="1932"/>
      <c r="X3" s="1932"/>
      <c r="Y3" s="1932"/>
      <c r="Z3" s="1932"/>
      <c r="AA3" s="1932"/>
      <c r="AB3" s="1932"/>
    </row>
    <row r="4" spans="1:28" ht="13.5" thickBot="1">
      <c r="A4" s="1249" t="s">
        <v>2918</v>
      </c>
      <c r="B4" s="2600" t="s">
        <v>3055</v>
      </c>
      <c r="C4" s="2601">
        <f ca="1">SUMIF(注册房地产估价师,B4,估价师及机构信息!B3:B24)</f>
        <v>1120100036</v>
      </c>
      <c r="D4" s="2600" t="s">
        <v>3056</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89"/>
      <c r="F5" s="2889"/>
      <c r="G5" s="2889"/>
      <c r="H5" s="2889"/>
      <c r="I5" s="2889"/>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87"/>
      <c r="F6" s="2889"/>
      <c r="G6" s="2889"/>
      <c r="H6" s="2889"/>
      <c r="I6" s="2889"/>
      <c r="J6" s="2666"/>
      <c r="K6" s="2839" t="str">
        <f>IF(COUNTIF(B6,"*上海银行*"),"上海银行","")</f>
        <v/>
      </c>
      <c r="L6" s="2837"/>
      <c r="M6" s="2837"/>
      <c r="N6" s="2666"/>
      <c r="O6" s="2677"/>
      <c r="P6" s="2666"/>
      <c r="Q6" s="2666"/>
      <c r="R6" s="2666"/>
    </row>
    <row r="7" spans="1:28">
      <c r="A7" s="2608" t="s">
        <v>2921</v>
      </c>
      <c r="B7" s="2612"/>
      <c r="C7" s="2610"/>
      <c r="D7" s="2611"/>
      <c r="E7" s="2887"/>
      <c r="F7" s="2889"/>
      <c r="G7" s="2889"/>
      <c r="H7" s="2889"/>
      <c r="I7" s="2889"/>
      <c r="J7" s="2666"/>
      <c r="K7" s="2840"/>
      <c r="L7" s="2837"/>
      <c r="M7" s="2837"/>
      <c r="N7" s="2666"/>
      <c r="O7" s="2677"/>
      <c r="P7" s="2666"/>
      <c r="Q7" s="2666"/>
      <c r="R7" s="2666"/>
    </row>
    <row r="8" spans="1:28">
      <c r="A8" s="2613" t="s">
        <v>2922</v>
      </c>
      <c r="B8" s="2614" t="s">
        <v>3057</v>
      </c>
      <c r="C8" s="2615"/>
      <c r="D8" s="3139" t="s">
        <v>2923</v>
      </c>
      <c r="E8" s="2616" t="s">
        <v>3058</v>
      </c>
      <c r="F8" s="2617"/>
      <c r="G8" s="2888"/>
      <c r="H8" s="2888"/>
      <c r="I8" s="2888"/>
      <c r="J8" s="2666"/>
      <c r="K8" s="2838"/>
      <c r="L8" s="2837"/>
      <c r="M8" s="2837"/>
      <c r="N8" s="2666"/>
      <c r="O8" s="2677"/>
      <c r="P8" s="2666"/>
      <c r="Q8" s="2666"/>
      <c r="R8" s="2666"/>
    </row>
    <row r="9" spans="1:28" ht="13.5" thickBot="1">
      <c r="A9" s="2618" t="s">
        <v>2924</v>
      </c>
      <c r="B9" s="2619" t="s">
        <v>3058</v>
      </c>
      <c r="C9" s="2620"/>
      <c r="D9" s="3140"/>
      <c r="E9" s="2619" t="s">
        <v>1252</v>
      </c>
      <c r="F9" s="2621"/>
      <c r="G9" s="2890"/>
      <c r="H9" s="2890"/>
      <c r="I9" s="2890"/>
      <c r="J9" s="2666"/>
      <c r="K9" s="2840"/>
      <c r="L9" s="2837"/>
      <c r="M9" s="2837"/>
      <c r="N9" s="2666"/>
      <c r="O9" s="2677"/>
      <c r="P9" s="2666"/>
      <c r="Q9" s="2666"/>
      <c r="R9" s="2666"/>
    </row>
    <row r="10" spans="1:28" ht="13.5" thickTop="1">
      <c r="A10" s="2622" t="s">
        <v>2925</v>
      </c>
      <c r="B10" s="2623" t="s">
        <v>3059</v>
      </c>
      <c r="C10" s="2624"/>
      <c r="D10" s="2607"/>
      <c r="E10" s="2625" t="s">
        <v>2926</v>
      </c>
      <c r="F10" s="3061" t="s">
        <v>3060</v>
      </c>
      <c r="G10" s="2891"/>
      <c r="H10" s="2892"/>
      <c r="I10" s="2893"/>
      <c r="J10" s="2666"/>
      <c r="K10" s="2840"/>
      <c r="L10" s="2837"/>
      <c r="M10" s="2837"/>
      <c r="N10" s="2666"/>
      <c r="O10" s="2677"/>
      <c r="P10" s="2666"/>
      <c r="Q10" s="2666"/>
      <c r="R10" s="2666"/>
    </row>
    <row r="11" spans="1:28">
      <c r="A11" s="2626" t="s">
        <v>2927</v>
      </c>
      <c r="B11" s="2627" t="s">
        <v>3061</v>
      </c>
      <c r="C11" s="2628"/>
      <c r="D11" s="2629"/>
      <c r="E11" s="2595"/>
      <c r="F11" s="2595"/>
      <c r="G11" s="2595"/>
      <c r="H11" s="2595"/>
      <c r="I11" s="2595"/>
      <c r="J11" s="2666"/>
      <c r="K11" s="2840"/>
      <c r="L11" s="2837"/>
      <c r="M11" s="2837"/>
      <c r="N11" s="2666"/>
      <c r="O11" s="2677"/>
      <c r="P11" s="2666"/>
      <c r="Q11" s="2666"/>
      <c r="R11" s="2666"/>
    </row>
    <row r="12" spans="1:28">
      <c r="A12" s="2630" t="s">
        <v>2928</v>
      </c>
      <c r="B12" s="2627" t="s">
        <v>3062</v>
      </c>
      <c r="C12" s="328" t="s">
        <v>2929</v>
      </c>
      <c r="D12" s="2631" t="s">
        <v>2930</v>
      </c>
      <c r="E12" s="2631" t="s">
        <v>2931</v>
      </c>
      <c r="F12" s="2631" t="s">
        <v>2932</v>
      </c>
      <c r="G12" s="2631" t="s">
        <v>2933</v>
      </c>
      <c r="H12" s="2631" t="s">
        <v>2934</v>
      </c>
      <c r="I12" s="2631" t="s">
        <v>2935</v>
      </c>
      <c r="J12" s="2666"/>
      <c r="K12" s="2840"/>
      <c r="L12" s="2837"/>
      <c r="M12" s="2837"/>
      <c r="N12" s="2666"/>
      <c r="O12" s="2677"/>
      <c r="P12" s="2666"/>
      <c r="Q12" s="2666"/>
      <c r="R12" s="2666"/>
    </row>
    <row r="13" spans="1:28">
      <c r="A13" s="1240"/>
      <c r="B13" s="2632"/>
      <c r="C13" s="2633" t="s">
        <v>2936</v>
      </c>
      <c r="D13" s="964"/>
      <c r="E13" s="964">
        <v>52595</v>
      </c>
      <c r="F13" s="964">
        <v>56248</v>
      </c>
      <c r="G13" s="964">
        <v>47098</v>
      </c>
      <c r="H13" s="964"/>
      <c r="I13" s="964"/>
      <c r="J13" s="2666"/>
      <c r="K13" s="2840"/>
      <c r="L13" s="2837"/>
      <c r="M13" s="2837"/>
      <c r="N13" s="2666"/>
      <c r="O13" s="2677"/>
      <c r="P13" s="2666"/>
      <c r="Q13" s="2666"/>
      <c r="R13" s="2666"/>
    </row>
    <row r="14" spans="1:28">
      <c r="A14" s="1240"/>
      <c r="B14" s="2632"/>
      <c r="C14" s="2633" t="s">
        <v>2937</v>
      </c>
      <c r="D14" s="2634"/>
      <c r="E14" s="2634">
        <v>40</v>
      </c>
      <c r="F14" s="2634">
        <v>50</v>
      </c>
      <c r="G14" s="2634"/>
      <c r="H14" s="2634"/>
      <c r="I14" s="2634"/>
      <c r="J14" s="2666"/>
      <c r="K14" s="2841"/>
      <c r="L14" s="2837"/>
      <c r="M14" s="2837"/>
      <c r="N14" s="2666"/>
      <c r="O14" s="2677"/>
      <c r="P14" s="2666"/>
      <c r="Q14" s="2666"/>
      <c r="R14" s="2666"/>
    </row>
    <row r="15" spans="1:28">
      <c r="A15" s="325"/>
      <c r="B15" s="2635"/>
      <c r="C15" s="2636" t="s">
        <v>2938</v>
      </c>
      <c r="D15" s="2637" t="str">
        <f>IF(B12="出让",IF(D13="","",ROUNDDOWN(MIN((D13-$D$3)/365,D14),2)),D14)</f>
        <v/>
      </c>
      <c r="E15" s="2637">
        <f>IF(B12="出让",IF(E13="","",ROUNDDOWN(MIN((E13-$D$3)/365,E14),2)),E14)</f>
        <v>23.3</v>
      </c>
      <c r="F15" s="2637">
        <f>IF(B12="出让",IF(F13="","",ROUNDDOWN(MIN((F13-$D$3)/365,F14),2)),F14)</f>
        <v>33.31</v>
      </c>
      <c r="G15" s="2637">
        <f>IF(B12="出让",IF(G13="","",ROUNDDOWN(MIN((G13-$D$3)/365,G14),2)),G14)</f>
        <v>8.24</v>
      </c>
      <c r="H15" s="2637" t="str">
        <f>IF(B12="出让",IF(H13="","",ROUNDDOWN(MIN((H13-$D$3)/365,H14),2)),H14)</f>
        <v/>
      </c>
      <c r="I15" s="2637" t="str">
        <f>IF(B12="出让",IF(I13="","",ROUNDDOWN(MIN((I13-$D$3)/365,I14),2)),I14)</f>
        <v/>
      </c>
      <c r="J15" s="2666"/>
      <c r="K15" s="2842"/>
      <c r="L15" s="2678"/>
      <c r="M15" s="2678"/>
      <c r="N15" s="2734"/>
      <c r="O15" s="2678"/>
      <c r="P15" s="2734"/>
      <c r="Q15" s="2666"/>
      <c r="R15" s="2666"/>
    </row>
    <row r="16" spans="1:28">
      <c r="A16" s="2625" t="s">
        <v>2939</v>
      </c>
      <c r="B16" s="3146"/>
      <c r="C16" s="3147"/>
      <c r="D16" s="3148"/>
      <c r="E16" s="2640" t="s">
        <v>2940</v>
      </c>
      <c r="F16" s="3149"/>
      <c r="G16" s="3150"/>
      <c r="H16" s="3150"/>
      <c r="I16" s="3151"/>
      <c r="J16" s="2666"/>
      <c r="K16" s="2842"/>
      <c r="L16" s="2678"/>
      <c r="M16" s="2678"/>
      <c r="N16" s="2734"/>
      <c r="O16" s="2678"/>
      <c r="P16" s="2734"/>
      <c r="Q16" s="2666"/>
      <c r="R16" s="2666"/>
    </row>
    <row r="17" spans="1:28">
      <c r="A17" s="318" t="s">
        <v>2941</v>
      </c>
      <c r="B17" s="307" t="s">
        <v>2942</v>
      </c>
      <c r="C17" s="11">
        <f>'数据-汇总表'!E3</f>
        <v>15279.68</v>
      </c>
      <c r="D17" s="2546" t="s">
        <v>2943</v>
      </c>
      <c r="E17" s="3152" t="s">
        <v>2944</v>
      </c>
      <c r="F17" s="3153"/>
      <c r="G17" s="3153"/>
      <c r="H17" s="3153"/>
      <c r="I17" s="3154"/>
      <c r="J17" s="2666"/>
      <c r="K17" s="2843"/>
      <c r="L17" s="2678"/>
      <c r="M17" s="2678"/>
      <c r="N17" s="2734"/>
      <c r="O17" s="2678"/>
      <c r="P17" s="2734"/>
      <c r="Q17" s="2666"/>
      <c r="R17" s="2666"/>
      <c r="S17" s="2666"/>
      <c r="T17" s="2666"/>
      <c r="U17" s="2666"/>
      <c r="V17" s="2666"/>
    </row>
    <row r="18" spans="1:28" ht="24.75" thickBot="1">
      <c r="A18" s="2641" t="s">
        <v>2945</v>
      </c>
      <c r="B18" s="1249" t="s">
        <v>2946</v>
      </c>
      <c r="C18" s="2642">
        <f>'数据-汇总表'!D3</f>
        <v>4399.12</v>
      </c>
      <c r="D18" s="1251" t="s">
        <v>2947</v>
      </c>
      <c r="E18" s="3155" t="s">
        <v>2948</v>
      </c>
      <c r="F18" s="3156"/>
      <c r="G18" s="3156"/>
      <c r="H18" s="3156"/>
      <c r="I18" s="3157"/>
      <c r="J18" s="2666"/>
      <c r="K18" s="2843"/>
      <c r="L18" s="2678"/>
      <c r="M18" s="2678"/>
      <c r="N18" s="2734"/>
      <c r="O18" s="2678"/>
      <c r="P18" s="2734"/>
      <c r="Q18" s="2666"/>
      <c r="R18" s="2666"/>
      <c r="S18" s="2666"/>
      <c r="T18" s="2666"/>
      <c r="U18" s="2666"/>
      <c r="V18" s="2666"/>
    </row>
    <row r="19" spans="1:28" ht="37.5" thickTop="1" thickBot="1">
      <c r="A19" s="332" t="s">
        <v>1741</v>
      </c>
      <c r="B19" s="312" t="s">
        <v>2949</v>
      </c>
      <c r="C19" s="1749"/>
      <c r="D19" s="1750" t="s">
        <v>2950</v>
      </c>
      <c r="E19" s="1751"/>
      <c r="F19" s="1752" t="str">
        <f>IF(AND(C19="是",E19="否"),"是否提供他项权证或相关说明","")</f>
        <v/>
      </c>
      <c r="G19" s="1753"/>
      <c r="H19" s="2889"/>
      <c r="I19" s="2889"/>
      <c r="J19" s="2666"/>
      <c r="K19" s="2840"/>
      <c r="L19" s="2837"/>
      <c r="M19" s="2837"/>
      <c r="N19" s="2734"/>
      <c r="O19" s="2678"/>
      <c r="P19" s="2734"/>
      <c r="Q19" s="2666"/>
      <c r="R19" s="2666"/>
      <c r="S19" s="2666"/>
      <c r="T19" s="2666"/>
      <c r="U19" s="2666"/>
      <c r="V19" s="2666"/>
    </row>
    <row r="20" spans="1:28">
      <c r="A20" s="2857" t="s">
        <v>2951</v>
      </c>
      <c r="B20" s="3142" t="s">
        <v>2952</v>
      </c>
      <c r="C20" s="3143"/>
      <c r="D20" s="3144" t="s">
        <v>2953</v>
      </c>
      <c r="E20" s="3145"/>
      <c r="F20" s="2872" t="s">
        <v>1742</v>
      </c>
      <c r="G20" s="2889"/>
      <c r="H20" s="2889"/>
      <c r="I20" s="2889"/>
      <c r="J20" s="2666"/>
      <c r="K20" s="3141"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7"/>
      <c r="B21" s="2858" t="s">
        <v>2955</v>
      </c>
      <c r="C21" s="2859" t="s">
        <v>1743</v>
      </c>
      <c r="D21" s="1754" t="s">
        <v>2956</v>
      </c>
      <c r="E21" s="2860" t="s">
        <v>1743</v>
      </c>
      <c r="F21" s="2873"/>
      <c r="G21" s="2889"/>
      <c r="H21" s="2889"/>
      <c r="I21" s="2889"/>
      <c r="J21" s="2666"/>
      <c r="K21" s="314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7"/>
      <c r="B22" s="2861" t="s">
        <v>2957</v>
      </c>
      <c r="C22" s="2859" t="s">
        <v>1744</v>
      </c>
      <c r="D22" s="2888"/>
      <c r="E22" s="2888"/>
      <c r="F22" s="2888"/>
      <c r="G22" s="2889"/>
      <c r="H22" s="2889"/>
      <c r="I22" s="2889"/>
      <c r="J22" s="2666"/>
      <c r="K22" s="314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2" t="s">
        <v>2958</v>
      </c>
      <c r="B23" s="2727" t="s">
        <v>2959</v>
      </c>
      <c r="C23" s="2863"/>
      <c r="D23" s="2864" t="s">
        <v>2959</v>
      </c>
      <c r="E23" s="2865"/>
      <c r="F23" s="2888"/>
      <c r="G23" s="2889"/>
      <c r="H23" s="2889"/>
      <c r="I23" s="2889"/>
      <c r="J23" s="2666"/>
      <c r="K23" s="2844"/>
      <c r="L23" s="2700"/>
      <c r="M23" s="2837"/>
      <c r="N23" s="2734"/>
      <c r="O23" s="2678"/>
      <c r="P23" s="2734"/>
      <c r="Q23" s="2666"/>
      <c r="R23" s="2666"/>
      <c r="S23" s="2666"/>
      <c r="T23" s="2666"/>
      <c r="U23" s="2666"/>
      <c r="V23" s="2666"/>
    </row>
    <row r="24" spans="1:28">
      <c r="A24" s="2862"/>
      <c r="B24" s="2727" t="s">
        <v>1745</v>
      </c>
      <c r="C24" s="2866"/>
      <c r="D24" s="2862" t="s">
        <v>1745</v>
      </c>
      <c r="E24" s="2867"/>
      <c r="F24" s="2888"/>
      <c r="G24" s="2889"/>
      <c r="H24" s="2889"/>
      <c r="I24" s="2889"/>
      <c r="J24" s="2666"/>
      <c r="K24" s="2844"/>
      <c r="L24" s="2700"/>
      <c r="M24" s="2837"/>
      <c r="N24" s="2734"/>
      <c r="O24" s="2678"/>
      <c r="P24" s="2734"/>
      <c r="Q24" s="2666"/>
      <c r="R24" s="2666"/>
      <c r="S24" s="2666"/>
      <c r="T24" s="2666"/>
      <c r="U24" s="2666"/>
      <c r="V24" s="2666"/>
    </row>
    <row r="25" spans="1:28">
      <c r="A25" s="2862"/>
      <c r="B25" s="2727" t="s">
        <v>1746</v>
      </c>
      <c r="C25" s="2866"/>
      <c r="D25" s="2862" t="s">
        <v>1746</v>
      </c>
      <c r="E25" s="2867"/>
      <c r="F25" s="2888"/>
      <c r="G25" s="2889"/>
      <c r="H25" s="2889"/>
      <c r="I25" s="2889"/>
      <c r="J25" s="2666"/>
      <c r="K25" s="2840"/>
      <c r="L25" s="2837"/>
      <c r="M25" s="2837"/>
      <c r="N25" s="2734"/>
      <c r="O25" s="2678"/>
      <c r="P25" s="2734"/>
      <c r="Q25" s="2666"/>
      <c r="R25" s="2666"/>
      <c r="S25" s="2666"/>
      <c r="T25" s="2666"/>
      <c r="U25" s="2666"/>
      <c r="V25" s="2666"/>
    </row>
    <row r="26" spans="1:28" ht="13.5" thickBot="1">
      <c r="A26" s="2868"/>
      <c r="B26" s="2869" t="s">
        <v>1747</v>
      </c>
      <c r="C26" s="2870"/>
      <c r="D26" s="2868" t="s">
        <v>1747</v>
      </c>
      <c r="E26" s="2871"/>
      <c r="F26" s="2890"/>
      <c r="G26" s="2890"/>
      <c r="H26" s="2890"/>
      <c r="I26" s="2890"/>
      <c r="J26" s="2666"/>
      <c r="K26" s="2840"/>
      <c r="L26" s="2837"/>
      <c r="M26" s="2837"/>
      <c r="N26" s="2734"/>
      <c r="O26" s="2678"/>
      <c r="P26" s="2734"/>
      <c r="Q26" s="2666"/>
      <c r="R26" s="2666"/>
      <c r="S26" s="2666"/>
      <c r="T26" s="2666"/>
      <c r="U26" s="2666"/>
      <c r="V26" s="2666"/>
    </row>
    <row r="27" spans="1:28" ht="13.5" thickTop="1">
      <c r="A27" s="3159" t="s">
        <v>2960</v>
      </c>
      <c r="B27" s="325" t="s">
        <v>2961</v>
      </c>
      <c r="C27" s="2643"/>
      <c r="D27" s="2644"/>
      <c r="E27" s="2889"/>
      <c r="F27" s="2889"/>
      <c r="G27" s="2889"/>
      <c r="H27" s="2889"/>
      <c r="I27" s="2889"/>
      <c r="J27" s="2666"/>
      <c r="K27" s="2842"/>
      <c r="L27" s="2678"/>
      <c r="M27" s="2678"/>
      <c r="N27" s="2734"/>
      <c r="O27" s="2678"/>
      <c r="P27" s="2734"/>
      <c r="Q27" s="2666"/>
      <c r="R27" s="2666"/>
      <c r="S27" s="2666"/>
      <c r="T27" s="2666"/>
      <c r="U27" s="2666"/>
      <c r="V27" s="2666"/>
    </row>
    <row r="28" spans="1:28">
      <c r="A28" s="3159"/>
      <c r="B28" s="307" t="s">
        <v>2962</v>
      </c>
      <c r="C28" s="2645"/>
      <c r="D28" s="2646"/>
      <c r="E28" s="2889"/>
      <c r="F28" s="2889"/>
      <c r="G28" s="2889"/>
      <c r="H28" s="2889"/>
      <c r="I28" s="2889"/>
      <c r="J28" s="2666"/>
      <c r="K28" s="2840"/>
      <c r="L28" s="2837"/>
      <c r="M28" s="2837"/>
      <c r="N28" s="2666"/>
      <c r="O28" s="2677"/>
      <c r="P28" s="2666"/>
      <c r="Q28" s="2666"/>
      <c r="R28" s="2666"/>
      <c r="S28" s="2666"/>
      <c r="T28" s="2666"/>
      <c r="U28" s="2666"/>
      <c r="V28" s="2666"/>
    </row>
    <row r="29" spans="1:28">
      <c r="A29" s="3159"/>
      <c r="B29" s="307" t="s">
        <v>2963</v>
      </c>
      <c r="C29" s="2647"/>
      <c r="D29" s="2648"/>
      <c r="E29" s="2889"/>
      <c r="F29" s="2889"/>
      <c r="G29" s="2889"/>
      <c r="H29" s="2889"/>
      <c r="I29" s="2889"/>
      <c r="J29" s="2666"/>
      <c r="K29" s="2840"/>
      <c r="L29" s="2837"/>
      <c r="M29" s="2837"/>
      <c r="N29" s="2666"/>
      <c r="O29" s="2677"/>
      <c r="P29" s="2666"/>
      <c r="Q29" s="2666"/>
      <c r="R29" s="2666"/>
      <c r="S29" s="2666"/>
      <c r="T29" s="2666"/>
      <c r="U29" s="2666"/>
      <c r="V29" s="2666"/>
    </row>
    <row r="30" spans="1:28">
      <c r="A30" s="3160"/>
      <c r="B30" s="307" t="s">
        <v>2964</v>
      </c>
      <c r="C30" s="3161"/>
      <c r="D30" s="3162"/>
      <c r="E30" s="2889"/>
      <c r="F30" s="2889"/>
      <c r="G30" s="2889"/>
      <c r="H30" s="2889"/>
      <c r="I30" s="2889"/>
      <c r="J30" s="2666"/>
      <c r="K30" s="2840"/>
      <c r="L30" s="2837"/>
      <c r="M30" s="2837"/>
      <c r="N30" s="2666"/>
      <c r="O30" s="2677"/>
      <c r="P30" s="2666"/>
      <c r="Q30" s="2666"/>
      <c r="R30" s="2666"/>
      <c r="S30" s="2666"/>
      <c r="T30" s="2666"/>
      <c r="U30" s="2666"/>
      <c r="V30" s="2666"/>
    </row>
    <row r="31" spans="1:28">
      <c r="A31" s="3163" t="s">
        <v>2965</v>
      </c>
      <c r="B31" s="2649"/>
      <c r="C31" s="2547" t="str">
        <f>IF(B31="现房","成新及维护状况正常否",IF(B31="在建","工程状态是否正常",IF(B31="土地","是否闲置","-")))</f>
        <v>-</v>
      </c>
      <c r="D31" s="1558"/>
      <c r="E31" s="2650"/>
      <c r="F31" s="2889"/>
      <c r="G31" s="2889"/>
      <c r="H31" s="2889"/>
      <c r="I31" s="2889"/>
      <c r="J31" s="2666"/>
      <c r="K31" s="2839"/>
      <c r="L31" s="2837"/>
      <c r="M31" s="2837"/>
      <c r="N31" s="2666"/>
      <c r="O31" s="2677"/>
      <c r="P31" s="2666"/>
      <c r="Q31" s="2666"/>
      <c r="R31" s="2666"/>
      <c r="S31" s="2666"/>
      <c r="T31" s="2666"/>
      <c r="U31" s="2666"/>
      <c r="V31" s="2666"/>
    </row>
    <row r="32" spans="1:28">
      <c r="A32" s="3164"/>
      <c r="B32" s="2649"/>
      <c r="C32" s="2547" t="str">
        <f>IF(B32="现房","成新及维护状况是否正常",IF(B32="在建","工程状态是否正常",IF(B32="土地","是否闲置","-")))</f>
        <v>-</v>
      </c>
      <c r="D32" s="1558"/>
      <c r="E32" s="2650"/>
      <c r="F32" s="2889"/>
      <c r="G32" s="2889"/>
      <c r="H32" s="2889"/>
      <c r="I32" s="2889"/>
      <c r="J32" s="2666"/>
      <c r="K32" s="2840"/>
      <c r="L32" s="2837"/>
      <c r="M32" s="2837"/>
      <c r="N32" s="2666"/>
      <c r="O32" s="2677"/>
      <c r="P32" s="2666"/>
      <c r="Q32" s="2666"/>
      <c r="R32" s="2666"/>
      <c r="S32" s="2666"/>
      <c r="T32" s="2666"/>
      <c r="U32" s="2666"/>
      <c r="V32" s="2666"/>
    </row>
    <row r="33" spans="1:30">
      <c r="A33" s="3164"/>
      <c r="B33" s="2652"/>
      <c r="C33" s="1776" t="str">
        <f>IF(B33="现房","成新及维护状况是否正常",IF(B33="在建","工程状态是否正常",IF(B33="土地","是否闲置","-")))</f>
        <v>-</v>
      </c>
      <c r="D33" s="1550"/>
      <c r="E33" s="2653"/>
      <c r="F33" s="2889"/>
      <c r="G33" s="2889"/>
      <c r="H33" s="2889"/>
      <c r="I33" s="2889"/>
      <c r="J33" s="2666"/>
      <c r="K33" s="2840"/>
      <c r="L33" s="2837"/>
      <c r="M33" s="2837"/>
      <c r="N33" s="2666"/>
      <c r="O33" s="2677"/>
      <c r="P33" s="2666"/>
      <c r="Q33" s="2666"/>
      <c r="R33" s="2666"/>
      <c r="S33" s="2666"/>
      <c r="T33" s="2666"/>
      <c r="U33" s="2666"/>
      <c r="V33" s="2666"/>
    </row>
    <row r="34" spans="1:30">
      <c r="A34" s="307" t="s">
        <v>2966</v>
      </c>
      <c r="B34" s="2215"/>
      <c r="C34" s="2215"/>
      <c r="D34" s="2215"/>
      <c r="E34" s="2215"/>
      <c r="F34" s="2215"/>
      <c r="G34" s="2215"/>
      <c r="H34" s="2215"/>
      <c r="I34" s="2889"/>
      <c r="J34" s="2666"/>
      <c r="K34" s="2654">
        <f>COUNTIF(B34:H34,"——")</f>
        <v>0</v>
      </c>
      <c r="L34" s="328" t="s">
        <v>2967</v>
      </c>
      <c r="M34" s="328" t="s">
        <v>2968</v>
      </c>
      <c r="N34" s="328" t="s">
        <v>2969</v>
      </c>
      <c r="O34" s="328" t="s">
        <v>2970</v>
      </c>
      <c r="P34" s="328" t="s">
        <v>2971</v>
      </c>
      <c r="Q34" s="328" t="s">
        <v>2972</v>
      </c>
      <c r="R34" s="328" t="s">
        <v>2973</v>
      </c>
      <c r="S34" s="3158" t="s">
        <v>2974</v>
      </c>
      <c r="T34" s="2655" t="str">
        <f>NUMBERSTRING(7-K34,1)&amp;"通"</f>
        <v>七通</v>
      </c>
      <c r="U34" s="2666"/>
      <c r="V34" s="2666"/>
    </row>
    <row r="35" spans="1:30">
      <c r="A35" s="2656"/>
      <c r="B35" s="3165" t="s">
        <v>2975</v>
      </c>
      <c r="C35" s="3165"/>
      <c r="D35" s="3165"/>
      <c r="E35" s="3165"/>
      <c r="F35" s="672">
        <f>C10</f>
        <v>0</v>
      </c>
      <c r="G35" s="2889"/>
      <c r="H35" s="2889"/>
      <c r="I35" s="2889"/>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8"/>
      <c r="T35" s="334" t="str">
        <f>IF(T34="一通",L35,IF(T34="二通",M35,IF(T34="三通",N35,IF(T34="四通",O35,IF(T34="五通",P35,IF(T34="六通",Q35,R35))))))</f>
        <v>、、、、、、</v>
      </c>
      <c r="U35" s="2666"/>
      <c r="V35" s="2666"/>
    </row>
    <row r="36" spans="1:30">
      <c r="A36" s="2657"/>
      <c r="B36" s="672" t="s">
        <v>2931</v>
      </c>
      <c r="C36" s="672" t="s">
        <v>2932</v>
      </c>
      <c r="D36" s="672" t="s">
        <v>2930</v>
      </c>
      <c r="E36" s="672" t="s">
        <v>2935</v>
      </c>
      <c r="F36" s="2894"/>
      <c r="G36" s="2889"/>
      <c r="H36" s="2889"/>
      <c r="I36" s="2889"/>
      <c r="J36" s="2666"/>
      <c r="K36" s="2840"/>
      <c r="L36" s="2837"/>
      <c r="M36" s="2837"/>
      <c r="N36" s="2666"/>
      <c r="O36" s="2677"/>
      <c r="P36" s="2666"/>
      <c r="Q36" s="2666"/>
      <c r="R36" s="2666"/>
      <c r="S36" s="2666"/>
      <c r="T36" s="2666"/>
      <c r="U36" s="2666"/>
      <c r="V36" s="2666"/>
    </row>
    <row r="37" spans="1:30">
      <c r="A37" s="2855" t="s">
        <v>2976</v>
      </c>
      <c r="B37" s="2658" t="s">
        <v>269</v>
      </c>
      <c r="C37" s="2658" t="s">
        <v>269</v>
      </c>
      <c r="D37" s="2658"/>
      <c r="E37" s="2658"/>
      <c r="F37" s="2894"/>
      <c r="G37" s="2889"/>
      <c r="H37" s="2889"/>
      <c r="I37" s="2889"/>
      <c r="J37" s="2666"/>
      <c r="K37" s="2840"/>
      <c r="L37" s="2837"/>
      <c r="M37" s="2837"/>
      <c r="N37" s="2666"/>
      <c r="O37" s="2677"/>
      <c r="P37" s="2666"/>
      <c r="Q37" s="2666"/>
      <c r="R37" s="2666"/>
      <c r="S37" s="2666"/>
      <c r="T37" s="2666"/>
      <c r="U37" s="2666"/>
      <c r="V37" s="2666"/>
    </row>
    <row r="38" spans="1:30" ht="13.5" thickBot="1">
      <c r="A38" s="2856" t="s">
        <v>2977</v>
      </c>
      <c r="B38" s="2659" t="s">
        <v>291</v>
      </c>
      <c r="C38" s="2659" t="s">
        <v>322</v>
      </c>
      <c r="D38" s="2659"/>
      <c r="E38" s="2659"/>
      <c r="F38" s="2895"/>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4"/>
      <c r="K40" s="2839"/>
      <c r="L40" s="2678"/>
      <c r="M40" s="2678"/>
      <c r="N40" s="2734"/>
      <c r="O40" s="2678"/>
      <c r="P40" s="2666"/>
      <c r="Q40" s="2666"/>
      <c r="R40" s="2666"/>
      <c r="S40" s="2666"/>
      <c r="T40" s="2666"/>
      <c r="U40" s="2666"/>
      <c r="V40" s="2666"/>
    </row>
    <row r="41" spans="1:30">
      <c r="A41" s="2663" t="s">
        <v>2979</v>
      </c>
      <c r="B41" s="1944"/>
      <c r="C41" s="1558"/>
      <c r="D41" s="2595"/>
      <c r="E41" s="2595"/>
      <c r="F41" s="2595"/>
      <c r="G41" s="2595"/>
      <c r="H41" s="2595"/>
      <c r="I41" s="1762"/>
      <c r="J41" s="2666"/>
      <c r="K41" s="2840"/>
      <c r="L41" s="2837"/>
      <c r="M41" s="2837"/>
      <c r="N41" s="2666"/>
      <c r="O41" s="2677"/>
      <c r="P41" s="2666"/>
      <c r="Q41" s="2666"/>
      <c r="R41" s="2666"/>
      <c r="S41" s="2666"/>
      <c r="T41" s="2666"/>
      <c r="U41" s="2666"/>
      <c r="V41" s="2666"/>
    </row>
    <row r="42" spans="1:30" ht="25.5">
      <c r="A42" s="328"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4" sqref="I44"/>
      <selection pane="topRight" activeCell="I44" sqref="I44"/>
      <selection pane="bottomLeft" activeCell="I44" sqref="I44"/>
      <selection pane="bottomRight" activeCell="D14" sqref="D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ROUND(B3/A14*A13,2)</f>
        <v>4399.12</v>
      </c>
      <c r="B3" s="14">
        <f>IF(C3="否",G5-AT5,G5)</f>
        <v>15279.68</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15279.68</v>
      </c>
      <c r="H5" s="16">
        <f t="shared" ref="H5:AT5" si="0">SUM(H13:H656)</f>
        <v>15279.68</v>
      </c>
      <c r="I5" s="16">
        <f t="shared" si="0"/>
        <v>15279.68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15279.68</v>
      </c>
      <c r="BA5" s="18">
        <f t="shared" si="1"/>
        <v>15279.68</v>
      </c>
      <c r="BB5" s="18">
        <f t="shared" si="1"/>
        <v>15279.68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4399.12</v>
      </c>
      <c r="F6" s="16" t="s">
        <v>1</v>
      </c>
      <c r="G6" s="16" t="s">
        <v>2</v>
      </c>
      <c r="H6" s="20">
        <f>SUMIF(I$12:AB$12,"总值",I6:AB6)</f>
        <v>4399.12</v>
      </c>
      <c r="I6" s="16">
        <f t="shared" ref="I6:AB6" si="2">ROUND($A$3*I5/$B$3,2)</f>
        <v>4399.12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4399.12</v>
      </c>
      <c r="AZ6" s="16" t="s">
        <v>3</v>
      </c>
      <c r="BA6" s="16">
        <f>ROUND($AY$6*BA5/$AZ$5,2)</f>
        <v>4399.12</v>
      </c>
      <c r="BB6" s="16">
        <f>ROUND($AY$6*BB5/$AZ$5,2)</f>
        <v>4399.12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3064</v>
      </c>
      <c r="J9" s="917"/>
      <c r="K9" s="1789" t="s">
        <v>3064</v>
      </c>
      <c r="L9" s="917"/>
      <c r="M9" s="1789" t="s">
        <v>3067</v>
      </c>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7"/>
      <c r="K10" s="1795" t="s">
        <v>1343</v>
      </c>
      <c r="L10" s="917"/>
      <c r="M10" s="1795" t="s">
        <v>1343</v>
      </c>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3065</v>
      </c>
      <c r="J11" s="1801"/>
      <c r="K11" s="1800" t="s">
        <v>3066</v>
      </c>
      <c r="L11" s="1801"/>
      <c r="M11" s="1800" t="s">
        <v>3066</v>
      </c>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商业</v>
      </c>
      <c r="BD11" s="1785" t="str">
        <f>M10</f>
        <v>商业</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独立商业</v>
      </c>
      <c r="BD12" s="1810" t="str">
        <f>M11</f>
        <v>独立商业</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v>12401.7</v>
      </c>
      <c r="B13" s="1181"/>
      <c r="C13" s="1181"/>
      <c r="D13" s="1811" t="s">
        <v>3068</v>
      </c>
      <c r="E13" s="16">
        <f>IF($C$3="是",ROUND($A$3*G13/$B$3,2),ROUND($A$3*(G13-AT13)/$B$3,2))</f>
        <v>211.82</v>
      </c>
      <c r="F13" s="32"/>
      <c r="G13" s="33">
        <f>H13+AC13+AT13</f>
        <v>735.72</v>
      </c>
      <c r="H13" s="20">
        <f>SUMIF(I$12:AB$12,"总值",I13:AB13)</f>
        <v>735.72</v>
      </c>
      <c r="I13" s="1812">
        <f>面积指标!D14</f>
        <v>735.72</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12401.7</v>
      </c>
      <c r="AW13" s="11">
        <f t="shared" si="6"/>
        <v>0</v>
      </c>
      <c r="AX13" s="11">
        <f t="shared" si="6"/>
        <v>0</v>
      </c>
      <c r="AY13" s="1534">
        <f>ROUND($AY$6*AZ13/$AZ$5,2)</f>
        <v>211.82</v>
      </c>
      <c r="AZ13" s="16">
        <f>BA13+BL13</f>
        <v>735.72</v>
      </c>
      <c r="BA13" s="16">
        <f>SUM(BB13:BK13)</f>
        <v>735.72</v>
      </c>
      <c r="BB13" s="16">
        <f>IF($D13="是",I13-J13,0)</f>
        <v>735.72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v>43075.44</v>
      </c>
      <c r="B14" s="1181"/>
      <c r="C14" s="1756"/>
      <c r="D14" s="1811" t="s">
        <v>3068</v>
      </c>
      <c r="E14" s="16">
        <f>IF($C$3="是",ROUND($A$3*G14/$B$3,2),ROUND($A$3*(G14-AT14)/$B$3,2))</f>
        <v>4187.3</v>
      </c>
      <c r="F14" s="32"/>
      <c r="G14" s="33">
        <f>H14+AC14+AT14</f>
        <v>14543.960000000001</v>
      </c>
      <c r="H14" s="20">
        <f>SUMIF(I$12:AB$12,"总值",I14:AB14)</f>
        <v>14543.960000000001</v>
      </c>
      <c r="I14" s="1812">
        <f>面积指标!D49-面积指标!D14</f>
        <v>14543.960000000001</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43075.44</v>
      </c>
      <c r="AW14" s="11">
        <f t="shared" si="6"/>
        <v>0</v>
      </c>
      <c r="AX14" s="11">
        <f t="shared" si="6"/>
        <v>0</v>
      </c>
      <c r="AY14" s="1534">
        <f>ROUND($AY$6*AZ14/$AZ$5,2)</f>
        <v>4187.3</v>
      </c>
      <c r="AZ14" s="16">
        <f>BA14+BL14</f>
        <v>14543.960000000001</v>
      </c>
      <c r="BA14" s="16">
        <f>SUM(BB14:BK14)</f>
        <v>14543.960000000001</v>
      </c>
      <c r="BB14" s="16">
        <f>IF($D14="是",I14-J14,0)</f>
        <v>14543.960000000001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6" t="s">
        <v>0</v>
      </c>
      <c r="B1" s="3166" t="s">
        <v>4</v>
      </c>
      <c r="C1" s="3166" t="s">
        <v>5</v>
      </c>
      <c r="D1" s="3167" t="s">
        <v>53</v>
      </c>
      <c r="E1" s="3167" t="s">
        <v>54</v>
      </c>
      <c r="F1" s="3167"/>
      <c r="G1" s="3167"/>
      <c r="H1" s="3167"/>
      <c r="I1" s="3167"/>
      <c r="J1" s="3167"/>
      <c r="K1" s="3167"/>
      <c r="L1" s="3167"/>
      <c r="M1" s="3167"/>
    </row>
    <row r="2" spans="1:13" ht="27" customHeight="1">
      <c r="A2" s="3166"/>
      <c r="B2" s="3166"/>
      <c r="C2" s="3166"/>
      <c r="D2" s="3167"/>
      <c r="E2" s="3167" t="s">
        <v>37</v>
      </c>
      <c r="F2" s="3167" t="s">
        <v>38</v>
      </c>
      <c r="G2" s="3167"/>
      <c r="H2" s="3167"/>
      <c r="I2" s="3167"/>
      <c r="J2" s="3167" t="s">
        <v>39</v>
      </c>
      <c r="K2" s="3167"/>
      <c r="L2" s="3167"/>
      <c r="M2" s="3167"/>
    </row>
    <row r="3" spans="1:13" ht="28.5">
      <c r="A3" s="3166"/>
      <c r="B3" s="3166"/>
      <c r="C3" s="3166"/>
      <c r="D3" s="3167"/>
      <c r="E3" s="31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7" t="s">
        <v>55</v>
      </c>
      <c r="B9" s="3167"/>
      <c r="C9" s="31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0"/>
  <sheetViews>
    <sheetView workbookViewId="0">
      <selection activeCell="H31" sqref="H31"/>
    </sheetView>
  </sheetViews>
  <sheetFormatPr defaultRowHeight="13.5"/>
  <sheetData>
    <row r="2" spans="1:4">
      <c r="A2" s="3081" t="s">
        <v>3152</v>
      </c>
      <c r="B2">
        <v>1</v>
      </c>
      <c r="C2">
        <v>101</v>
      </c>
      <c r="D2">
        <v>334.06</v>
      </c>
    </row>
    <row r="3" spans="1:4">
      <c r="B3">
        <v>1</v>
      </c>
      <c r="C3">
        <v>102</v>
      </c>
      <c r="D3">
        <v>300.45999999999998</v>
      </c>
    </row>
    <row r="4" spans="1:4">
      <c r="B4">
        <v>1</v>
      </c>
      <c r="C4">
        <v>103</v>
      </c>
      <c r="D4">
        <v>145.61000000000001</v>
      </c>
    </row>
    <row r="5" spans="1:4">
      <c r="B5">
        <v>1</v>
      </c>
      <c r="C5">
        <v>104</v>
      </c>
      <c r="D5">
        <v>260.87</v>
      </c>
    </row>
    <row r="6" spans="1:4">
      <c r="B6" s="3081">
        <v>1</v>
      </c>
      <c r="C6" s="3081">
        <v>105</v>
      </c>
      <c r="D6">
        <v>349.41</v>
      </c>
    </row>
    <row r="7" spans="1:4">
      <c r="B7" s="3081">
        <v>1</v>
      </c>
      <c r="C7" s="3081">
        <v>106</v>
      </c>
      <c r="D7">
        <v>137.94999999999999</v>
      </c>
    </row>
    <row r="8" spans="1:4">
      <c r="B8" s="3081">
        <v>1</v>
      </c>
      <c r="C8" s="3081">
        <v>107</v>
      </c>
      <c r="D8">
        <v>125.23</v>
      </c>
    </row>
    <row r="9" spans="1:4">
      <c r="B9" s="3081">
        <v>2</v>
      </c>
      <c r="C9" s="3081">
        <v>201</v>
      </c>
      <c r="D9">
        <v>755.97</v>
      </c>
    </row>
    <row r="10" spans="1:4">
      <c r="B10" s="3081">
        <v>2</v>
      </c>
      <c r="C10" s="3081">
        <v>202</v>
      </c>
      <c r="D10">
        <v>328.45</v>
      </c>
    </row>
    <row r="11" spans="1:4">
      <c r="B11" s="3081">
        <v>2</v>
      </c>
      <c r="C11" s="3081">
        <v>203</v>
      </c>
      <c r="D11">
        <v>570.51</v>
      </c>
    </row>
    <row r="12" spans="1:4">
      <c r="B12" s="3081">
        <v>2</v>
      </c>
      <c r="C12" s="3081">
        <v>204</v>
      </c>
      <c r="D12">
        <v>108.82</v>
      </c>
    </row>
    <row r="13" spans="1:4">
      <c r="B13" s="3081">
        <v>2</v>
      </c>
      <c r="C13" s="3081">
        <v>205</v>
      </c>
      <c r="D13">
        <v>117.86</v>
      </c>
    </row>
    <row r="14" spans="1:4">
      <c r="B14" s="3081">
        <v>10</v>
      </c>
      <c r="C14" s="3081">
        <v>1001</v>
      </c>
      <c r="D14">
        <v>735.72</v>
      </c>
    </row>
    <row r="15" spans="1:4">
      <c r="B15" s="3081">
        <v>10</v>
      </c>
      <c r="C15" s="3081">
        <v>1002</v>
      </c>
      <c r="D15">
        <v>222.94</v>
      </c>
    </row>
    <row r="16" spans="1:4">
      <c r="B16" s="3081">
        <v>10</v>
      </c>
      <c r="C16" s="3081">
        <v>1003</v>
      </c>
      <c r="D16">
        <v>96.58</v>
      </c>
    </row>
    <row r="17" spans="2:4">
      <c r="B17" s="3081">
        <v>10</v>
      </c>
      <c r="C17" s="3081">
        <v>1004</v>
      </c>
      <c r="D17">
        <v>639.46</v>
      </c>
    </row>
    <row r="18" spans="2:4">
      <c r="B18" s="3081">
        <v>10</v>
      </c>
      <c r="C18" s="3081">
        <v>1005</v>
      </c>
      <c r="D18">
        <v>222.94</v>
      </c>
    </row>
    <row r="19" spans="2:4">
      <c r="B19" s="3081">
        <v>10</v>
      </c>
      <c r="C19" s="3081">
        <v>1006</v>
      </c>
      <c r="D19">
        <v>222.94</v>
      </c>
    </row>
    <row r="20" spans="2:4">
      <c r="B20" s="3081">
        <v>10</v>
      </c>
      <c r="C20" s="3081">
        <v>1007</v>
      </c>
      <c r="D20">
        <v>80.22</v>
      </c>
    </row>
    <row r="21" spans="2:4">
      <c r="B21" s="3081">
        <v>10</v>
      </c>
      <c r="C21" s="3081">
        <v>1008</v>
      </c>
      <c r="D21">
        <v>80.22</v>
      </c>
    </row>
    <row r="22" spans="2:4">
      <c r="B22">
        <v>13</v>
      </c>
      <c r="C22" s="3081">
        <v>1301</v>
      </c>
      <c r="D22">
        <v>733.77</v>
      </c>
    </row>
    <row r="23" spans="2:4">
      <c r="B23">
        <v>13</v>
      </c>
      <c r="C23" s="3081">
        <v>1302</v>
      </c>
      <c r="D23">
        <v>222.94</v>
      </c>
    </row>
    <row r="24" spans="2:4">
      <c r="B24">
        <v>13</v>
      </c>
      <c r="C24" s="3081">
        <v>1303</v>
      </c>
      <c r="D24">
        <v>94.41</v>
      </c>
    </row>
    <row r="25" spans="2:4">
      <c r="B25">
        <v>13</v>
      </c>
      <c r="C25" s="3081">
        <v>1304</v>
      </c>
      <c r="D25">
        <v>703.89</v>
      </c>
    </row>
    <row r="26" spans="2:4">
      <c r="B26">
        <v>13</v>
      </c>
      <c r="C26" s="3081">
        <v>1305</v>
      </c>
      <c r="D26">
        <v>222.94</v>
      </c>
    </row>
    <row r="27" spans="2:4">
      <c r="B27">
        <v>13</v>
      </c>
      <c r="C27" s="3081">
        <v>1306</v>
      </c>
      <c r="D27">
        <v>222.94</v>
      </c>
    </row>
    <row r="28" spans="2:4">
      <c r="B28">
        <v>13</v>
      </c>
      <c r="C28" s="3081">
        <v>1307</v>
      </c>
      <c r="D28">
        <v>81.58</v>
      </c>
    </row>
    <row r="29" spans="2:4">
      <c r="B29">
        <v>13</v>
      </c>
      <c r="C29" s="3081">
        <v>1308</v>
      </c>
      <c r="D29">
        <v>81.58</v>
      </c>
    </row>
    <row r="30" spans="2:4">
      <c r="B30">
        <v>15</v>
      </c>
      <c r="C30" s="3081">
        <v>1501</v>
      </c>
      <c r="D30">
        <v>733.77</v>
      </c>
    </row>
    <row r="31" spans="2:4">
      <c r="B31">
        <v>15</v>
      </c>
      <c r="C31" s="3081">
        <v>1502</v>
      </c>
      <c r="D31">
        <v>222.94</v>
      </c>
    </row>
    <row r="32" spans="2:4">
      <c r="B32">
        <v>15</v>
      </c>
      <c r="C32" s="3081">
        <v>1503</v>
      </c>
      <c r="D32">
        <v>94.41</v>
      </c>
    </row>
    <row r="33" spans="2:4">
      <c r="B33">
        <v>15</v>
      </c>
      <c r="C33" s="3081">
        <v>1504</v>
      </c>
      <c r="D33">
        <v>703.89</v>
      </c>
    </row>
    <row r="34" spans="2:4">
      <c r="B34">
        <v>15</v>
      </c>
      <c r="C34" s="3081">
        <v>1505</v>
      </c>
      <c r="D34">
        <v>222.94</v>
      </c>
    </row>
    <row r="35" spans="2:4">
      <c r="B35">
        <v>15</v>
      </c>
      <c r="C35" s="3081">
        <v>1506</v>
      </c>
      <c r="D35">
        <v>222.94</v>
      </c>
    </row>
    <row r="36" spans="2:4">
      <c r="B36">
        <v>15</v>
      </c>
      <c r="C36" s="3081">
        <v>1507</v>
      </c>
      <c r="D36">
        <v>81.58</v>
      </c>
    </row>
    <row r="37" spans="2:4">
      <c r="B37">
        <v>15</v>
      </c>
      <c r="C37" s="3081">
        <v>1508</v>
      </c>
      <c r="D37">
        <v>81.58</v>
      </c>
    </row>
    <row r="38" spans="2:4">
      <c r="B38" s="3081">
        <v>16</v>
      </c>
      <c r="C38" s="3081">
        <v>1601</v>
      </c>
      <c r="D38">
        <v>733.77</v>
      </c>
    </row>
    <row r="39" spans="2:4">
      <c r="B39" s="3081">
        <v>16</v>
      </c>
      <c r="C39" s="3081">
        <v>1602</v>
      </c>
      <c r="D39">
        <v>222.94</v>
      </c>
    </row>
    <row r="40" spans="2:4">
      <c r="B40" s="3081">
        <v>16</v>
      </c>
      <c r="C40" s="3081">
        <v>1603</v>
      </c>
      <c r="D40">
        <v>94.41</v>
      </c>
    </row>
    <row r="41" spans="2:4">
      <c r="B41" s="3081">
        <v>16</v>
      </c>
      <c r="C41" s="3081">
        <v>1604</v>
      </c>
      <c r="D41">
        <v>703.89</v>
      </c>
    </row>
    <row r="42" spans="2:4">
      <c r="B42" s="3081">
        <v>16</v>
      </c>
      <c r="C42" s="3081">
        <v>1605</v>
      </c>
      <c r="D42">
        <v>222.94</v>
      </c>
    </row>
    <row r="43" spans="2:4">
      <c r="B43" s="3081">
        <v>16</v>
      </c>
      <c r="C43" s="3081">
        <v>1606</v>
      </c>
      <c r="D43">
        <v>222.94</v>
      </c>
    </row>
    <row r="44" spans="2:4">
      <c r="B44" s="3081">
        <v>16</v>
      </c>
      <c r="C44" s="3081">
        <v>1607</v>
      </c>
      <c r="D44">
        <v>81.58</v>
      </c>
    </row>
    <row r="45" spans="2:4">
      <c r="B45" s="3081">
        <v>16</v>
      </c>
      <c r="C45" s="3081">
        <v>1608</v>
      </c>
      <c r="D45">
        <v>81.58</v>
      </c>
    </row>
    <row r="46" spans="2:4">
      <c r="B46" s="3081">
        <v>19</v>
      </c>
      <c r="C46" s="3081">
        <v>1901</v>
      </c>
      <c r="D46">
        <v>2188.15</v>
      </c>
    </row>
    <row r="47" spans="2:4">
      <c r="B47" s="3081">
        <v>19</v>
      </c>
      <c r="C47" s="3081">
        <v>1902</v>
      </c>
      <c r="D47">
        <v>81.58</v>
      </c>
    </row>
    <row r="48" spans="2:4">
      <c r="B48" s="3081">
        <v>19</v>
      </c>
      <c r="C48" s="3081">
        <v>1903</v>
      </c>
      <c r="D48">
        <v>81.58</v>
      </c>
    </row>
    <row r="49" spans="4:5">
      <c r="D49">
        <f>SUM(D2:D48)</f>
        <v>15279.68</v>
      </c>
      <c r="E49">
        <v>15279.68</v>
      </c>
    </row>
    <row r="50" spans="4:5">
      <c r="E50">
        <f>E49-D49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7" t="s">
        <v>1817</v>
      </c>
      <c r="B2" s="3177"/>
      <c r="C2" s="3177"/>
      <c r="D2" s="903" t="s">
        <v>1793</v>
      </c>
      <c r="E2" s="1825" t="s">
        <v>1794</v>
      </c>
      <c r="F2" s="2884"/>
      <c r="G2" s="2875"/>
      <c r="H2" s="2876"/>
      <c r="I2" s="2549" t="s">
        <v>1818</v>
      </c>
      <c r="J2" s="2884"/>
      <c r="K2" s="2884"/>
      <c r="L2" s="2884"/>
      <c r="M2" s="2884"/>
      <c r="N2" s="2886"/>
      <c r="O2" s="2884"/>
      <c r="P2" s="2884"/>
    </row>
    <row r="3" spans="1:16" ht="15.75" thickBot="1">
      <c r="A3" s="3178" t="s">
        <v>1791</v>
      </c>
      <c r="B3" s="3178"/>
      <c r="C3" s="3178"/>
      <c r="D3" s="46">
        <f>'数据-基础表'!AY6</f>
        <v>4399.12</v>
      </c>
      <c r="E3" s="46">
        <f>'数据-基础表'!AZ5</f>
        <v>15279.68</v>
      </c>
      <c r="F3" s="2884"/>
      <c r="G3" s="1306"/>
      <c r="H3" s="1156" t="s">
        <v>1792</v>
      </c>
      <c r="I3" s="963">
        <f>ROUND('数据-基础表'!B3/'数据-基础表'!A3,2)</f>
        <v>3.47</v>
      </c>
      <c r="J3" s="2884"/>
      <c r="K3" s="2884"/>
      <c r="L3" s="2884"/>
      <c r="M3" s="2884"/>
      <c r="N3" s="2886"/>
      <c r="O3" s="2884"/>
      <c r="P3" s="2884"/>
    </row>
    <row r="4" spans="1:16" ht="15">
      <c r="A4" s="3179"/>
      <c r="B4" s="3180"/>
      <c r="C4" s="3181"/>
      <c r="D4" s="1827" t="s">
        <v>1793</v>
      </c>
      <c r="E4" s="1828" t="s">
        <v>1794</v>
      </c>
      <c r="F4" s="2884"/>
      <c r="G4" s="2877" t="s">
        <v>1819</v>
      </c>
      <c r="H4" s="1156" t="s">
        <v>1799</v>
      </c>
      <c r="I4" s="963">
        <f>ROUND(SUMIF('数据-基础表'!I9:AS9,"地上",'数据-基础表'!I5:AS5)/'数据-基础表'!A3,2)</f>
        <v>3.47</v>
      </c>
      <c r="J4" s="2884"/>
      <c r="K4" s="2884"/>
      <c r="L4" s="2884"/>
      <c r="M4" s="2884"/>
      <c r="N4" s="2886"/>
      <c r="O4" s="2884"/>
      <c r="P4" s="2884"/>
    </row>
    <row r="5" spans="1:16">
      <c r="A5" s="47" t="s">
        <v>1795</v>
      </c>
      <c r="B5" s="3182" t="s">
        <v>1796</v>
      </c>
      <c r="C5" s="3182"/>
      <c r="D5" s="48">
        <f>ROUND($D$3*E5/$E$3,2)</f>
        <v>0</v>
      </c>
      <c r="E5" s="49">
        <f>SUMIF('数据-基础表'!$11:$11,"住宅",'数据-基础表'!$5:$5)</f>
        <v>0</v>
      </c>
      <c r="F5" s="2884"/>
      <c r="G5" s="1306"/>
      <c r="H5" s="1156" t="s">
        <v>1792</v>
      </c>
      <c r="I5" s="963">
        <f>ROUND(E31/D31,2)</f>
        <v>3.47</v>
      </c>
      <c r="J5" s="2884"/>
      <c r="K5" s="2884"/>
      <c r="L5" s="2884"/>
      <c r="M5" s="2884"/>
      <c r="N5" s="2884"/>
      <c r="O5" s="2884"/>
      <c r="P5" s="2884"/>
    </row>
    <row r="6" spans="1:16" ht="15" thickBot="1">
      <c r="A6" s="1830"/>
      <c r="B6" s="3182" t="s">
        <v>1797</v>
      </c>
      <c r="C6" s="3182"/>
      <c r="D6" s="48">
        <f>ROUND($D$3*E6/$E$3,2)</f>
        <v>4399.12</v>
      </c>
      <c r="E6" s="49">
        <f>E3-E5</f>
        <v>15279.68</v>
      </c>
      <c r="F6" s="2884"/>
      <c r="G6" s="2878" t="s">
        <v>1798</v>
      </c>
      <c r="H6" s="1307" t="s">
        <v>1799</v>
      </c>
      <c r="I6" s="2879">
        <f>ROUND(F31/D31,2)</f>
        <v>3.47</v>
      </c>
      <c r="J6" s="2884"/>
      <c r="K6" s="2884"/>
      <c r="L6" s="2884"/>
      <c r="M6" s="2884"/>
      <c r="N6" s="2884"/>
      <c r="O6" s="2884"/>
      <c r="P6" s="2884"/>
    </row>
    <row r="7" spans="1:16" ht="15.75" thickBot="1">
      <c r="A7" s="3174"/>
      <c r="B7" s="3175"/>
      <c r="C7" s="3176"/>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4399.12</v>
      </c>
      <c r="E8" s="51">
        <f>SUMIF('数据-基础表'!BB10:BK10,"地上",'数据-基础表'!BB5:BK5)</f>
        <v>15279.68</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4399.12</v>
      </c>
      <c r="E16" s="53">
        <f>SUM(E8:E15)</f>
        <v>15279.68</v>
      </c>
      <c r="F16" s="2884"/>
      <c r="G16" s="2885"/>
      <c r="H16" s="1834" t="s">
        <v>1821</v>
      </c>
      <c r="I16" s="1835"/>
      <c r="J16" s="1300"/>
      <c r="K16" s="3171" t="s">
        <v>1821</v>
      </c>
      <c r="L16" s="3172"/>
      <c r="M16" s="3172"/>
      <c r="N16" s="3172"/>
      <c r="O16" s="3172"/>
      <c r="P16" s="3173"/>
    </row>
    <row r="17" spans="1:19" ht="15">
      <c r="A17" s="1836" t="s">
        <v>1822</v>
      </c>
      <c r="B17" s="1837" t="s">
        <v>1823</v>
      </c>
      <c r="C17" s="1838" t="s">
        <v>1824</v>
      </c>
      <c r="D17" s="1839" t="s">
        <v>1812</v>
      </c>
      <c r="E17" s="1840" t="s">
        <v>1813</v>
      </c>
      <c r="F17" s="1841"/>
      <c r="G17" s="1842"/>
      <c r="H17" s="1843" t="s">
        <v>1825</v>
      </c>
      <c r="I17" s="1844" t="s">
        <v>1810</v>
      </c>
      <c r="J17" s="1300"/>
      <c r="K17" s="3168" t="s">
        <v>1826</v>
      </c>
      <c r="L17" s="3169"/>
      <c r="M17" s="3170"/>
      <c r="N17" s="3168" t="s">
        <v>1827</v>
      </c>
      <c r="O17" s="3169"/>
      <c r="P17" s="3170"/>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63" t="s">
        <v>3177</v>
      </c>
      <c r="D19" s="48">
        <f>ROUND($D$3*E19/$E$3,2)</f>
        <v>211.82</v>
      </c>
      <c r="E19" s="56">
        <f t="shared" ref="E19:E26" si="1">SUM(F19:G19)</f>
        <v>735.72</v>
      </c>
      <c r="F19" s="3023">
        <f>'数据-基础表'!I13</f>
        <v>735.72</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211.82</v>
      </c>
      <c r="S19" s="1157">
        <f t="shared" si="5"/>
        <v>735.72</v>
      </c>
    </row>
    <row r="20" spans="1:19">
      <c r="A20" s="1857"/>
      <c r="B20" s="50" t="s">
        <v>1839</v>
      </c>
      <c r="C20" s="1854" t="s">
        <v>3178</v>
      </c>
      <c r="D20" s="48">
        <f t="shared" ref="D20:D26" si="6">ROUND($D$3*E20/$E$3,2)</f>
        <v>4187.3</v>
      </c>
      <c r="E20" s="56">
        <f t="shared" si="1"/>
        <v>14543.960000000001</v>
      </c>
      <c r="F20" s="3023">
        <f>'数据-基础表'!I14</f>
        <v>14543.960000000001</v>
      </c>
      <c r="G20" s="3024"/>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4187.3</v>
      </c>
      <c r="S20" s="1157">
        <f t="shared" si="5"/>
        <v>14543.960000000001</v>
      </c>
    </row>
    <row r="21" spans="1:19">
      <c r="A21" s="1857"/>
      <c r="B21" s="50" t="s">
        <v>1839</v>
      </c>
      <c r="C21" s="1854"/>
      <c r="D21" s="48">
        <f t="shared" si="6"/>
        <v>0</v>
      </c>
      <c r="E21" s="56">
        <f t="shared" si="1"/>
        <v>0</v>
      </c>
      <c r="F21" s="3023"/>
      <c r="G21" s="3024"/>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4399.12</v>
      </c>
      <c r="E27" s="1302">
        <f>IF(SUM(E19:E26)='数据-基础表'!BA5,SUM(E19:E26),IF(F27="地上面积有误","面积有误","地下面积有误"))</f>
        <v>15279.68</v>
      </c>
      <c r="F27" s="1301">
        <f>IF(SUM(F19:F26)=E8,SUM(F19:F26),"地上面积有误")</f>
        <v>15279.68</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4399.12</v>
      </c>
      <c r="S27" s="1156">
        <f>IF(SUM(S19:S26)=$E$3,SUM(S19:S26),SUM(S19:S26)&amp;"误差"&amp;ROUND(SUM(S19:S26)-E3,2))</f>
        <v>15279.68</v>
      </c>
    </row>
    <row r="28" spans="1:19">
      <c r="A28" s="1857"/>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3"/>
      <c r="B31" s="1864"/>
      <c r="C31" s="943" t="s">
        <v>1844</v>
      </c>
      <c r="D31" s="684">
        <f>D27+D30</f>
        <v>4399.12</v>
      </c>
      <c r="E31" s="684">
        <f>E27+E30</f>
        <v>15279.68</v>
      </c>
      <c r="F31" s="685">
        <f>F27+F30</f>
        <v>15279.68</v>
      </c>
      <c r="G31" s="686">
        <f>G27+G30</f>
        <v>0</v>
      </c>
      <c r="H31" s="2884"/>
      <c r="I31" s="2884"/>
      <c r="J31" s="2884"/>
      <c r="K31" s="2884"/>
      <c r="L31" s="2884"/>
      <c r="M31" s="2884"/>
      <c r="N31" s="2884"/>
      <c r="O31" s="2884"/>
      <c r="P31" s="2884"/>
    </row>
    <row r="32" spans="1:19">
      <c r="A32" s="1829"/>
      <c r="B32" s="1829" t="s">
        <v>1845</v>
      </c>
      <c r="C32" s="1829"/>
      <c r="D32" s="1829"/>
      <c r="E32" s="1183">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I44" sqref="I44"/>
      <selection pane="topRight" activeCell="I44" sqref="I44"/>
      <selection pane="bottomLeft" activeCell="I44" sqref="I44"/>
      <selection pane="bottomRight" activeCell="U7" sqref="U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10.8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1847</v>
      </c>
      <c r="B2" s="1175">
        <f>项目基本情况!D3</f>
        <v>44088</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3069</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办公-基准</v>
      </c>
      <c r="B6" s="1900" t="str">
        <f>IF(A6=0,"","经营性")</f>
        <v>经营性</v>
      </c>
      <c r="C6" s="1901" t="s">
        <v>27</v>
      </c>
      <c r="D6" s="966">
        <f>SUMIF(项目基本情况!D$12:I$12,C6,项目基本情况!D$14:I$14)</f>
        <v>50</v>
      </c>
      <c r="E6" s="965">
        <f>IF(B6="","",SUMIF(项目基本情况!D$12:I$12,C6,项目基本情况!D$13:I$13))</f>
        <v>56248</v>
      </c>
      <c r="F6" s="68">
        <f>SUMIF(项目基本情况!D$12:I$12,C6,项目基本情况!D$15:I$15)</f>
        <v>33.31</v>
      </c>
      <c r="G6" s="69">
        <f>IF(ISERROR(ROUND(POWER(1+H6,D6-F6)*(POWER(1+H6,F6)-1)/(POWER(1+H6,D6)-1),3)),0,ROUND(POWER(1+H6,D6-F6)*(POWER(1+H6,F6)-1)/(POWER(1+H6,D6)-1),3))</f>
        <v>0.88</v>
      </c>
      <c r="H6" s="3082">
        <v>0.05</v>
      </c>
      <c r="I6" s="3082">
        <v>5.5E-2</v>
      </c>
      <c r="J6" s="70">
        <v>8.5000000000000006E-2</v>
      </c>
      <c r="K6" s="1160">
        <f>SUMIF('数据-汇总表'!C$19:C$33,A6,'数据-汇总表'!E$19:E$33)</f>
        <v>735.72</v>
      </c>
      <c r="L6" s="741">
        <v>4500</v>
      </c>
      <c r="M6" s="71">
        <f t="shared" ref="M6:M14" si="0">ROUND(K6*L6/10000,0)</f>
        <v>331</v>
      </c>
      <c r="N6" s="739">
        <v>0.85</v>
      </c>
      <c r="O6" s="71" t="str">
        <f>IF($N$5="成新度","——",ROUND(M6*N6,0))</f>
        <v>——</v>
      </c>
      <c r="P6" s="72" t="str">
        <f>IF($N$5="成新度","——",M6-O6)</f>
        <v>——</v>
      </c>
      <c r="Q6" s="742">
        <v>0.2</v>
      </c>
      <c r="R6" s="73">
        <f ca="1">SUMIF('数据-汇总表'!C$19:C$33,A6,'数据-汇总表'!R$19:R$27)</f>
        <v>211.82</v>
      </c>
      <c r="S6" s="54">
        <f>IF('数据-汇总表'!$I$17="按面积比例",SUMIF('数据-汇总表'!C$19:C$33,A6,'数据-汇总表'!K$19:K$33),SUMIF('数据-汇总表'!C$19:C$33,A6,'数据-汇总表'!N$19:N$33))</f>
        <v>0</v>
      </c>
      <c r="T6" s="1333">
        <f>ROUND($L$14*S6/10000,0)</f>
        <v>0</v>
      </c>
      <c r="U6" s="743">
        <v>12.3</v>
      </c>
      <c r="V6" s="75">
        <v>3.5000000000000003E-2</v>
      </c>
      <c r="W6" s="75">
        <v>0.1</v>
      </c>
      <c r="X6" s="1170"/>
      <c r="Y6" s="76">
        <f>N6</f>
        <v>0.85</v>
      </c>
      <c r="Z6" s="77"/>
      <c r="AA6" s="70"/>
      <c r="AB6" s="70"/>
      <c r="AC6" s="1170"/>
      <c r="AD6" s="78"/>
      <c r="AE6" s="1171">
        <f ca="1">IF(AN6="",0,SUMIF(INDIRECT("'"&amp;AN6&amp;"'"&amp;"!E:E"),$AE$5,INDIRECT("'"&amp;AN6&amp;"'"&amp;"!F:F")))</f>
        <v>33.31</v>
      </c>
      <c r="AF6" s="3080"/>
      <c r="AG6" s="142">
        <f>IF(AF6="",0,AE6-AF6)</f>
        <v>0</v>
      </c>
      <c r="AH6" s="79"/>
      <c r="AI6" s="81">
        <v>365</v>
      </c>
      <c r="AJ6" s="82"/>
      <c r="AK6" s="83">
        <v>0.02</v>
      </c>
      <c r="AL6" s="84">
        <v>1.5E-3</v>
      </c>
      <c r="AM6" s="85">
        <v>0.01</v>
      </c>
      <c r="AN6" s="1902" t="s">
        <v>3165</v>
      </c>
      <c r="AO6" s="55">
        <f ca="1">SUMIF(INDIRECT("'"&amp;AN6&amp;"'"&amp;"!A:A"),"总价",INDIRECT("'"&amp;AN6&amp;"'"&amp;"!B:B"))</f>
        <v>5492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办公-其他</v>
      </c>
      <c r="B7" s="1900" t="str">
        <f t="shared" ref="B7:B13" si="1">IF(A7=0,"","经营性")</f>
        <v>经营性</v>
      </c>
      <c r="C7" s="1901"/>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14543.960000000001</v>
      </c>
      <c r="L7" s="741"/>
      <c r="M7" s="71">
        <f t="shared" si="0"/>
        <v>0</v>
      </c>
      <c r="N7" s="739"/>
      <c r="O7" s="71" t="str">
        <f t="shared" ref="O7:O14" si="3">IF($N$5="成新度","——",ROUND(M7*N7,0))</f>
        <v>——</v>
      </c>
      <c r="P7" s="72" t="str">
        <f t="shared" ref="P7:P14" si="4">IF($N$5="成新度","——",M7-O7)</f>
        <v>——</v>
      </c>
      <c r="Q7" s="742"/>
      <c r="R7" s="73">
        <f ca="1">SUMIF('数据-汇总表'!C$19:C$33,A7,'数据-汇总表'!R$19:R$27)</f>
        <v>4187.3</v>
      </c>
      <c r="S7" s="54">
        <f>IF('数据-汇总表'!$I$17="按面积比例",SUMIF('数据-汇总表'!C$19:C$33,A7,'数据-汇总表'!K$19:K$33),SUMIF('数据-汇总表'!C$19:C$33,A7,'数据-汇总表'!N$19:N$33))</f>
        <v>0</v>
      </c>
      <c r="T7" s="1333">
        <f t="shared" ref="T7:T13" si="5">ROUND($L$14*S7/10000,0)</f>
        <v>0</v>
      </c>
      <c r="U7" s="743"/>
      <c r="V7" s="744"/>
      <c r="W7" s="744"/>
      <c r="X7" s="1170"/>
      <c r="Y7" s="745"/>
      <c r="Z7" s="77"/>
      <c r="AA7" s="70"/>
      <c r="AB7" s="70"/>
      <c r="AC7" s="1170"/>
      <c r="AD7" s="78"/>
      <c r="AE7" s="1171">
        <f t="shared" ref="AE7:AE13" ca="1" si="6">IF(AN7="",0,SUMIF(INDIRECT("'"&amp;AN7&amp;"'"&amp;"!E:E"),$AE$5,INDIRECT("'"&amp;AN7&amp;"'"&amp;"!F:F")))</f>
        <v>0</v>
      </c>
      <c r="AF7" s="3078"/>
      <c r="AG7" s="142">
        <f t="shared" ref="AG7:AG13" si="7">IF(AF7="",0,AE7-AF7)</f>
        <v>0</v>
      </c>
      <c r="AH7" s="79"/>
      <c r="AI7" s="81"/>
      <c r="AJ7" s="82"/>
      <c r="AK7" s="747"/>
      <c r="AL7" s="748"/>
      <c r="AM7" s="749"/>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0.88</v>
      </c>
      <c r="H16" s="95">
        <f>ROUND(SUMPRODUCT(H6:H13,K6:K13)/SUMPRODUCT((H6:H13&gt;0)*(K6:K13)),3)</f>
        <v>0.05</v>
      </c>
      <c r="I16" s="96"/>
      <c r="J16" s="96"/>
      <c r="K16" s="97">
        <f>SUM(K6:K15)</f>
        <v>15279.68</v>
      </c>
      <c r="L16" s="98">
        <f>ROUND(M16*10000/SUM(K6:K14),0)</f>
        <v>217</v>
      </c>
      <c r="M16" s="98">
        <f>SUM(M6:M14)</f>
        <v>331</v>
      </c>
      <c r="N16" s="99">
        <f>ROUND(SUMPRODUCT(M6:M14,N6:N14)/M16,3)</f>
        <v>0.85</v>
      </c>
      <c r="O16" s="98">
        <f>SUM(O6:O14)</f>
        <v>0</v>
      </c>
      <c r="P16" s="98">
        <f>SUM(P6:P14)</f>
        <v>0</v>
      </c>
      <c r="Q16" s="100">
        <f>ROUND(SUMPRODUCT(Q6:Q13,K6:K13)/SUMPRODUCT((Q6:Q13&gt;0)*(K6:K13)),2)</f>
        <v>0.2</v>
      </c>
      <c r="R16" s="1164">
        <f ca="1">SUM(R6:R13)</f>
        <v>4399.12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t="s">
        <v>3063</v>
      </c>
      <c r="N18" s="2897">
        <v>2008</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3048</v>
      </c>
      <c r="D19" s="2902"/>
      <c r="E19" s="2899"/>
      <c r="F19" s="2899"/>
      <c r="G19" s="2899"/>
      <c r="H19" s="2899"/>
      <c r="I19" s="2899"/>
      <c r="J19" s="2899"/>
      <c r="K19" s="2898"/>
      <c r="L19" s="2898"/>
      <c r="M19" s="2897"/>
      <c r="N19" s="2897"/>
      <c r="O19" s="2897"/>
      <c r="P19" s="2897"/>
      <c r="Q19" s="2897"/>
      <c r="R19" s="2897"/>
      <c r="S19" s="2897"/>
      <c r="T19" s="2897"/>
      <c r="U19" s="2897"/>
      <c r="V19" s="3062" t="s">
        <v>3075</v>
      </c>
      <c r="W19" s="3062" t="s">
        <v>3076</v>
      </c>
      <c r="X19" s="3062" t="s">
        <v>3077</v>
      </c>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3046</v>
      </c>
      <c r="D20" s="2902"/>
      <c r="E20" s="2899"/>
      <c r="F20" s="2899"/>
      <c r="G20" s="2899"/>
      <c r="H20" s="2899"/>
      <c r="I20" s="2899"/>
      <c r="J20" s="2899"/>
      <c r="K20" s="2898"/>
      <c r="L20" s="2898"/>
      <c r="M20" s="2897"/>
      <c r="N20" s="2897"/>
      <c r="O20" s="2897"/>
      <c r="P20" s="2897"/>
      <c r="Q20" s="2897"/>
      <c r="R20" s="2897"/>
      <c r="S20" s="2897"/>
      <c r="T20" s="2897"/>
      <c r="U20" s="2897" t="s">
        <v>3070</v>
      </c>
      <c r="V20" s="2897">
        <v>2741.34</v>
      </c>
      <c r="W20" s="2897">
        <v>1</v>
      </c>
      <c r="X20" s="2897">
        <v>16</v>
      </c>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2</v>
      </c>
      <c r="C21" s="2899"/>
      <c r="D21" s="2902"/>
      <c r="E21" s="2899"/>
      <c r="F21" s="2899"/>
      <c r="G21" s="2899"/>
      <c r="H21" s="2899"/>
      <c r="I21" s="2899"/>
      <c r="J21" s="2899"/>
      <c r="K21" s="2898"/>
      <c r="L21" s="2898"/>
      <c r="M21" s="2897"/>
      <c r="N21" s="2897"/>
      <c r="O21" s="2897"/>
      <c r="P21" s="2897"/>
      <c r="Q21" s="2897"/>
      <c r="R21" s="2897"/>
      <c r="S21" s="2897"/>
      <c r="T21" s="2897"/>
      <c r="U21" s="2897" t="s">
        <v>3071</v>
      </c>
      <c r="V21" s="2897">
        <v>3534.98</v>
      </c>
      <c r="W21" s="2897">
        <v>0.7</v>
      </c>
      <c r="X21" s="2897">
        <f>ROUND($X$20*W21,1)</f>
        <v>11.2</v>
      </c>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t="s">
        <v>3072</v>
      </c>
      <c r="V22" s="2897">
        <v>3631.02</v>
      </c>
      <c r="W22" s="2897">
        <v>0.6</v>
      </c>
      <c r="X22" s="2897">
        <f>ROUND($X$20*W22,1)</f>
        <v>9.6</v>
      </c>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t="s">
        <v>3073</v>
      </c>
      <c r="V23" s="2897">
        <v>3642.43</v>
      </c>
      <c r="W23" s="2897">
        <v>0.5</v>
      </c>
      <c r="X23" s="2897">
        <f>ROUND($X$20*W23,1)</f>
        <v>8</v>
      </c>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t="s">
        <v>3074</v>
      </c>
      <c r="V24" s="2897">
        <v>3741.2</v>
      </c>
      <c r="W24" s="2897">
        <v>0.3</v>
      </c>
      <c r="X24" s="2897">
        <f>ROUND($X$20*W24,1)</f>
        <v>4.8</v>
      </c>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f ca="1">结果表!G19</f>
        <v>5321</v>
      </c>
      <c r="O25" s="2897"/>
      <c r="P25" s="2897"/>
      <c r="Q25" s="2897"/>
      <c r="R25" s="2897"/>
      <c r="S25" s="2897"/>
      <c r="T25" s="2897"/>
      <c r="U25" s="2897"/>
      <c r="V25" s="2897">
        <f>SUM(V20:V24)</f>
        <v>17290.97</v>
      </c>
      <c r="W25" s="2897"/>
      <c r="X25" s="2897">
        <f>ROUND(X20*V20/V25+X21*V21/V25+X22*V22/V25+X23*V23/V25+X24*V24/V25,1)</f>
        <v>9.6</v>
      </c>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3050</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 ca="1">成本法!C10</f>
        <v>306</v>
      </c>
      <c r="C29" s="3030" t="s">
        <v>3036</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150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150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1" t="s">
        <v>3038</v>
      </c>
      <c r="D34" s="2910" t="s">
        <v>3047</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f>B30</f>
        <v>150</v>
      </c>
      <c r="C35" s="3031" t="s">
        <v>3039</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3083">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3084">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09">
        <f ca="1">存贷款利率!G1</f>
        <v>4.7500000000000001E-2</v>
      </c>
      <c r="C40" s="3031" t="s">
        <v>3042</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3">
        <v>7.0000000000000007E-2</v>
      </c>
      <c r="C44" s="3031" t="s">
        <v>3051</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1">
        <v>0.03</v>
      </c>
      <c r="C45" s="3030" t="s">
        <v>3043</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1">
        <v>0.02</v>
      </c>
      <c r="C46" s="3030" t="s">
        <v>3044</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4">
        <v>0</v>
      </c>
      <c r="C47" s="3033" t="s">
        <v>3052</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5">
        <v>0.03</v>
      </c>
      <c r="C48" s="3030" t="s">
        <v>3043</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1">
        <v>5.0000000000000001E-4</v>
      </c>
      <c r="C49" s="3030" t="s">
        <v>3045</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6">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7">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8">
        <f>SUMIF(A54:A63,B53,B54:B63)</f>
        <v>30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3049</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23" sqref="C23"/>
    </sheetView>
  </sheetViews>
  <sheetFormatPr defaultColWidth="9" defaultRowHeight="14.25"/>
  <cols>
    <col min="1" max="1" width="9.5" style="1873"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3"/>
  </cols>
  <sheetData>
    <row r="1" spans="1:29" s="2684" customFormat="1" ht="18.75" thickBot="1">
      <c r="A1" s="3183" t="s">
        <v>3028</v>
      </c>
      <c r="B1" s="3184"/>
      <c r="C1" s="3184"/>
      <c r="D1" s="3184"/>
      <c r="E1" s="3184"/>
      <c r="F1" s="3184"/>
      <c r="G1" s="318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3024</v>
      </c>
      <c r="D2" s="2688"/>
      <c r="E2" s="2685"/>
      <c r="F2" s="2689"/>
      <c r="G2" s="2687" t="s">
        <v>3025</v>
      </c>
      <c r="H2" s="906"/>
      <c r="I2" s="906"/>
      <c r="J2" s="906"/>
      <c r="K2" s="906"/>
      <c r="L2" s="906"/>
      <c r="M2" s="906"/>
      <c r="N2" s="906"/>
      <c r="O2" s="906"/>
      <c r="P2" s="906"/>
      <c r="Q2" s="906"/>
      <c r="R2" s="906"/>
    </row>
    <row r="3" spans="1:29" ht="25.5">
      <c r="A3" s="2668" t="s">
        <v>3026</v>
      </c>
      <c r="B3" s="2690" t="s">
        <v>2998</v>
      </c>
      <c r="C3" s="3085" t="s">
        <v>3153</v>
      </c>
      <c r="D3" s="2691"/>
      <c r="E3" s="2669" t="s">
        <v>3026</v>
      </c>
      <c r="F3" s="2692" t="s">
        <v>2999</v>
      </c>
      <c r="G3" s="2693" t="s">
        <v>3027</v>
      </c>
      <c r="H3" s="906"/>
      <c r="I3" s="906"/>
      <c r="J3" s="906"/>
      <c r="K3" s="906"/>
      <c r="L3" s="906"/>
      <c r="M3" s="906"/>
      <c r="N3" s="906"/>
      <c r="O3" s="906"/>
      <c r="P3" s="906"/>
      <c r="Q3" s="906"/>
      <c r="R3" s="906"/>
    </row>
    <row r="4" spans="1:29" ht="36">
      <c r="A4" s="2669"/>
      <c r="B4" s="328" t="s">
        <v>3000</v>
      </c>
      <c r="C4" s="3086" t="s">
        <v>3154</v>
      </c>
      <c r="D4" s="2691"/>
      <c r="E4" s="2694"/>
      <c r="F4" s="1558" t="s">
        <v>3001</v>
      </c>
      <c r="G4" s="2695" t="s">
        <v>3002</v>
      </c>
      <c r="H4" s="906"/>
      <c r="I4" s="906"/>
      <c r="J4" s="906"/>
      <c r="K4" s="906"/>
      <c r="L4" s="906"/>
      <c r="M4" s="906"/>
      <c r="N4" s="906"/>
      <c r="O4" s="906"/>
      <c r="P4" s="906"/>
      <c r="Q4" s="906"/>
      <c r="R4" s="906"/>
    </row>
    <row r="5" spans="1:29" ht="24">
      <c r="A5" s="2669"/>
      <c r="B5" s="328" t="s">
        <v>3003</v>
      </c>
      <c r="C5" s="3086" t="s">
        <v>3154</v>
      </c>
      <c r="D5" s="2691"/>
      <c r="E5" s="2694"/>
      <c r="F5" s="328" t="s">
        <v>3004</v>
      </c>
      <c r="G5" s="2695" t="s">
        <v>3005</v>
      </c>
      <c r="H5" s="906"/>
      <c r="I5" s="906"/>
      <c r="J5" s="906"/>
      <c r="K5" s="906"/>
      <c r="L5" s="906"/>
      <c r="M5" s="906"/>
      <c r="N5" s="906"/>
      <c r="O5" s="906"/>
      <c r="P5" s="906"/>
      <c r="Q5" s="906"/>
      <c r="R5" s="906"/>
    </row>
    <row r="6" spans="1:29">
      <c r="A6" s="2669"/>
      <c r="B6" s="328" t="s">
        <v>3006</v>
      </c>
      <c r="C6" s="3087" t="s">
        <v>3155</v>
      </c>
      <c r="D6" s="2691"/>
      <c r="E6" s="2694"/>
      <c r="F6" s="328" t="s">
        <v>3007</v>
      </c>
      <c r="G6" s="2695" t="s">
        <v>3008</v>
      </c>
      <c r="H6" s="906"/>
      <c r="I6" s="906"/>
      <c r="J6" s="906"/>
      <c r="K6" s="906"/>
      <c r="L6" s="906"/>
      <c r="M6" s="906"/>
      <c r="N6" s="906"/>
      <c r="O6" s="906"/>
      <c r="P6" s="906"/>
      <c r="Q6" s="906"/>
      <c r="R6" s="906"/>
    </row>
    <row r="7" spans="1:29" ht="24.75" thickBot="1">
      <c r="A7" s="2669"/>
      <c r="B7" s="328" t="s">
        <v>3004</v>
      </c>
      <c r="C7" s="3087" t="s">
        <v>3155</v>
      </c>
      <c r="D7" s="2696"/>
      <c r="E7" s="2697"/>
      <c r="F7" s="2698" t="s">
        <v>3009</v>
      </c>
      <c r="G7" s="2699" t="s">
        <v>3010</v>
      </c>
      <c r="H7" s="906"/>
      <c r="I7" s="906"/>
      <c r="J7" s="906"/>
      <c r="K7" s="906"/>
      <c r="L7" s="906"/>
      <c r="M7" s="906"/>
      <c r="N7" s="906"/>
      <c r="O7" s="906"/>
      <c r="P7" s="906"/>
      <c r="Q7" s="906"/>
      <c r="R7" s="906"/>
    </row>
    <row r="8" spans="1:29">
      <c r="A8" s="2669"/>
      <c r="B8" s="328" t="s">
        <v>3007</v>
      </c>
      <c r="C8" s="3087" t="s">
        <v>3156</v>
      </c>
      <c r="D8" s="2696"/>
      <c r="E8" s="2696"/>
      <c r="F8" s="2700"/>
      <c r="G8" s="2700"/>
      <c r="H8" s="906"/>
      <c r="I8" s="906"/>
      <c r="J8" s="906"/>
      <c r="K8" s="906"/>
      <c r="L8" s="906"/>
      <c r="M8" s="906"/>
      <c r="N8" s="906"/>
      <c r="O8" s="906"/>
      <c r="P8" s="906"/>
      <c r="Q8" s="906"/>
      <c r="R8" s="906"/>
    </row>
    <row r="9" spans="1:29">
      <c r="A9" s="2669"/>
      <c r="B9" s="328" t="s">
        <v>3011</v>
      </c>
      <c r="C9" s="3086" t="s">
        <v>3157</v>
      </c>
      <c r="D9" s="2691"/>
      <c r="E9" s="2696"/>
      <c r="F9" s="2700"/>
      <c r="G9" s="2700"/>
      <c r="H9" s="906"/>
      <c r="I9" s="906"/>
      <c r="J9" s="906"/>
      <c r="K9" s="906"/>
      <c r="L9" s="906"/>
      <c r="M9" s="906"/>
      <c r="N9" s="906"/>
      <c r="O9" s="906"/>
      <c r="P9" s="906"/>
      <c r="Q9" s="906"/>
      <c r="R9" s="906"/>
    </row>
    <row r="10" spans="1:29" s="2706" customFormat="1" ht="15" thickBot="1">
      <c r="A10" s="2670"/>
      <c r="B10" s="2701" t="s">
        <v>3012</v>
      </c>
      <c r="C10" s="2702"/>
      <c r="D10" s="2691"/>
      <c r="E10" s="2691"/>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1"/>
      <c r="D11" s="2691"/>
      <c r="E11" s="2691"/>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4" customFormat="1" ht="18">
      <c r="A12" s="2707"/>
      <c r="B12" s="2696"/>
      <c r="C12" s="2691"/>
      <c r="D12" s="2709"/>
      <c r="E12" s="2691"/>
      <c r="F12" s="2696"/>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3029</v>
      </c>
      <c r="B13" s="2709"/>
      <c r="C13" s="2709"/>
      <c r="D13" s="2707"/>
      <c r="E13" s="2709"/>
      <c r="F13" s="2709"/>
      <c r="G13" s="2709"/>
    </row>
    <row r="14" spans="1:29" ht="15" thickBot="1">
      <c r="A14" s="2719"/>
      <c r="B14" s="2719"/>
      <c r="C14" s="2720" t="s">
        <v>3013</v>
      </c>
      <c r="D14" s="2691"/>
      <c r="E14" s="2721"/>
      <c r="F14" s="2721"/>
      <c r="G14" s="2687" t="s">
        <v>3014</v>
      </c>
    </row>
    <row r="15" spans="1:29" ht="25.5">
      <c r="A15" s="2671" t="s">
        <v>3015</v>
      </c>
      <c r="B15" s="2722" t="s">
        <v>2998</v>
      </c>
      <c r="C15" s="2723" t="str">
        <f>C3</f>
        <v>较好</v>
      </c>
      <c r="D15" s="2691"/>
      <c r="E15" s="2672" t="s">
        <v>3016</v>
      </c>
      <c r="F15" s="2722" t="s">
        <v>3017</v>
      </c>
      <c r="G15" s="2724" t="str">
        <f>G3</f>
        <v>估价对象位于XX开发区，园区建设成熟度XX，产业集聚程度XX</v>
      </c>
    </row>
    <row r="16" spans="1:29" ht="38.25">
      <c r="A16" s="2673"/>
      <c r="B16" s="2725" t="s">
        <v>3000</v>
      </c>
      <c r="C16" s="2726" t="str">
        <f>C4</f>
        <v>好</v>
      </c>
      <c r="D16" s="2691"/>
      <c r="E16" s="2674"/>
      <c r="F16" s="2727" t="s">
        <v>3001</v>
      </c>
      <c r="G16" s="2728" t="str">
        <f>G4</f>
        <v>估价对象周边道路状况、公共交通通达情况、停车便捷程度，综合评价交通便捷度较好</v>
      </c>
    </row>
    <row r="17" spans="1:18">
      <c r="A17" s="2673"/>
      <c r="B17" s="2725" t="s">
        <v>3003</v>
      </c>
      <c r="C17" s="2726" t="str">
        <f>C5</f>
        <v>好</v>
      </c>
      <c r="D17" s="2696"/>
      <c r="E17" s="2674"/>
      <c r="F17" s="2727" t="s">
        <v>3018</v>
      </c>
      <c r="G17" s="2729"/>
    </row>
    <row r="18" spans="1:18" ht="25.5">
      <c r="A18" s="2673"/>
      <c r="B18" s="2727" t="s">
        <v>3006</v>
      </c>
      <c r="C18" s="2728" t="str">
        <f>C6</f>
        <v>好</v>
      </c>
      <c r="D18" s="2696"/>
      <c r="E18" s="2674"/>
      <c r="F18" s="2727" t="s">
        <v>3009</v>
      </c>
      <c r="G18" s="2728" t="str">
        <f>G7</f>
        <v>该园区内是否有污染型企业，绿化情况，卫生条件，整体环境状况判断</v>
      </c>
    </row>
    <row r="19" spans="1:18" ht="25.5">
      <c r="A19" s="2673"/>
      <c r="B19" s="2727" t="s">
        <v>3019</v>
      </c>
      <c r="C19" s="3088" t="s">
        <v>3158</v>
      </c>
      <c r="D19" s="2691"/>
      <c r="E19" s="2674"/>
      <c r="F19" s="328" t="s">
        <v>3004</v>
      </c>
      <c r="G19" s="2728" t="str">
        <f>G5</f>
        <v>估价对象所在区域公共配套设施齐备情况</v>
      </c>
    </row>
    <row r="20" spans="1:18">
      <c r="A20" s="2673"/>
      <c r="B20" s="2727" t="s">
        <v>3020</v>
      </c>
      <c r="C20" s="2726" t="str">
        <f>C9</f>
        <v>较好</v>
      </c>
      <c r="D20" s="2696"/>
      <c r="E20" s="2674"/>
      <c r="F20" s="328" t="s">
        <v>3007</v>
      </c>
      <c r="G20" s="2728" t="str">
        <f>G6</f>
        <v>估价对象所在区域基础设施水平</v>
      </c>
    </row>
    <row r="21" spans="1:18">
      <c r="A21" s="2673"/>
      <c r="B21" s="328" t="s">
        <v>3004</v>
      </c>
      <c r="C21" s="2728" t="str">
        <f>C7</f>
        <v>好</v>
      </c>
      <c r="D21" s="2691"/>
      <c r="E21" s="2674"/>
      <c r="F21" s="2727" t="s">
        <v>3021</v>
      </c>
      <c r="G21" s="2730"/>
    </row>
    <row r="22" spans="1:18" ht="13.5" customHeight="1">
      <c r="A22" s="2673"/>
      <c r="B22" s="328" t="s">
        <v>3007</v>
      </c>
      <c r="C22" s="2728" t="str">
        <f>C8</f>
        <v>七通</v>
      </c>
      <c r="D22" s="2691"/>
      <c r="E22" s="2674"/>
      <c r="F22" s="2727" t="s">
        <v>3012</v>
      </c>
      <c r="G22" s="2729"/>
    </row>
    <row r="23" spans="1:18" s="906" customFormat="1" ht="15" thickBot="1">
      <c r="A23" s="2673"/>
      <c r="B23" s="2727" t="s">
        <v>3021</v>
      </c>
      <c r="C23" s="2730"/>
      <c r="D23" s="1928"/>
      <c r="E23" s="2675"/>
      <c r="F23" s="2731" t="s">
        <v>3022</v>
      </c>
      <c r="G23" s="2732"/>
      <c r="H23" s="2716"/>
      <c r="I23" s="2717"/>
      <c r="J23" s="2716"/>
      <c r="K23" s="2716"/>
      <c r="L23" s="2717"/>
      <c r="M23" s="2716"/>
      <c r="N23" s="2716"/>
      <c r="O23" s="2717"/>
      <c r="P23" s="2716"/>
      <c r="Q23" s="2716"/>
      <c r="R23" s="2718"/>
    </row>
    <row r="24" spans="1:18" s="906" customFormat="1" ht="15" thickBot="1">
      <c r="A24" s="2676"/>
      <c r="B24" s="2731" t="s">
        <v>3023</v>
      </c>
      <c r="C24" s="2733">
        <f>C10</f>
        <v>0</v>
      </c>
      <c r="D24" s="1928"/>
      <c r="E24" s="2666"/>
      <c r="F24" s="2666"/>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F34" sqref="F3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15279.68</v>
      </c>
      <c r="C1" s="2912"/>
      <c r="D1" s="2912"/>
      <c r="E1" s="2912"/>
      <c r="F1" s="2912"/>
      <c r="G1" s="2913"/>
      <c r="H1" s="2914"/>
      <c r="I1" s="2914"/>
      <c r="J1" s="2914"/>
      <c r="K1" s="2914"/>
    </row>
    <row r="2" spans="1:11" ht="16.5">
      <c r="A2" s="2737" t="s">
        <v>1319</v>
      </c>
      <c r="B2" s="2737">
        <f>SUM(C14:C23)</f>
        <v>4399.12</v>
      </c>
      <c r="C2" s="2912"/>
      <c r="D2" s="2912"/>
      <c r="E2" s="2912"/>
      <c r="F2" s="2912"/>
      <c r="G2" s="2913"/>
      <c r="H2" s="2914"/>
      <c r="I2" s="2914"/>
      <c r="J2" s="2914"/>
      <c r="K2" s="2914"/>
    </row>
    <row r="3" spans="1:11" ht="16.5">
      <c r="A3" s="2737" t="s">
        <v>1328</v>
      </c>
      <c r="B3" s="2739">
        <f>项目基本情况!D3</f>
        <v>44088</v>
      </c>
      <c r="C3" s="2912"/>
      <c r="D3" s="2912"/>
      <c r="E3" s="2912"/>
      <c r="F3" s="2912"/>
      <c r="G3" s="2913"/>
      <c r="H3" s="2914"/>
      <c r="I3" s="2914"/>
      <c r="J3" s="2914"/>
      <c r="K3" s="2914"/>
    </row>
    <row r="4" spans="1:11" ht="33">
      <c r="A4" s="2737" t="s">
        <v>1327</v>
      </c>
      <c r="B4" s="2737" t="s">
        <v>1326</v>
      </c>
      <c r="C4" s="2737" t="s">
        <v>1325</v>
      </c>
      <c r="D4" s="2737" t="s">
        <v>1324</v>
      </c>
      <c r="E4" s="2912"/>
      <c r="F4" s="2913"/>
      <c r="G4" s="2913"/>
      <c r="H4" s="2914"/>
      <c r="I4" s="2914"/>
      <c r="J4" s="2914"/>
      <c r="K4" s="2914"/>
    </row>
    <row r="5" spans="1:11" ht="16.5">
      <c r="A5" s="2737" t="s">
        <v>1323</v>
      </c>
      <c r="B5" s="2737">
        <f ca="1">SUM(D14:D23)</f>
        <v>110907</v>
      </c>
      <c r="C5" s="2737">
        <f ca="1">ROUND(B5*10000/$B$1,0)</f>
        <v>72585</v>
      </c>
      <c r="D5" s="2737">
        <f ca="1">ROUND(B5*10000/$B$2,0)</f>
        <v>252112</v>
      </c>
      <c r="E5" s="2912"/>
      <c r="F5" s="2913"/>
      <c r="G5" s="2913"/>
      <c r="H5" s="2914"/>
      <c r="I5" s="2914"/>
      <c r="J5" s="2914"/>
      <c r="K5" s="2914"/>
    </row>
    <row r="6" spans="1:11" ht="16.5">
      <c r="A6" s="2737" t="s">
        <v>1322</v>
      </c>
      <c r="B6" s="2737">
        <f ca="1">SUM(G14:G23)</f>
        <v>110907</v>
      </c>
      <c r="C6" s="2737">
        <f ca="1">ROUND(B6*10000/$B$1,0)</f>
        <v>72585</v>
      </c>
      <c r="D6" s="2737">
        <f ca="1">ROUND(B6*10000/$B$2,0)</f>
        <v>252112</v>
      </c>
      <c r="E6" s="2912"/>
      <c r="F6" s="2913"/>
      <c r="G6" s="2913"/>
      <c r="H6" s="2914"/>
      <c r="I6" s="2914"/>
      <c r="J6" s="2914"/>
      <c r="K6" s="2914"/>
    </row>
    <row r="7" spans="1:11" ht="16.5">
      <c r="A7" s="2737" t="s">
        <v>1330</v>
      </c>
      <c r="B7" s="2737">
        <f>SUM(H14:H23)</f>
        <v>0</v>
      </c>
      <c r="C7" s="2737">
        <f>ROUND(B7*10000/$B$1,0)</f>
        <v>0</v>
      </c>
      <c r="D7" s="2737">
        <f>ROUND(B7*10000/$B$2,0)</f>
        <v>0</v>
      </c>
      <c r="E7" s="2912"/>
      <c r="F7" s="2913"/>
      <c r="G7" s="2913"/>
      <c r="H7" s="2914"/>
      <c r="I7" s="2914"/>
      <c r="J7" s="2914"/>
      <c r="K7" s="2914"/>
    </row>
    <row r="8" spans="1:11" ht="16.5">
      <c r="A8" s="2737" t="s">
        <v>1252</v>
      </c>
      <c r="B8" s="2737">
        <f ca="1">SUM(I14:I23)</f>
        <v>104937</v>
      </c>
      <c r="C8" s="2737">
        <f ca="1">ROUND(B8*10000/$B$1,0)</f>
        <v>68677</v>
      </c>
      <c r="D8" s="2737">
        <f ca="1">ROUND(B8*10000/$B$2,0)</f>
        <v>238541</v>
      </c>
      <c r="E8" s="2912"/>
      <c r="F8" s="2913"/>
      <c r="G8" s="2913"/>
      <c r="H8" s="2914"/>
      <c r="I8" s="2914"/>
      <c r="J8" s="2914"/>
      <c r="K8" s="2914"/>
    </row>
    <row r="9" spans="1:11" ht="16.5">
      <c r="A9" s="2737" t="s">
        <v>1321</v>
      </c>
      <c r="B9" s="2745"/>
      <c r="C9" s="2912"/>
      <c r="D9" s="2912"/>
      <c r="E9" s="2912"/>
      <c r="F9" s="2913"/>
      <c r="G9" s="2913"/>
      <c r="H9" s="2914"/>
      <c r="I9" s="2914"/>
      <c r="J9" s="2914"/>
      <c r="K9" s="2914"/>
    </row>
    <row r="10" spans="1:11" ht="16.5">
      <c r="A10" s="2737" t="s">
        <v>1320</v>
      </c>
      <c r="B10" s="2745"/>
      <c r="C10" s="2912"/>
      <c r="D10" s="2912"/>
      <c r="E10" s="2912"/>
      <c r="F10" s="2913"/>
      <c r="G10" s="2913"/>
      <c r="H10" s="2914"/>
      <c r="I10" s="2914"/>
      <c r="J10" s="2914"/>
      <c r="K10" s="2914"/>
    </row>
    <row r="11" spans="1:11" ht="16.5">
      <c r="A11" s="2737" t="s">
        <v>1336</v>
      </c>
      <c r="B11" s="2745"/>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40" t="s">
        <v>1335</v>
      </c>
      <c r="B13" s="2741" t="s">
        <v>1332</v>
      </c>
      <c r="C13" s="2741" t="s">
        <v>1334</v>
      </c>
      <c r="D13" s="2741" t="s">
        <v>1333</v>
      </c>
      <c r="E13" s="2737" t="s">
        <v>1325</v>
      </c>
      <c r="F13" s="2737" t="s">
        <v>1324</v>
      </c>
      <c r="G13" s="2741" t="s">
        <v>1318</v>
      </c>
      <c r="H13" s="2741" t="s">
        <v>1329</v>
      </c>
      <c r="I13" s="2741" t="s">
        <v>1317</v>
      </c>
      <c r="J13" s="2913"/>
      <c r="K13" s="2914"/>
    </row>
    <row r="14" spans="1:11" ht="16.5">
      <c r="A14" s="2742" t="s">
        <v>1316</v>
      </c>
      <c r="B14" s="2743">
        <f>'数据-汇总表'!E3</f>
        <v>15279.68</v>
      </c>
      <c r="C14" s="2743">
        <f>'数据-汇总表'!D3</f>
        <v>4399.12</v>
      </c>
      <c r="D14" s="2743">
        <f ca="1">典型户型修正!B20</f>
        <v>110907</v>
      </c>
      <c r="E14" s="2743">
        <f ca="1">ROUND(D14*10000/B14,0)</f>
        <v>72585</v>
      </c>
      <c r="F14" s="2743">
        <f ca="1">ROUND(D14*10000/C14,0)</f>
        <v>252112</v>
      </c>
      <c r="G14" s="2743">
        <f ca="1">D14</f>
        <v>110907</v>
      </c>
      <c r="H14" s="2743" t="str">
        <f>结果表!D124</f>
        <v>——</v>
      </c>
      <c r="I14" s="2743">
        <f ca="1">结果表!D126</f>
        <v>104937</v>
      </c>
      <c r="J14" s="2913"/>
      <c r="K14" s="2914"/>
    </row>
    <row r="15" spans="1:11" ht="16.5">
      <c r="A15" s="2742" t="s">
        <v>1315</v>
      </c>
      <c r="B15" s="2744"/>
      <c r="C15" s="2744"/>
      <c r="D15" s="2744"/>
      <c r="E15" s="2743" t="e">
        <f t="shared" ref="E15:E23" si="0">ROUND(D15*10000/B15,0)</f>
        <v>#DIV/0!</v>
      </c>
      <c r="F15" s="2743" t="e">
        <f t="shared" ref="F15:F23" si="1">ROUND(D15*10000/C15,0)</f>
        <v>#DIV/0!</v>
      </c>
      <c r="G15" s="1501"/>
      <c r="H15" s="1501"/>
      <c r="I15" s="2744"/>
      <c r="J15" s="2913"/>
      <c r="K15" s="2914"/>
    </row>
    <row r="16" spans="1:11" ht="16.5">
      <c r="A16" s="2742" t="s">
        <v>1314</v>
      </c>
      <c r="B16" s="2744"/>
      <c r="C16" s="2744"/>
      <c r="D16" s="2744"/>
      <c r="E16" s="2743" t="e">
        <f t="shared" si="0"/>
        <v>#DIV/0!</v>
      </c>
      <c r="F16" s="2743" t="e">
        <f t="shared" si="1"/>
        <v>#DIV/0!</v>
      </c>
      <c r="G16" s="1501"/>
      <c r="H16" s="1501"/>
      <c r="I16" s="2744"/>
      <c r="J16" s="2914"/>
      <c r="K16" s="2914"/>
    </row>
    <row r="17" spans="1:11" ht="16.5">
      <c r="A17" s="2742" t="s">
        <v>1313</v>
      </c>
      <c r="B17" s="2744"/>
      <c r="C17" s="2744"/>
      <c r="D17" s="2744"/>
      <c r="E17" s="2743" t="e">
        <f t="shared" si="0"/>
        <v>#DIV/0!</v>
      </c>
      <c r="F17" s="2743" t="e">
        <f t="shared" si="1"/>
        <v>#DIV/0!</v>
      </c>
      <c r="G17" s="1501"/>
      <c r="H17" s="1501"/>
      <c r="I17" s="2744"/>
      <c r="J17" s="2914"/>
      <c r="K17" s="2914"/>
    </row>
    <row r="18" spans="1:11" ht="16.5">
      <c r="A18" s="2742" t="s">
        <v>1312</v>
      </c>
      <c r="B18" s="2744"/>
      <c r="C18" s="2744"/>
      <c r="D18" s="2744"/>
      <c r="E18" s="2743" t="e">
        <f t="shared" si="0"/>
        <v>#DIV/0!</v>
      </c>
      <c r="F18" s="2743" t="e">
        <f t="shared" si="1"/>
        <v>#DIV/0!</v>
      </c>
      <c r="G18" s="2744"/>
      <c r="H18" s="2744"/>
      <c r="I18" s="2744"/>
      <c r="J18" s="2914"/>
      <c r="K18" s="2914"/>
    </row>
    <row r="19" spans="1:11" ht="16.5">
      <c r="A19" s="2742" t="s">
        <v>1311</v>
      </c>
      <c r="B19" s="2744"/>
      <c r="C19" s="2744"/>
      <c r="D19" s="2744"/>
      <c r="E19" s="2743" t="e">
        <f t="shared" si="0"/>
        <v>#DIV/0!</v>
      </c>
      <c r="F19" s="2743" t="e">
        <f t="shared" si="1"/>
        <v>#DIV/0!</v>
      </c>
      <c r="G19" s="2744"/>
      <c r="H19" s="2744"/>
      <c r="I19" s="2744"/>
      <c r="J19" s="2914"/>
      <c r="K19" s="2914"/>
    </row>
    <row r="20" spans="1:11" ht="16.5">
      <c r="A20" s="2742" t="s">
        <v>1310</v>
      </c>
      <c r="B20" s="2744"/>
      <c r="C20" s="2744"/>
      <c r="D20" s="2744"/>
      <c r="E20" s="2743" t="e">
        <f t="shared" si="0"/>
        <v>#DIV/0!</v>
      </c>
      <c r="F20" s="2743" t="e">
        <f t="shared" si="1"/>
        <v>#DIV/0!</v>
      </c>
      <c r="G20" s="2744"/>
      <c r="H20" s="2744"/>
      <c r="I20" s="2744"/>
      <c r="J20" s="2914"/>
      <c r="K20" s="2914"/>
    </row>
    <row r="21" spans="1:11" ht="16.5">
      <c r="A21" s="2742" t="s">
        <v>1309</v>
      </c>
      <c r="B21" s="2744"/>
      <c r="C21" s="2744"/>
      <c r="D21" s="2744"/>
      <c r="E21" s="2743" t="e">
        <f t="shared" si="0"/>
        <v>#DIV/0!</v>
      </c>
      <c r="F21" s="2743" t="e">
        <f t="shared" si="1"/>
        <v>#DIV/0!</v>
      </c>
      <c r="G21" s="2744"/>
      <c r="H21" s="2744"/>
      <c r="I21" s="2744"/>
      <c r="J21" s="2914"/>
      <c r="K21" s="2914"/>
    </row>
    <row r="22" spans="1:11" ht="16.5">
      <c r="A22" s="2742" t="s">
        <v>1308</v>
      </c>
      <c r="B22" s="2744"/>
      <c r="C22" s="2744"/>
      <c r="D22" s="2744"/>
      <c r="E22" s="2743" t="e">
        <f t="shared" si="0"/>
        <v>#DIV/0!</v>
      </c>
      <c r="F22" s="2743" t="e">
        <f t="shared" si="1"/>
        <v>#DIV/0!</v>
      </c>
      <c r="G22" s="2744"/>
      <c r="H22" s="2744"/>
      <c r="I22" s="2744"/>
      <c r="J22" s="2914"/>
      <c r="K22" s="2914"/>
    </row>
    <row r="23" spans="1:11" ht="16.5">
      <c r="A23" s="2742" t="s">
        <v>1307</v>
      </c>
      <c r="B23" s="2744"/>
      <c r="C23" s="2744"/>
      <c r="D23" s="2744"/>
      <c r="E23" s="2745" t="e">
        <f t="shared" si="0"/>
        <v>#DIV/0!</v>
      </c>
      <c r="F23" s="2745" t="e">
        <f t="shared" si="1"/>
        <v>#DIV/0!</v>
      </c>
      <c r="G23" s="2744"/>
      <c r="H23" s="2744"/>
      <c r="I23" s="2744"/>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6" zoomScale="90" zoomScaleNormal="100" zoomScaleSheetLayoutView="90" zoomScalePageLayoutView="80" workbookViewId="0">
      <selection activeCell="D20" sqref="D20"/>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t="s">
        <v>27</v>
      </c>
      <c r="D1" s="1934"/>
      <c r="E1" s="1934"/>
      <c r="F1" s="1936" t="s">
        <v>1950</v>
      </c>
      <c r="G1" s="1747" t="s">
        <v>3161</v>
      </c>
      <c r="H1" s="1937" t="str">
        <f>IF(G1="现房","——","估价对象范围")</f>
        <v>——</v>
      </c>
      <c r="I1" s="1938" t="s">
        <v>3162</v>
      </c>
    </row>
    <row r="2" spans="1:12" ht="21.75" customHeight="1" thickBot="1">
      <c r="A2" s="3255" t="str">
        <f>项目基本情况!S2</f>
        <v>北京市亿利生态广场房地产</v>
      </c>
      <c r="B2" s="3256"/>
      <c r="C2" s="3256"/>
      <c r="D2" s="3256"/>
      <c r="E2" s="3256"/>
      <c r="F2" s="3256"/>
      <c r="G2" s="3256"/>
      <c r="H2" s="3256"/>
      <c r="I2" s="3257"/>
    </row>
    <row r="3" spans="1:12" ht="12.75">
      <c r="A3" s="3259" t="s">
        <v>1951</v>
      </c>
      <c r="B3" s="3260"/>
      <c r="C3" s="3260"/>
      <c r="D3" s="3260"/>
      <c r="E3" s="3260"/>
      <c r="F3" s="3260"/>
      <c r="G3" s="3260"/>
      <c r="H3" s="3260"/>
      <c r="I3" s="3260"/>
    </row>
    <row r="4" spans="1:12" ht="14.25">
      <c r="A4" s="1941" t="s">
        <v>1952</v>
      </c>
      <c r="B4" s="1942" t="s">
        <v>1953</v>
      </c>
      <c r="C4" s="1943" t="s">
        <v>3167</v>
      </c>
      <c r="D4" s="1943" t="s">
        <v>3165</v>
      </c>
      <c r="E4" s="3264" t="s">
        <v>1954</v>
      </c>
      <c r="F4" s="3265"/>
      <c r="G4" s="3265"/>
      <c r="H4" s="3265"/>
      <c r="I4" s="326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0" t="s">
        <v>1955</v>
      </c>
      <c r="B5" s="3258">
        <v>25</v>
      </c>
      <c r="C5" s="3261"/>
      <c r="D5" s="3249"/>
      <c r="E5" s="135" t="s">
        <v>1956</v>
      </c>
      <c r="F5" s="1944"/>
      <c r="G5" s="1944"/>
      <c r="H5" s="1944"/>
      <c r="I5" s="1558"/>
    </row>
    <row r="6" spans="1:12" ht="12.75">
      <c r="A6" s="3200"/>
      <c r="B6" s="3258"/>
      <c r="C6" s="3263"/>
      <c r="D6" s="3249"/>
      <c r="E6" s="135" t="s">
        <v>1957</v>
      </c>
      <c r="F6" s="1944"/>
      <c r="G6" s="1944"/>
      <c r="H6" s="1944"/>
      <c r="I6" s="1558"/>
    </row>
    <row r="7" spans="1:12" ht="12.75">
      <c r="A7" s="3200"/>
      <c r="B7" s="3258"/>
      <c r="C7" s="3262"/>
      <c r="D7" s="3249"/>
      <c r="E7" s="135" t="s">
        <v>1958</v>
      </c>
      <c r="F7" s="1944"/>
      <c r="G7" s="1944"/>
      <c r="H7" s="1944"/>
      <c r="I7" s="1558"/>
    </row>
    <row r="8" spans="1:12" ht="12.75">
      <c r="A8" s="3200" t="s">
        <v>1959</v>
      </c>
      <c r="B8" s="3258">
        <v>15</v>
      </c>
      <c r="C8" s="3261"/>
      <c r="D8" s="3249"/>
      <c r="E8" s="135" t="s">
        <v>1960</v>
      </c>
      <c r="F8" s="1944"/>
      <c r="G8" s="1944"/>
      <c r="H8" s="1944"/>
      <c r="I8" s="1558"/>
    </row>
    <row r="9" spans="1:12" ht="12.75">
      <c r="A9" s="3200"/>
      <c r="B9" s="3258"/>
      <c r="C9" s="3262"/>
      <c r="D9" s="3249"/>
      <c r="E9" s="135" t="s">
        <v>1961</v>
      </c>
      <c r="F9" s="1944"/>
      <c r="G9" s="1944"/>
      <c r="H9" s="1944"/>
      <c r="I9" s="1558"/>
    </row>
    <row r="10" spans="1:12" ht="12.75">
      <c r="A10" s="3200" t="s">
        <v>1962</v>
      </c>
      <c r="B10" s="3258">
        <v>15</v>
      </c>
      <c r="C10" s="3261"/>
      <c r="D10" s="3249"/>
      <c r="E10" s="135" t="s">
        <v>1963</v>
      </c>
      <c r="F10" s="1944"/>
      <c r="G10" s="1944"/>
      <c r="H10" s="1944"/>
      <c r="I10" s="1558"/>
    </row>
    <row r="11" spans="1:12" ht="12.75">
      <c r="A11" s="3200"/>
      <c r="B11" s="3258"/>
      <c r="C11" s="3262"/>
      <c r="D11" s="3249"/>
      <c r="E11" s="135" t="s">
        <v>1964</v>
      </c>
      <c r="F11" s="1944"/>
      <c r="G11" s="1944"/>
      <c r="H11" s="1944"/>
      <c r="I11" s="1558"/>
    </row>
    <row r="12" spans="1:12" ht="12.75">
      <c r="A12" s="3200" t="s">
        <v>1965</v>
      </c>
      <c r="B12" s="3258">
        <v>15</v>
      </c>
      <c r="C12" s="3261"/>
      <c r="D12" s="3249"/>
      <c r="E12" s="135" t="s">
        <v>1966</v>
      </c>
      <c r="F12" s="1944"/>
      <c r="G12" s="1944"/>
      <c r="H12" s="1944"/>
      <c r="I12" s="1558"/>
    </row>
    <row r="13" spans="1:12" ht="12.75">
      <c r="A13" s="3200"/>
      <c r="B13" s="3258"/>
      <c r="C13" s="3262"/>
      <c r="D13" s="3249"/>
      <c r="E13" s="135" t="s">
        <v>1967</v>
      </c>
      <c r="F13" s="1944"/>
      <c r="G13" s="1944"/>
      <c r="H13" s="1944"/>
      <c r="I13" s="1558"/>
    </row>
    <row r="14" spans="1:12" ht="12.75">
      <c r="A14" s="3200" t="s">
        <v>1968</v>
      </c>
      <c r="B14" s="3258">
        <v>30</v>
      </c>
      <c r="C14" s="3261">
        <v>5</v>
      </c>
      <c r="D14" s="3249">
        <v>5</v>
      </c>
      <c r="E14" s="135" t="s">
        <v>1969</v>
      </c>
      <c r="F14" s="1944"/>
      <c r="G14" s="1944"/>
      <c r="H14" s="1944"/>
      <c r="I14" s="1558"/>
    </row>
    <row r="15" spans="1:12" ht="12.75">
      <c r="A15" s="3200"/>
      <c r="B15" s="3258"/>
      <c r="C15" s="3263"/>
      <c r="D15" s="3249"/>
      <c r="E15" s="135" t="s">
        <v>1970</v>
      </c>
      <c r="F15" s="1944"/>
      <c r="G15" s="1944"/>
      <c r="H15" s="1944"/>
      <c r="I15" s="1558"/>
    </row>
    <row r="16" spans="1:12" ht="12.75">
      <c r="A16" s="3200"/>
      <c r="B16" s="3258"/>
      <c r="C16" s="3262"/>
      <c r="D16" s="3249"/>
      <c r="E16" s="135" t="s">
        <v>1971</v>
      </c>
      <c r="F16" s="1944"/>
      <c r="G16" s="1944"/>
      <c r="H16" s="1944"/>
      <c r="I16" s="1558"/>
    </row>
    <row r="17" spans="1:36" ht="15">
      <c r="A17" s="1945" t="s">
        <v>1972</v>
      </c>
      <c r="B17" s="60"/>
      <c r="C17" s="136">
        <f>SUM(C5:C16)</f>
        <v>5</v>
      </c>
      <c r="D17" s="136">
        <f>SUM(D5:D16)</f>
        <v>5</v>
      </c>
      <c r="E17" s="133"/>
      <c r="F17" s="133"/>
      <c r="G17" s="133"/>
      <c r="H17" s="133"/>
      <c r="I17" s="133"/>
      <c r="K17" s="307"/>
      <c r="L17" s="307" t="s">
        <v>1973</v>
      </c>
      <c r="M17" s="307" t="s">
        <v>1974</v>
      </c>
    </row>
    <row r="18" spans="1:36" ht="31.9" customHeight="1" thickBot="1">
      <c r="A18" s="1946" t="s">
        <v>1975</v>
      </c>
      <c r="B18" s="1947"/>
      <c r="C18" s="137">
        <f>ROUND(C17/SUM(C17:D17),2)</f>
        <v>0.5</v>
      </c>
      <c r="D18" s="137">
        <f>1-C18</f>
        <v>0.5</v>
      </c>
      <c r="E18" s="3280" t="s">
        <v>2873</v>
      </c>
      <c r="F18" s="3281"/>
      <c r="G18" s="3281"/>
      <c r="H18" s="3281"/>
      <c r="I18" s="3281"/>
      <c r="K18" s="307" t="s">
        <v>1976</v>
      </c>
      <c r="L18" s="307">
        <f>IF(C1="",'数据-汇总表'!E3,SUMIF(项目类型,C1,'数据-汇总表'!E17:E26)+SUMIF(项目类型,C1,'数据-汇总表'!I17:I26))</f>
        <v>0</v>
      </c>
      <c r="M18" s="307">
        <f>IF(C1="",'数据-汇总表'!E3,SUMIF(项目类型,C1,'数据-汇总表'!E17:E26))</f>
        <v>0</v>
      </c>
    </row>
    <row r="19" spans="1:36" ht="15">
      <c r="A19" s="1948" t="s">
        <v>1977</v>
      </c>
      <c r="B19" s="1949" t="s">
        <v>1978</v>
      </c>
      <c r="C19" s="138">
        <f ca="1">SUMIF(INDIRECT("'"&amp;C4&amp;"'"&amp;"!A:A"),结果表!B19,INDIRECT("'"&amp;C4&amp;"'"&amp;"!B:B"))</f>
        <v>5150</v>
      </c>
      <c r="D19" s="139">
        <f ca="1">SUMIF(INDIRECT("'"&amp;D4&amp;"'"&amp;"!A:A"),结果表!B19,INDIRECT("'"&amp;D4&amp;"'"&amp;"!B:B"))</f>
        <v>5492</v>
      </c>
      <c r="E19" s="1948" t="s">
        <v>1979</v>
      </c>
      <c r="F19" s="1949" t="s">
        <v>1978</v>
      </c>
      <c r="G19" s="140">
        <f ca="1">ROUND(C19*$C$18+D19*$D$18,0)</f>
        <v>5321</v>
      </c>
      <c r="H19" s="1950" t="s">
        <v>1980</v>
      </c>
      <c r="I19" s="133"/>
      <c r="K19" s="307" t="s">
        <v>1981</v>
      </c>
      <c r="L19" s="307">
        <f>IF(C1="",'数据-汇总表'!D3,SUMIF(项目类型,C1,'数据-汇总表'!D17:D26)+SUMIF(项目类型,C1,'数据-汇总表'!H17:H27))</f>
        <v>0</v>
      </c>
      <c r="M19" s="307">
        <f>IF(C1="",'数据-汇总表'!D3,SUMIF(项目类型,C1,'数据-汇总表'!D17:D26))</f>
        <v>0</v>
      </c>
    </row>
    <row r="20" spans="1:36" ht="15">
      <c r="A20" s="1951"/>
      <c r="B20" s="1156" t="s">
        <v>1982</v>
      </c>
      <c r="C20" s="141">
        <f ca="1">SUMIF(INDIRECT("'"&amp;C4&amp;"'"&amp;"!A:A"),结果表!B20,INDIRECT("'"&amp;C4&amp;"'"&amp;"!B:B"))</f>
        <v>70000</v>
      </c>
      <c r="D20" s="142">
        <f ca="1">SUMIF(INDIRECT("'"&amp;D4&amp;"'"&amp;"!A:A"),结果表!B20,INDIRECT("'"&amp;D4&amp;"'"&amp;"!B:B"))</f>
        <v>74648</v>
      </c>
      <c r="E20" s="1951"/>
      <c r="F20" s="1156" t="s">
        <v>1982</v>
      </c>
      <c r="G20" s="143">
        <f ca="1">ROUND(C20*$C$18+D20*$D$18,0)</f>
        <v>72324</v>
      </c>
      <c r="H20" s="916" t="s">
        <v>1983</v>
      </c>
      <c r="I20" s="133"/>
      <c r="J20" s="733">
        <f>ROUND(220000*10000/'数据-汇总表'!E3,0)</f>
        <v>143982</v>
      </c>
    </row>
    <row r="21" spans="1:36" ht="15" customHeight="1" thickBot="1">
      <c r="A21" s="936"/>
      <c r="B21" s="1952" t="s">
        <v>1984</v>
      </c>
      <c r="C21" s="727" t="e">
        <f ca="1">ROUND(C19*10000/L19,0)</f>
        <v>#DIV/0!</v>
      </c>
      <c r="D21" s="728" t="e">
        <f ca="1">ROUND(D19*10000/L19,0)</f>
        <v>#DIV/0!</v>
      </c>
      <c r="E21" s="936"/>
      <c r="F21" s="1952" t="s">
        <v>1984</v>
      </c>
      <c r="G21" s="144" t="e">
        <f ca="1">ROUND(G19*10000/L19,0)</f>
        <v>#DIV/0!</v>
      </c>
      <c r="H21" s="1953" t="s">
        <v>1983</v>
      </c>
      <c r="I21" s="133"/>
    </row>
    <row r="22" spans="1:36" ht="15" thickBot="1">
      <c r="A22" s="1875" t="s">
        <v>1985</v>
      </c>
      <c r="B22" s="1954"/>
      <c r="C22" s="1955"/>
      <c r="D22" s="729">
        <f ca="1">IF(C19&lt;D19,D19/C19-1,C19/D19-1)</f>
        <v>6.6407766990291162E-2</v>
      </c>
      <c r="E22" s="133"/>
      <c r="F22" s="133"/>
      <c r="G22" s="133"/>
      <c r="H22" s="133"/>
      <c r="I22" s="133"/>
    </row>
    <row r="23" spans="1:36" ht="13.5" thickBot="1">
      <c r="A23" s="1934"/>
      <c r="B23" s="1934"/>
      <c r="C23" s="1934"/>
      <c r="D23" s="1934"/>
      <c r="E23" s="133"/>
      <c r="F23" s="133"/>
      <c r="G23" s="133"/>
      <c r="H23" s="133"/>
      <c r="I23" s="133"/>
    </row>
    <row r="24" spans="1:36" ht="14.25">
      <c r="A24" s="3273" t="s">
        <v>1986</v>
      </c>
      <c r="B24" s="1949" t="s">
        <v>1978</v>
      </c>
      <c r="C24" s="140">
        <f>IF(B30=0,0,D30)</f>
        <v>0</v>
      </c>
      <c r="D24" s="1956"/>
      <c r="E24" s="133"/>
      <c r="F24" s="133"/>
      <c r="G24" s="133"/>
      <c r="H24" s="133"/>
      <c r="I24" s="133"/>
    </row>
    <row r="25" spans="1:36" ht="14.25">
      <c r="A25" s="3274"/>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2874</v>
      </c>
      <c r="F30" s="133"/>
      <c r="G30" s="133"/>
      <c r="H30" s="133"/>
      <c r="I30" s="133"/>
    </row>
    <row r="31" spans="1:36" s="2528" customFormat="1" ht="26.45" customHeight="1" thickTop="1" thickBot="1">
      <c r="A31" s="2523"/>
      <c r="B31" s="2524"/>
      <c r="C31" s="2524"/>
      <c r="D31" s="2524"/>
      <c r="E31" s="2524"/>
      <c r="F31" s="2524"/>
      <c r="G31" s="2524"/>
      <c r="H31" s="2524"/>
      <c r="I31" s="2525" t="s">
        <v>2875</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5321</v>
      </c>
      <c r="D32" s="1962" t="s">
        <v>3150</v>
      </c>
      <c r="E32" s="133"/>
      <c r="F32" s="133"/>
      <c r="G32" s="133"/>
      <c r="H32" s="133"/>
      <c r="I32" s="133"/>
    </row>
    <row r="33" spans="1:15" ht="15">
      <c r="A33" s="893" t="s">
        <v>1993</v>
      </c>
      <c r="B33" s="1963"/>
      <c r="C33" s="1964" t="s">
        <v>3151</v>
      </c>
      <c r="D33" s="1965" t="s">
        <v>3147</v>
      </c>
      <c r="E33" s="1966" t="s">
        <v>1994</v>
      </c>
      <c r="F33" s="1967" t="str">
        <f>IF(D32="楼面单价","取值（单价）","取值（总价）")</f>
        <v>取值（总价）</v>
      </c>
      <c r="G33" s="133"/>
      <c r="H33" s="133"/>
      <c r="I33" s="133"/>
    </row>
    <row r="34" spans="1:15" ht="15">
      <c r="A34" s="1968"/>
      <c r="B34" s="1969" t="s">
        <v>1995</v>
      </c>
      <c r="C34" s="152" t="e">
        <f ca="1">IF(C33="自定义",F34,C32-C35)</f>
        <v>#DIV/0!</v>
      </c>
      <c r="D34" s="969" t="e">
        <f ca="1">IF(C33="自定义",ROUND(C34/C32,3),IF(C33="收益比率",SUMIF(INDIRECT("'"&amp;D33&amp;"'"&amp;"!b:b"),"土地收益比率",INDIRECT("'"&amp;D33&amp;"'"&amp;"!c:c")),SUMIF(INDIRECT("'"&amp;D33&amp;"'"&amp;"!b:b"),"土地成本比率",INDIRECT("'"&amp;D33&amp;"'"&amp;"!c:c"))))</f>
        <v>#DIV/0!</v>
      </c>
      <c r="E34" s="1970" t="s">
        <v>1996</v>
      </c>
      <c r="F34" s="1499"/>
      <c r="G34" s="133"/>
      <c r="H34" s="133"/>
      <c r="I34" s="133"/>
    </row>
    <row r="35" spans="1:15" ht="15.75" thickBot="1">
      <c r="A35" s="1971"/>
      <c r="B35" s="1972" t="s">
        <v>1997</v>
      </c>
      <c r="C35" s="1331" t="e">
        <f ca="1">IF(C33="自定义",F35,ROUND(C32*D35,0))</f>
        <v>#DIV/0!</v>
      </c>
      <c r="D35" s="1332" t="e">
        <f ca="1">IF(C33="自定义",ROUND(C35/C32,3),IF(C33="收益比率",SUMIF(INDIRECT("'"&amp;D33&amp;"'"&amp;"!b:b"),"建筑物收益比率",INDIRECT("'"&amp;D33&amp;"'"&amp;"!c:c")),SUMIF(INDIRECT("'"&amp;D33&amp;"'"&amp;"!b:b"),"建筑物成本比率",INDIRECT("'"&amp;D33&amp;"'"&amp;"!c:c"))))</f>
        <v>#DIV/0!</v>
      </c>
      <c r="E35" s="1973" t="s">
        <v>1998</v>
      </c>
      <c r="F35" s="158"/>
      <c r="G35" s="133"/>
      <c r="H35" s="133"/>
      <c r="I35" s="133"/>
    </row>
    <row r="36" spans="1:15" ht="15.75" thickBot="1">
      <c r="A36" s="3250" t="s">
        <v>1999</v>
      </c>
      <c r="B36" s="1974" t="s">
        <v>2000</v>
      </c>
      <c r="C36" s="149"/>
      <c r="D36" s="1975"/>
      <c r="E36" s="1976"/>
      <c r="F36" s="1977"/>
      <c r="G36" s="133"/>
      <c r="H36" s="133"/>
      <c r="I36" s="133"/>
    </row>
    <row r="37" spans="1:15" ht="15.75" thickBot="1">
      <c r="A37" s="3251"/>
      <c r="B37" s="1861" t="s">
        <v>2001</v>
      </c>
      <c r="C37" s="151"/>
      <c r="D37" s="1300"/>
      <c r="E37" s="1300"/>
      <c r="F37" s="1977"/>
      <c r="G37" s="133"/>
      <c r="H37" s="133"/>
      <c r="I37" s="133"/>
    </row>
    <row r="38" spans="1:15" ht="15.75" thickBot="1">
      <c r="A38" s="3252"/>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70" t="s">
        <v>2013</v>
      </c>
      <c r="B45" s="3271"/>
      <c r="C45" s="3272"/>
      <c r="D45" s="159">
        <f ca="1">典型户型修正!B20</f>
        <v>110907</v>
      </c>
      <c r="E45" s="160" t="s">
        <v>2014</v>
      </c>
      <c r="F45" s="161">
        <v>1</v>
      </c>
      <c r="G45" s="162" t="s">
        <v>2015</v>
      </c>
      <c r="H45" s="133"/>
      <c r="I45" s="133"/>
      <c r="J45" s="3187" t="s">
        <v>2016</v>
      </c>
      <c r="K45" s="3187"/>
      <c r="L45" s="3187"/>
      <c r="M45" s="3187"/>
      <c r="N45" s="3187"/>
      <c r="O45" s="3187"/>
    </row>
    <row r="46" spans="1:15" ht="14.25" customHeight="1">
      <c r="A46" s="3267" t="s">
        <v>2017</v>
      </c>
      <c r="B46" s="3268"/>
      <c r="C46" s="3268"/>
      <c r="D46" s="3268"/>
      <c r="E46" s="3268"/>
      <c r="F46" s="3268"/>
      <c r="G46" s="3269"/>
      <c r="H46" s="1993"/>
      <c r="I46" s="163"/>
      <c r="J46" s="2748">
        <v>1</v>
      </c>
      <c r="K46" s="3188" t="s">
        <v>2018</v>
      </c>
      <c r="L46" s="3188"/>
      <c r="M46" s="3189"/>
      <c r="N46" s="3189"/>
      <c r="O46" s="3189"/>
    </row>
    <row r="47" spans="1:15" ht="12" customHeight="1">
      <c r="A47" s="164" t="s">
        <v>2019</v>
      </c>
      <c r="B47" s="165"/>
      <c r="C47" s="166"/>
      <c r="D47" s="1246" t="s">
        <v>2020</v>
      </c>
      <c r="E47" s="307" t="s">
        <v>2021</v>
      </c>
      <c r="F47" s="167" t="s">
        <v>2022</v>
      </c>
      <c r="G47" s="2770" t="s">
        <v>2023</v>
      </c>
      <c r="H47" s="2771"/>
      <c r="I47" s="163"/>
      <c r="J47" s="2748">
        <v>2</v>
      </c>
      <c r="K47" s="3188" t="s">
        <v>2024</v>
      </c>
      <c r="L47" s="3188"/>
      <c r="M47" s="3190">
        <f>'数据-取费表'!B2</f>
        <v>44088</v>
      </c>
      <c r="N47" s="3190"/>
      <c r="O47" s="3190"/>
    </row>
    <row r="48" spans="1:15" ht="25.5">
      <c r="A48" s="3253" t="s">
        <v>2025</v>
      </c>
      <c r="B48" s="3254"/>
      <c r="C48" s="3254"/>
      <c r="D48" s="2548">
        <f ca="1">IF(H48="情况1",0,IF(H48="情况2",D52,IF(H48="情况3",D53,IF(H48="情况4",D54))))</f>
        <v>5915</v>
      </c>
      <c r="E48" s="2558" t="str">
        <f>IF(H48="情况4","(销售额-原购置价)×税（费）率","销售额×税（费）率")</f>
        <v>(销售额-原购置价)×税（费）率</v>
      </c>
      <c r="F48" s="2772">
        <f>IF(H48="情况1","免征",'数据-取费表'!B41)</f>
        <v>5.6000000000000001E-2</v>
      </c>
      <c r="G48" s="2773" t="s">
        <v>2026</v>
      </c>
      <c r="H48" s="2774" t="s">
        <v>3179</v>
      </c>
      <c r="I48" s="1993"/>
      <c r="J48" s="2748">
        <v>3</v>
      </c>
      <c r="K48" s="3188" t="s">
        <v>2027</v>
      </c>
      <c r="L48" s="3188"/>
      <c r="M48" s="3191">
        <f ca="1">D45</f>
        <v>110907</v>
      </c>
      <c r="N48" s="3191"/>
      <c r="O48" s="3191"/>
    </row>
    <row r="49" spans="1:35" ht="25.5" customHeight="1">
      <c r="A49" s="2557" t="s">
        <v>2028</v>
      </c>
      <c r="B49" s="3236" t="s">
        <v>2029</v>
      </c>
      <c r="C49" s="3236"/>
      <c r="D49" s="1776">
        <v>0</v>
      </c>
      <c r="E49" s="329" t="s">
        <v>2030</v>
      </c>
      <c r="F49" s="2651" t="s">
        <v>34</v>
      </c>
      <c r="G49" s="3219"/>
      <c r="H49" s="2529" t="s">
        <v>2876</v>
      </c>
      <c r="I49" s="2530"/>
      <c r="J49" s="2748">
        <v>4</v>
      </c>
      <c r="K49" s="3188" t="str">
        <f>IF(项目基本情况!E8="房地产抵押价值","房地产抵押价值","抵押担保权已注销时的房地产抵押价值")</f>
        <v>房地产抵押价值</v>
      </c>
      <c r="L49" s="3188"/>
      <c r="M49" s="3191">
        <f ca="1">M48</f>
        <v>110907</v>
      </c>
      <c r="N49" s="3191"/>
      <c r="O49" s="3191"/>
    </row>
    <row r="50" spans="1:35" ht="25.5" customHeight="1">
      <c r="A50" s="2775"/>
      <c r="B50" s="3236" t="s">
        <v>2031</v>
      </c>
      <c r="C50" s="3236"/>
      <c r="D50" s="2776"/>
      <c r="E50" s="337"/>
      <c r="F50" s="2651"/>
      <c r="G50" s="3220"/>
      <c r="H50" s="2531" t="s">
        <v>2877</v>
      </c>
      <c r="I50" s="2530"/>
      <c r="J50" s="3187" t="s">
        <v>2032</v>
      </c>
      <c r="K50" s="3187"/>
      <c r="L50" s="3187"/>
      <c r="M50" s="3187"/>
      <c r="N50" s="3187"/>
      <c r="O50" s="3187"/>
    </row>
    <row r="51" spans="1:35" ht="20.45" customHeight="1">
      <c r="A51" s="2777"/>
      <c r="B51" s="3236" t="s">
        <v>2033</v>
      </c>
      <c r="C51" s="3236"/>
      <c r="D51" s="1246"/>
      <c r="E51" s="332"/>
      <c r="F51" s="2651"/>
      <c r="G51" s="3221"/>
      <c r="H51" s="2531" t="s">
        <v>2878</v>
      </c>
      <c r="I51" s="2530"/>
      <c r="J51" s="2749" t="s">
        <v>2034</v>
      </c>
      <c r="K51" s="3188" t="s">
        <v>2035</v>
      </c>
      <c r="L51" s="3188"/>
      <c r="M51" s="2749" t="s">
        <v>2036</v>
      </c>
      <c r="N51" s="2749" t="s">
        <v>2037</v>
      </c>
      <c r="O51" s="2749" t="s">
        <v>2038</v>
      </c>
    </row>
    <row r="52" spans="1:35" ht="24" customHeight="1">
      <c r="A52" s="2559" t="s">
        <v>2039</v>
      </c>
      <c r="B52" s="3236" t="s">
        <v>2040</v>
      </c>
      <c r="C52" s="3236"/>
      <c r="D52" s="1246">
        <f ca="1">ROUND(D45*'数据-取费表'!B41/(1+'数据-取费表'!C42),0)</f>
        <v>5915</v>
      </c>
      <c r="E52" s="2558" t="s">
        <v>2041</v>
      </c>
      <c r="F52" s="2778">
        <f>'数据-取费表'!B41</f>
        <v>5.6000000000000001E-2</v>
      </c>
      <c r="G52" s="2779"/>
      <c r="H52" s="2768"/>
      <c r="I52" s="1994"/>
      <c r="J52" s="2748">
        <v>1</v>
      </c>
      <c r="K52" s="3213" t="s">
        <v>2042</v>
      </c>
      <c r="L52" s="3213"/>
      <c r="M52" s="2750">
        <f ca="1">D48</f>
        <v>5915</v>
      </c>
      <c r="N52" s="2748" t="str">
        <f>E48</f>
        <v>(销售额-原购置价)×税（费）率</v>
      </c>
      <c r="O52" s="2751">
        <f>F48</f>
        <v>5.6000000000000001E-2</v>
      </c>
    </row>
    <row r="53" spans="1:35" ht="12" customHeight="1">
      <c r="A53" s="2559" t="s">
        <v>2043</v>
      </c>
      <c r="B53" s="3237" t="s">
        <v>3033</v>
      </c>
      <c r="C53" s="3238"/>
      <c r="D53" s="1246">
        <f ca="1">ROUND(D45*'数据-取费表'!B41/(1+'数据-取费表'!C42),0)</f>
        <v>5915</v>
      </c>
      <c r="E53" s="2558" t="s">
        <v>2041</v>
      </c>
      <c r="F53" s="2778">
        <f>'数据-取费表'!B41</f>
        <v>5.6000000000000001E-2</v>
      </c>
      <c r="G53" s="2779"/>
      <c r="H53" s="2768"/>
      <c r="I53" s="1994"/>
      <c r="J53" s="2748">
        <v>2</v>
      </c>
      <c r="K53" s="3213" t="s">
        <v>2044</v>
      </c>
      <c r="L53" s="3213"/>
      <c r="M53" s="2750">
        <f t="shared" ref="M53:O54" ca="1" si="0">D55</f>
        <v>55</v>
      </c>
      <c r="N53" s="2748" t="str">
        <f t="shared" si="0"/>
        <v>销售额×税（费）率</v>
      </c>
      <c r="O53" s="2751">
        <f t="shared" si="0"/>
        <v>5.0000000000000001E-4</v>
      </c>
    </row>
    <row r="54" spans="1:35" ht="12" customHeight="1">
      <c r="A54" s="2559" t="s">
        <v>2045</v>
      </c>
      <c r="B54" s="3237" t="s">
        <v>3034</v>
      </c>
      <c r="C54" s="3238"/>
      <c r="D54" s="1246">
        <f ca="1">C68</f>
        <v>5915</v>
      </c>
      <c r="E54" s="332" t="s">
        <v>2046</v>
      </c>
      <c r="F54" s="2778">
        <f>'数据-取费表'!B41</f>
        <v>5.6000000000000001E-2</v>
      </c>
      <c r="G54" s="2779"/>
      <c r="H54" s="2780"/>
      <c r="I54" s="1994"/>
      <c r="J54" s="2748">
        <v>3</v>
      </c>
      <c r="K54" s="3213" t="s">
        <v>2047</v>
      </c>
      <c r="L54" s="3213"/>
      <c r="M54" s="2750">
        <f t="shared" ca="1" si="0"/>
        <v>0</v>
      </c>
      <c r="N54" s="2748" t="str">
        <f t="shared" si="0"/>
        <v>增值额×税（费）率</v>
      </c>
      <c r="O54" s="2752" t="str">
        <f t="shared" si="0"/>
        <v>——</v>
      </c>
    </row>
    <row r="55" spans="1:35" ht="24" customHeight="1">
      <c r="A55" s="3276" t="s">
        <v>2048</v>
      </c>
      <c r="B55" s="3254"/>
      <c r="C55" s="3254"/>
      <c r="D55" s="2548">
        <f ca="1">IF(H55="个人住宅",0,ROUND(D45*I55,0))</f>
        <v>55</v>
      </c>
      <c r="E55" s="2558" t="s">
        <v>2049</v>
      </c>
      <c r="F55" s="2778">
        <f>IF(H55="正常",I55,"免征")</f>
        <v>5.0000000000000001E-4</v>
      </c>
      <c r="G55" s="2779"/>
      <c r="H55" s="2774" t="s">
        <v>3148</v>
      </c>
      <c r="I55" s="169">
        <f>'数据-取费表'!B49</f>
        <v>5.0000000000000001E-4</v>
      </c>
      <c r="J55" s="2748" t="str">
        <f>IF(H59="非个人房产","",4)</f>
        <v/>
      </c>
      <c r="K55" s="3213" t="str">
        <f>IF(H59="非个人房产","——","个人所得税")</f>
        <v>——</v>
      </c>
      <c r="L55" s="3213"/>
      <c r="M55" s="2753" t="str">
        <f>D59</f>
        <v>——</v>
      </c>
      <c r="N55" s="2229" t="str">
        <f>E59</f>
        <v>——</v>
      </c>
      <c r="O55" s="2754" t="str">
        <f>F59</f>
        <v>——</v>
      </c>
    </row>
    <row r="56" spans="1:35" ht="24.75">
      <c r="A56" s="3276" t="s">
        <v>2050</v>
      </c>
      <c r="B56" s="3254"/>
      <c r="C56" s="3254"/>
      <c r="D56" s="2548">
        <f ca="1">IF(H56="个人住宅",D57,D58)</f>
        <v>0</v>
      </c>
      <c r="E56" s="2558" t="s">
        <v>2051</v>
      </c>
      <c r="F56" s="2778" t="str">
        <f>IF(H56="正常",F58,"免征")</f>
        <v>——</v>
      </c>
      <c r="G56" s="2781" t="s">
        <v>2052</v>
      </c>
      <c r="H56" s="2782" t="s">
        <v>3148</v>
      </c>
      <c r="I56" s="1995"/>
      <c r="J56" s="2748" t="str">
        <f>IF(项目基本情况!K6="上海银行",IF(J55="",4,J55+1),"")</f>
        <v/>
      </c>
      <c r="K56" s="3194" t="str">
        <f>IF(项目基本情况!K6="上海银行","其他处置费用","")</f>
        <v/>
      </c>
      <c r="L56" s="3195"/>
      <c r="M56" s="2750" t="str">
        <f>IF(项目基本情况!K6="上海银行",M69,"")</f>
        <v/>
      </c>
      <c r="N56" s="3194" t="str">
        <f>IF(项目基本情况!K6="上海银行","包含处置中涉及的律师、诉讼、拍卖、评估等费用","")</f>
        <v/>
      </c>
      <c r="O56" s="3197"/>
    </row>
    <row r="57" spans="1:35" ht="12.75">
      <c r="A57" s="2559" t="s">
        <v>2028</v>
      </c>
      <c r="B57" s="3237" t="s">
        <v>2053</v>
      </c>
      <c r="C57" s="3238"/>
      <c r="D57" s="1776">
        <v>0</v>
      </c>
      <c r="E57" s="329" t="s">
        <v>2030</v>
      </c>
      <c r="F57" s="307"/>
      <c r="G57" s="2779"/>
      <c r="H57" s="2783"/>
      <c r="I57" s="1995"/>
      <c r="J57" s="3213">
        <f>IF(AND(J55="",J56=""),4,IF(项目基本情况!K6="上海银行",结果表!J56+1,结果表!J55+1))</f>
        <v>4</v>
      </c>
      <c r="K57" s="3213" t="s">
        <v>2054</v>
      </c>
      <c r="L57" s="2755" t="s">
        <v>2055</v>
      </c>
      <c r="M57" s="2756"/>
      <c r="N57" s="2757">
        <f ca="1">SUMIF(M52:M56,"&lt;9e307")</f>
        <v>5970</v>
      </c>
      <c r="O57" s="2758"/>
      <c r="P57" s="2916">
        <f ca="1">N57/M49</f>
        <v>5.3828883659282102E-2</v>
      </c>
    </row>
    <row r="58" spans="1:35" ht="24.75">
      <c r="A58" s="2559" t="s">
        <v>2039</v>
      </c>
      <c r="B58" s="3237" t="s">
        <v>2056</v>
      </c>
      <c r="C58" s="3236"/>
      <c r="D58" s="2548">
        <f ca="1">IF(H58="转让取得",C81,C97)</f>
        <v>0</v>
      </c>
      <c r="E58" s="2558" t="s">
        <v>2051</v>
      </c>
      <c r="F58" s="307" t="s">
        <v>34</v>
      </c>
      <c r="G58" s="2779"/>
      <c r="H58" s="2782" t="s">
        <v>3149</v>
      </c>
      <c r="I58" s="1995"/>
      <c r="J58" s="3213"/>
      <c r="K58" s="3213"/>
      <c r="L58" s="2755" t="s">
        <v>2057</v>
      </c>
      <c r="M58" s="2759"/>
      <c r="N58" s="2760" t="str">
        <f ca="1">NUMBERSTRING(INT(N57*10000),2)&amp;"元整"</f>
        <v>伍仟玖佰柒拾万元整</v>
      </c>
      <c r="O58" s="2761"/>
    </row>
    <row r="59" spans="1:35" ht="24.75" thickBot="1">
      <c r="A59" s="3217" t="s">
        <v>2058</v>
      </c>
      <c r="B59" s="3218"/>
      <c r="C59" s="3218"/>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3" t="s">
        <v>3180</v>
      </c>
      <c r="I59" s="2532" t="s">
        <v>2879</v>
      </c>
      <c r="J59" s="3215">
        <f>J57+1</f>
        <v>5</v>
      </c>
      <c r="K59" s="3213" t="s">
        <v>2059</v>
      </c>
      <c r="L59" s="2748" t="s">
        <v>2055</v>
      </c>
      <c r="M59" s="2762"/>
      <c r="N59" s="3079">
        <f ca="1">M49-N57</f>
        <v>104937</v>
      </c>
      <c r="O59" s="2763"/>
    </row>
    <row r="60" spans="1:35" ht="12" customHeight="1">
      <c r="A60" s="1996"/>
      <c r="B60" s="1934"/>
      <c r="C60" s="1934"/>
      <c r="D60" s="1934"/>
      <c r="E60" s="1764"/>
      <c r="F60" s="1995"/>
      <c r="G60" s="1995"/>
      <c r="H60" s="1997"/>
      <c r="I60" s="133"/>
      <c r="J60" s="3216"/>
      <c r="K60" s="3213"/>
      <c r="L60" s="2755" t="s">
        <v>2057</v>
      </c>
      <c r="M60" s="2759"/>
      <c r="N60" s="2760" t="str">
        <f ca="1">NUMBERSTRING(INT(N59*10000),2)&amp;"元整"</f>
        <v>壹拾亿肆仟玖佰叁拾柒万元整</v>
      </c>
      <c r="O60" s="2761"/>
    </row>
    <row r="61" spans="1:35" ht="13.5" thickBot="1">
      <c r="A61" s="3275" t="s">
        <v>2060</v>
      </c>
      <c r="B61" s="3275"/>
      <c r="C61" s="3275"/>
      <c r="D61" s="3275"/>
      <c r="E61" s="3275"/>
      <c r="F61" s="1995"/>
      <c r="G61" s="1995"/>
      <c r="H61" s="1997"/>
      <c r="I61" s="133"/>
      <c r="J61" s="2748">
        <f>J59+1</f>
        <v>6</v>
      </c>
      <c r="K61" s="3213" t="s">
        <v>2061</v>
      </c>
      <c r="L61" s="3213"/>
      <c r="M61" s="2764"/>
      <c r="N61" s="2765">
        <f ca="1">ROUND(N59*10000/'数据-汇总表'!E3,0)</f>
        <v>68677</v>
      </c>
      <c r="O61" s="2766"/>
    </row>
    <row r="62" spans="1:35" ht="12.75">
      <c r="A62" s="3232" t="s">
        <v>2062</v>
      </c>
      <c r="B62" s="3233"/>
      <c r="C62" s="2210"/>
      <c r="D62" s="2210" t="s">
        <v>2063</v>
      </c>
      <c r="E62" s="170" t="s">
        <v>2064</v>
      </c>
      <c r="F62" s="1995"/>
      <c r="G62" s="1995"/>
      <c r="H62" s="1997"/>
      <c r="I62" s="133"/>
    </row>
    <row r="63" spans="1:35" ht="12.75">
      <c r="A63" s="177" t="s">
        <v>775</v>
      </c>
      <c r="B63" s="171" t="s">
        <v>2065</v>
      </c>
      <c r="C63" s="2788">
        <f ca="1">ROUND((C64+C65)/(1+'数据-取费表'!C42),0)</f>
        <v>105626</v>
      </c>
      <c r="D63" s="171"/>
      <c r="E63" s="172"/>
      <c r="F63" s="1995"/>
      <c r="G63" s="1995"/>
      <c r="H63" s="1997"/>
      <c r="I63" s="133"/>
      <c r="J63" s="3196" t="s">
        <v>2066</v>
      </c>
      <c r="K63" s="1502" t="s">
        <v>2067</v>
      </c>
      <c r="L63" s="1502">
        <f ca="1">IF(M49&gt;10000,M49*0.5%,IF(AND(M49&gt;1000,M49&lt;=10000),M49*1%,IF(AND(M49&gt;100,M49&lt;=1000),M49*3%,IF(AND(M49&gt;10,M49&lt;=100),M49*5%,M49*8%))))</f>
        <v>554.53499999999997</v>
      </c>
      <c r="M63" s="307">
        <f ca="1">ROUND(L63,1)</f>
        <v>554.5</v>
      </c>
      <c r="N63" s="2767"/>
      <c r="Z63" s="1939"/>
      <c r="AI63" s="1940"/>
    </row>
    <row r="64" spans="1:35" ht="14.25" customHeight="1">
      <c r="A64" s="173" t="s">
        <v>770</v>
      </c>
      <c r="B64" s="174" t="s">
        <v>2068</v>
      </c>
      <c r="C64" s="2789">
        <f ca="1">D45</f>
        <v>110907</v>
      </c>
      <c r="D64" s="174" t="s">
        <v>32</v>
      </c>
      <c r="E64" s="176"/>
      <c r="F64" s="1995"/>
      <c r="G64" s="1995"/>
      <c r="H64" s="1997"/>
      <c r="I64" s="133"/>
      <c r="J64" s="3196"/>
      <c r="K64" s="1502" t="s">
        <v>2069</v>
      </c>
      <c r="L64" s="1502">
        <f ca="1">IF(M49&gt;2000,M49*0.5%,IF(AND(M49&gt;1000,M49&lt;=2000),M49*0.6%,IF(AND(M49&gt;500,M49&lt;=1000),M49*0.7%,IF(AND(M49&gt;200,M49&lt;=500),M49*0.8%,IF(AND(M49&gt;100,M49&lt;=200),M49*0.9%,IF(AND(M49&gt;50,M49&lt;=100),M49*1%,IF(AND(M49&gt;20,M49&lt;=50),M49*1.5%,IF(AND(M49&gt;10,M49&lt;=20),M49*2%,IF(AND(M49&gt;1,M49&lt;=10),M49*2.5%)))))))))</f>
        <v>554.53499999999997</v>
      </c>
      <c r="M64" s="307">
        <f t="shared" ref="M64:M65" ca="1" si="1">ROUND(L64,1)</f>
        <v>554.5</v>
      </c>
      <c r="N64" s="2768" t="s">
        <v>2070</v>
      </c>
      <c r="Z64" s="1939"/>
      <c r="AI64" s="1940"/>
    </row>
    <row r="65" spans="1:35" ht="14.25" customHeight="1">
      <c r="A65" s="173" t="s">
        <v>771</v>
      </c>
      <c r="B65" s="174" t="s">
        <v>2071</v>
      </c>
      <c r="C65" s="2790"/>
      <c r="D65" s="174"/>
      <c r="E65" s="176"/>
      <c r="F65" s="1995"/>
      <c r="G65" s="1995"/>
      <c r="H65" s="1997"/>
      <c r="I65" s="133"/>
      <c r="J65" s="3196"/>
      <c r="K65" s="1502" t="s">
        <v>2072</v>
      </c>
      <c r="L65" s="1502">
        <f ca="1">IF(M49&gt;1000,M49*0.1%,IF(AND(M49&gt;500,M49&lt;=1000),M49*0.5%,IF(AND(M49&gt;50,M49&lt;=500),M49*1%,IF(AND(M49&gt;1,M49&lt;=50),M49*1.5%))))</f>
        <v>110.907</v>
      </c>
      <c r="M65" s="307">
        <f t="shared" ca="1" si="1"/>
        <v>110.9</v>
      </c>
      <c r="N65" s="2768" t="s">
        <v>2070</v>
      </c>
      <c r="Z65" s="1939"/>
      <c r="AI65" s="1940"/>
    </row>
    <row r="66" spans="1:35" ht="14.25" customHeight="1">
      <c r="A66" s="177" t="s">
        <v>772</v>
      </c>
      <c r="B66" s="178" t="s">
        <v>2073</v>
      </c>
      <c r="C66" s="2791"/>
      <c r="D66" s="178" t="s">
        <v>32</v>
      </c>
      <c r="E66" s="1510" t="s">
        <v>1337</v>
      </c>
      <c r="F66" s="1995"/>
      <c r="G66" s="1995"/>
      <c r="H66" s="1997"/>
      <c r="I66" s="133"/>
      <c r="J66" s="3196"/>
      <c r="K66" s="1502" t="s">
        <v>2074</v>
      </c>
      <c r="L66" s="1502">
        <f ca="1">M49*0.5%</f>
        <v>554.53499999999997</v>
      </c>
      <c r="M66" s="307">
        <f ca="1">IF(L66&gt;0.5,0.5,ROUND(L66,0))</f>
        <v>0.5</v>
      </c>
      <c r="N66" s="2768" t="s">
        <v>2075</v>
      </c>
      <c r="Z66" s="1939"/>
      <c r="AI66" s="1940"/>
    </row>
    <row r="67" spans="1:35" ht="14.25" customHeight="1">
      <c r="A67" s="177" t="s">
        <v>773</v>
      </c>
      <c r="B67" s="178" t="s">
        <v>2076</v>
      </c>
      <c r="C67" s="2792">
        <f ca="1">C63-C66</f>
        <v>105626</v>
      </c>
      <c r="D67" s="174" t="s">
        <v>32</v>
      </c>
      <c r="E67" s="176"/>
      <c r="F67" s="1995"/>
      <c r="G67" s="1995"/>
      <c r="H67" s="1997"/>
      <c r="I67" s="133"/>
      <c r="J67" s="3196"/>
      <c r="K67" s="1502" t="s">
        <v>2077</v>
      </c>
      <c r="L67" s="1502">
        <f ca="1">IF(M49&gt;=10000,(8.25+(M49-10000)*0.01%),IF(AND(M49&gt;=8000,M49&lt;10000),(7.85+(M49-8000)*0.02%),IF(AND(M49&gt;=5000,M49&lt;8000),(6.65+(M49-5000)*0.04%),IF(AND(M49&gt;=2000,M49&lt;5000),(4.25+(PM49-2000)*0.08%),IF(AND(M49&gt;=1000,M49&lt;2000),(2.75+(M49-1000)*0.15%),IF(AND(M49&gt;=100,M49&lt;1000),(0.5+(M49-100)*0.25%),IF(AND(M49&gt;0,M49&lt;100),M49*0.5%)))))))</f>
        <v>18.340699999999998</v>
      </c>
      <c r="M67" s="307">
        <f ca="1">ROUND(L67*0.9,1)</f>
        <v>16.5</v>
      </c>
      <c r="N67" s="2767"/>
      <c r="Z67" s="1939"/>
      <c r="AI67" s="1940"/>
    </row>
    <row r="68" spans="1:35" ht="14.25" customHeight="1" thickBot="1">
      <c r="A68" s="180" t="s">
        <v>774</v>
      </c>
      <c r="B68" s="181" t="s">
        <v>2078</v>
      </c>
      <c r="C68" s="2793">
        <f ca="1">IF(C67&lt;=0,0,ROUND(C67*D68,0))</f>
        <v>5915</v>
      </c>
      <c r="D68" s="2794">
        <f>'数据-取费表'!B41</f>
        <v>5.6000000000000001E-2</v>
      </c>
      <c r="E68" s="183"/>
      <c r="F68" s="1995"/>
      <c r="G68" s="1995"/>
      <c r="H68" s="1997"/>
      <c r="I68" s="133"/>
      <c r="J68" s="3196"/>
      <c r="K68" s="1502" t="s">
        <v>2079</v>
      </c>
      <c r="L68" s="1502">
        <f ca="1">IF(M49&gt;10000,M49*0.5%,IF(AND(M49&gt;5000,M49&lt;=10000),M49*1%,IF(AND(M49&gt;1000,M49&lt;=5000),M49*2%,IF(AND(M49&gt;200,M49&lt;=1000),M49*3%,M49*5%))))</f>
        <v>554.53499999999997</v>
      </c>
      <c r="M68" s="307">
        <f ca="1">ROUND(L68,1)</f>
        <v>554.5</v>
      </c>
      <c r="N68" s="2767"/>
      <c r="Z68" s="1939"/>
      <c r="AI68" s="1940"/>
    </row>
    <row r="69" spans="1:35" s="1959" customFormat="1" ht="16.5" customHeight="1">
      <c r="A69" s="1998"/>
      <c r="B69" s="1999"/>
      <c r="C69" s="2000"/>
      <c r="D69" s="2001"/>
      <c r="E69" s="2002"/>
      <c r="F69" s="1764"/>
      <c r="G69" s="1764"/>
      <c r="H69" s="1763"/>
      <c r="I69" s="1934"/>
      <c r="J69" s="3196"/>
      <c r="K69" s="1502" t="s">
        <v>2080</v>
      </c>
      <c r="L69" s="1502"/>
      <c r="M69" s="307">
        <f ca="1">ROUND(SUM(M63:M68),0)</f>
        <v>1791</v>
      </c>
      <c r="N69" s="2769">
        <f ca="1">M69/M49</f>
        <v>1.6148665097784631E-2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40" t="s">
        <v>2081</v>
      </c>
      <c r="B70" s="3241"/>
      <c r="C70" s="3241"/>
      <c r="D70" s="3241"/>
      <c r="E70" s="3241"/>
      <c r="F70" s="3241"/>
      <c r="G70" s="3241"/>
      <c r="H70" s="3241"/>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2" t="s">
        <v>2062</v>
      </c>
      <c r="B71" s="3233"/>
      <c r="C71" s="2210"/>
      <c r="D71" s="2210" t="s">
        <v>2063</v>
      </c>
      <c r="E71" s="184" t="s">
        <v>2064</v>
      </c>
      <c r="F71" s="185"/>
      <c r="G71" s="185"/>
      <c r="H71" s="186"/>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2">
        <f ca="1">ROUND(D45/(1+'数据-取费表'!C42),0)</f>
        <v>105626</v>
      </c>
      <c r="D72" s="174" t="s">
        <v>32</v>
      </c>
      <c r="E72" s="2555"/>
      <c r="F72" s="2554"/>
      <c r="G72" s="2554"/>
      <c r="H72" s="187"/>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2">
        <f ca="1">C74+C78</f>
        <v>123988</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123354</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5">
        <f>K77</f>
        <v>104411.1115</v>
      </c>
      <c r="D75" s="174" t="s">
        <v>32</v>
      </c>
      <c r="E75" s="189" t="s">
        <v>2086</v>
      </c>
      <c r="F75" s="2796" t="s">
        <v>3163</v>
      </c>
      <c r="G75" s="189" t="s">
        <v>2087</v>
      </c>
      <c r="H75" s="2797">
        <v>4</v>
      </c>
      <c r="I75" s="2008"/>
      <c r="J75" s="2005"/>
      <c r="K75" s="2005">
        <f>(104411.1115+68000)</f>
        <v>172411.1115</v>
      </c>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20882</v>
      </c>
      <c r="D76" s="2798">
        <v>0.05</v>
      </c>
      <c r="E76" s="3237" t="s">
        <v>2089</v>
      </c>
      <c r="F76" s="3236"/>
      <c r="G76" s="3236"/>
      <c r="H76" s="3239"/>
      <c r="I76" s="2007"/>
      <c r="J76" s="2005"/>
      <c r="K76" s="2005">
        <v>68000</v>
      </c>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3033</v>
      </c>
      <c r="D77" s="2799">
        <f>'数据-取费表'!B48+'数据-取费表'!B49</f>
        <v>3.0499999999999999E-2</v>
      </c>
      <c r="E77" s="2548" t="s">
        <v>2091</v>
      </c>
      <c r="F77" s="191"/>
      <c r="G77" s="2009" t="s">
        <v>3168</v>
      </c>
      <c r="H77" s="2556" t="str">
        <f>IF(G77="个人买卖住房","免征印花税"," ")</f>
        <v xml:space="preserve"> </v>
      </c>
      <c r="I77" s="2007"/>
      <c r="J77" s="2005"/>
      <c r="K77" s="2005">
        <v>104411.1115</v>
      </c>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0">
        <f ca="1">ROUND(D45*D78/(1+'数据-取费表'!C42),0)</f>
        <v>634</v>
      </c>
      <c r="D78" s="2801">
        <f>'数据-取费表'!B43</f>
        <v>6.000000000000001E-3</v>
      </c>
      <c r="E78" s="3229" t="s">
        <v>2093</v>
      </c>
      <c r="F78" s="3230"/>
      <c r="G78" s="3230"/>
      <c r="H78" s="323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2">
        <f ca="1">C72-C73</f>
        <v>-18362</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2">
        <f ca="1">IF(C79&lt;=0,0,C79/C73)</f>
        <v>0</v>
      </c>
      <c r="D80" s="174" t="s">
        <v>32</v>
      </c>
      <c r="E80" s="2548" t="str">
        <f ca="1">IF(C80&gt;=200%,"增值额超过扣除项目金额200%",IF(C80&gt;=100%,"增值额超过扣除项目金额100%，未超过200%",IF(C80&gt;=50%,"增值额超过扣除项目金额50%，未超过100%",IF(C80&lt;50%,"增值额未超过扣除项目金额50%"))))</f>
        <v>增值额未超过扣除项目金额50%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3">
        <f ca="1">ROUND(IF(C79&lt;=0,0,IF(C80&gt;=200%,C79*60%-C73*35%,IF(C80&gt;=100%,C79*50%-C73*15%,IF(C80&gt;=50%,C79*40%-C73*5%,IF(C80&lt;50%,C79*30%,0))))),0)</f>
        <v>0</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hidden="1" thickBot="1">
      <c r="A83" s="3240" t="s">
        <v>2097</v>
      </c>
      <c r="B83" s="3241"/>
      <c r="C83" s="3241"/>
      <c r="D83" s="3241"/>
      <c r="E83" s="3241"/>
      <c r="F83" s="3241"/>
      <c r="G83" s="3241"/>
      <c r="H83" s="324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hidden="1">
      <c r="A84" s="3232" t="s">
        <v>2062</v>
      </c>
      <c r="B84" s="3233"/>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hidden="1">
      <c r="A85" s="177" t="s">
        <v>775</v>
      </c>
      <c r="B85" s="178" t="s">
        <v>2082</v>
      </c>
      <c r="C85" s="2792">
        <f ca="1">ROUND(D45/(1+'数据-取费表'!C42),0)</f>
        <v>105626</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hidden="1">
      <c r="A86" s="177" t="s">
        <v>772</v>
      </c>
      <c r="B86" s="167" t="s">
        <v>2083</v>
      </c>
      <c r="C86" s="2792">
        <f ca="1">IF(H88="仅含出让金",C87+C90+C91+C92+C93+C94,C87+C91+C92+C93+C94)</f>
        <v>634</v>
      </c>
      <c r="D86" s="2805"/>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hidden="1">
      <c r="A87" s="173" t="s">
        <v>770</v>
      </c>
      <c r="B87" s="174" t="s">
        <v>2098</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hidden="1">
      <c r="A88" s="173" t="s">
        <v>776</v>
      </c>
      <c r="B88" s="174" t="s">
        <v>2099</v>
      </c>
      <c r="C88" s="2806"/>
      <c r="D88" s="2801"/>
      <c r="E88" s="198" t="s">
        <v>2100</v>
      </c>
      <c r="F88" s="2551"/>
      <c r="G88" s="199" t="s">
        <v>2101</v>
      </c>
      <c r="H88" s="2011"/>
      <c r="I88" s="2008"/>
      <c r="J88" s="2746"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hidden="1">
      <c r="A89" s="173" t="s">
        <v>777</v>
      </c>
      <c r="B89" s="174" t="s">
        <v>2090</v>
      </c>
      <c r="C89" s="2800">
        <f>ROUND(C88*D89,0)</f>
        <v>0</v>
      </c>
      <c r="D89" s="2801">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hidden="1">
      <c r="A90" s="173" t="s">
        <v>771</v>
      </c>
      <c r="B90" s="174" t="s">
        <v>2103</v>
      </c>
      <c r="C90" s="2806"/>
      <c r="D90" s="2801"/>
      <c r="E90" s="198" t="str">
        <f>IF(H88="-","土地取得成本中已包含该笔费用"," ")</f>
        <v xml:space="preserve"> </v>
      </c>
      <c r="F90" s="2551"/>
      <c r="G90" s="3198" t="s">
        <v>2870</v>
      </c>
      <c r="H90" s="3199"/>
      <c r="I90" s="2008"/>
      <c r="J90" s="2746"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hidden="1" customHeight="1">
      <c r="A91" s="173" t="s">
        <v>2104</v>
      </c>
      <c r="B91" s="174" t="s">
        <v>2105</v>
      </c>
      <c r="C91" s="2800">
        <f>IF(H91="——",成本法!C33,I91)</f>
        <v>0</v>
      </c>
      <c r="D91" s="2801"/>
      <c r="E91" s="3229" t="s">
        <v>2106</v>
      </c>
      <c r="F91" s="3230"/>
      <c r="G91" s="323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hidden="1" customHeight="1">
      <c r="A92" s="173" t="s">
        <v>2107</v>
      </c>
      <c r="B92" s="174" t="s">
        <v>2108</v>
      </c>
      <c r="C92" s="2800">
        <f>ROUND((C87+C90+C91)*D92,0)</f>
        <v>0</v>
      </c>
      <c r="D92" s="2807"/>
      <c r="E92" s="3229" t="s">
        <v>2109</v>
      </c>
      <c r="F92" s="3230"/>
      <c r="G92" s="3230"/>
      <c r="H92" s="3231"/>
      <c r="I92" s="2008"/>
      <c r="J92" s="2747"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hidden="1" customHeight="1">
      <c r="A93" s="173" t="s">
        <v>2110</v>
      </c>
      <c r="B93" s="174" t="s">
        <v>2092</v>
      </c>
      <c r="C93" s="2800">
        <f ca="1">ROUND(D45*D93/(1+'数据-取费表'!C42),0)</f>
        <v>634</v>
      </c>
      <c r="D93" s="2801">
        <f>'数据-取费表'!B43</f>
        <v>6.000000000000001E-3</v>
      </c>
      <c r="E93" s="3229" t="s">
        <v>2093</v>
      </c>
      <c r="F93" s="3230"/>
      <c r="G93" s="3230"/>
      <c r="H93" s="323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hidden="1" customHeight="1">
      <c r="A94" s="173" t="s">
        <v>2111</v>
      </c>
      <c r="B94" s="174" t="s">
        <v>2112</v>
      </c>
      <c r="C94" s="2806">
        <f>ROUND((C87+C90+C91)*D94,0)</f>
        <v>0</v>
      </c>
      <c r="D94" s="2801">
        <v>0.2</v>
      </c>
      <c r="E94" s="3277" t="s">
        <v>2113</v>
      </c>
      <c r="F94" s="3278"/>
      <c r="G94" s="3278"/>
      <c r="H94" s="327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hidden="1">
      <c r="A95" s="177" t="s">
        <v>779</v>
      </c>
      <c r="B95" s="178" t="s">
        <v>2094</v>
      </c>
      <c r="C95" s="2792">
        <f ca="1">ROUND(C85-C86,0)</f>
        <v>104992</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hidden="1">
      <c r="A96" s="177" t="s">
        <v>780</v>
      </c>
      <c r="B96" s="178" t="s">
        <v>2095</v>
      </c>
      <c r="C96" s="2802">
        <f ca="1">IF(C95&lt;=0,0,C95/C86)</f>
        <v>165.602523659306</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hidden="1" thickBot="1">
      <c r="A97" s="180" t="s">
        <v>781</v>
      </c>
      <c r="B97" s="181" t="s">
        <v>2096</v>
      </c>
      <c r="C97" s="2803">
        <f ca="1">ROUND(IF(C95&lt;=0,0,IF(C96&gt;=200%,C95*60%-C86*35%,IF(C96&gt;=100%,C95*50%-C86*15%,IF(C96&gt;=50%,C95*40%-C86*5%,IF(C96&lt;50%,C95*30%,0))))),0)</f>
        <v>62773</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79" t="s">
        <v>2115</v>
      </c>
      <c r="B100" s="3180"/>
      <c r="C100" s="3180"/>
      <c r="D100" s="3214"/>
      <c r="E100" s="3180" t="s">
        <v>2116</v>
      </c>
      <c r="F100" s="3180"/>
      <c r="G100" s="3180"/>
      <c r="H100" s="3214"/>
      <c r="I100" s="133"/>
    </row>
    <row r="101" spans="1:35" ht="18.75" customHeight="1">
      <c r="A101" s="3222" t="s">
        <v>2117</v>
      </c>
      <c r="B101" s="3223"/>
      <c r="C101" s="2809" t="str">
        <f>C4</f>
        <v>比较法-办公</v>
      </c>
      <c r="D101" s="2810" t="str">
        <f>D4</f>
        <v>收益法-办公</v>
      </c>
      <c r="E101" s="3192" t="s">
        <v>2118</v>
      </c>
      <c r="F101" s="3193"/>
      <c r="G101" s="2014" t="s">
        <v>2119</v>
      </c>
      <c r="H101" s="2819">
        <f ca="1">H118</f>
        <v>5321</v>
      </c>
      <c r="I101" s="133"/>
    </row>
    <row r="102" spans="1:35" ht="18.75" customHeight="1">
      <c r="A102" s="3224" t="s">
        <v>2120</v>
      </c>
      <c r="B102" s="2808" t="s">
        <v>2119</v>
      </c>
      <c r="C102" s="2809">
        <f ca="1">C19</f>
        <v>5150</v>
      </c>
      <c r="D102" s="2810">
        <f ca="1">D19</f>
        <v>5492</v>
      </c>
      <c r="E102" s="3192"/>
      <c r="F102" s="3193"/>
      <c r="G102" s="2014" t="s">
        <v>2121</v>
      </c>
      <c r="H102" s="2779" t="e">
        <f ca="1">I118</f>
        <v>#DIV/0!</v>
      </c>
      <c r="I102" s="133"/>
    </row>
    <row r="103" spans="1:35" ht="42.75" customHeight="1">
      <c r="A103" s="3224"/>
      <c r="B103" s="2808" t="s">
        <v>2121</v>
      </c>
      <c r="C103" s="2811">
        <f ca="1">C20</f>
        <v>70000</v>
      </c>
      <c r="D103" s="2812">
        <f ca="1">D20</f>
        <v>74648</v>
      </c>
      <c r="E103" s="3185" t="s">
        <v>2122</v>
      </c>
      <c r="F103" s="3186"/>
      <c r="G103" s="2015" t="s">
        <v>2123</v>
      </c>
      <c r="H103" s="2819">
        <f>IF(D36="正常操作",H104+H105+H106,H105+H106)</f>
        <v>0</v>
      </c>
      <c r="I103" s="133"/>
    </row>
    <row r="104" spans="1:35" ht="18.75" customHeight="1">
      <c r="A104" s="3224" t="s">
        <v>2124</v>
      </c>
      <c r="B104" s="2813" t="s">
        <v>2119</v>
      </c>
      <c r="C104" s="2814">
        <f ca="1">H118</f>
        <v>5321</v>
      </c>
      <c r="D104" s="2815"/>
      <c r="E104" s="1861" t="s">
        <v>2125</v>
      </c>
      <c r="F104" s="1852"/>
      <c r="G104" s="2015" t="s">
        <v>2123</v>
      </c>
      <c r="H104" s="2820">
        <f>IF(D36="同一抵押权人同一抵押物续贷",C36&amp;"（续贷，未扣减，详见特别提示）",C36)</f>
        <v>0</v>
      </c>
      <c r="I104" s="133"/>
    </row>
    <row r="105" spans="1:35" ht="18.75" customHeight="1" thickBot="1">
      <c r="A105" s="3234"/>
      <c r="B105" s="2816" t="s">
        <v>2121</v>
      </c>
      <c r="C105" s="2817" t="e">
        <f ca="1">I118</f>
        <v>#DIV/0!</v>
      </c>
      <c r="D105" s="2818"/>
      <c r="E105" s="1861" t="s">
        <v>2126</v>
      </c>
      <c r="F105" s="1852"/>
      <c r="G105" s="2015" t="s">
        <v>2123</v>
      </c>
      <c r="H105" s="2821">
        <f>C37</f>
        <v>0</v>
      </c>
      <c r="I105" s="133"/>
    </row>
    <row r="106" spans="1:35" ht="18.75" customHeight="1">
      <c r="A106" s="1934" t="s">
        <v>2127</v>
      </c>
      <c r="B106" s="1934"/>
      <c r="C106" s="1934"/>
      <c r="D106" s="1934"/>
      <c r="E106" s="2016" t="s">
        <v>2128</v>
      </c>
      <c r="F106" s="1852"/>
      <c r="G106" s="2015" t="s">
        <v>2123</v>
      </c>
      <c r="H106" s="2821">
        <f>C38</f>
        <v>0</v>
      </c>
      <c r="I106" s="133"/>
    </row>
    <row r="107" spans="1:35" ht="18.75" customHeight="1">
      <c r="A107" s="133"/>
      <c r="B107" s="133"/>
      <c r="C107" s="133"/>
      <c r="D107" s="133"/>
      <c r="E107" s="3225" t="str">
        <f>IF(项目基本情况!E8="已注销","——","3.房地产抵押价值")</f>
        <v>3.房地产抵押价值</v>
      </c>
      <c r="F107" s="3193"/>
      <c r="G107" s="2014" t="s">
        <v>2119</v>
      </c>
      <c r="H107" s="2819">
        <f ca="1">IF(E107="——","——",H101-H103)</f>
        <v>5321</v>
      </c>
      <c r="I107" s="133"/>
    </row>
    <row r="108" spans="1:35" ht="18.75" customHeight="1">
      <c r="A108" s="133"/>
      <c r="B108" s="133"/>
      <c r="C108" s="133"/>
      <c r="D108" s="133"/>
      <c r="E108" s="3225"/>
      <c r="F108" s="3193"/>
      <c r="G108" s="2014" t="s">
        <v>2121</v>
      </c>
      <c r="H108" s="2779">
        <f ca="1">ROUND(H107*10000/'数据-汇总表'!E3,0)</f>
        <v>3482</v>
      </c>
      <c r="I108" s="133"/>
    </row>
    <row r="109" spans="1:35" ht="18.75" customHeight="1">
      <c r="A109" s="133"/>
      <c r="B109" s="133"/>
      <c r="C109" s="133"/>
      <c r="D109" s="133"/>
      <c r="E109" s="3225" t="str">
        <f>IF(项目基本情况!E8="已注销及未注销","4.抵押担保权已注销时的房地产抵押价值",IF(项目基本情况!E8="已注销","3.抵押担保权已注销时的房地产抵押价值","——"))</f>
        <v>——</v>
      </c>
      <c r="F109" s="3193"/>
      <c r="G109" s="2014" t="s">
        <v>2119</v>
      </c>
      <c r="H109" s="2822" t="str">
        <f>IF(E109="——","——",H101-H105-H106)</f>
        <v>——</v>
      </c>
      <c r="I109" s="133"/>
    </row>
    <row r="110" spans="1:35" ht="18.75" customHeight="1">
      <c r="A110" s="133"/>
      <c r="B110" s="133"/>
      <c r="C110" s="133"/>
      <c r="D110" s="133"/>
      <c r="E110" s="3225"/>
      <c r="F110" s="3193"/>
      <c r="G110" s="2014" t="s">
        <v>2121</v>
      </c>
      <c r="H110" s="2779" t="str">
        <f>IF(H109="——","——",ROUND(H109*10000/'数据-汇总表'!E3,0))</f>
        <v>——</v>
      </c>
      <c r="I110" s="133"/>
    </row>
    <row r="111" spans="1:35" ht="18.75" customHeight="1">
      <c r="A111" s="133"/>
      <c r="B111" s="133"/>
      <c r="C111" s="133"/>
      <c r="D111" s="133"/>
      <c r="E111" s="3226" t="str">
        <f>IF(项目基本情况!E9="抵押净值",IF(OR(项目基本情况!E8="已注销",项目基本情况!E8="房地产抵押价值"),"4.抵押净值","5.抵押净值"),"——")</f>
        <v>4.抵押净值</v>
      </c>
      <c r="F111" s="3212"/>
      <c r="G111" s="2014" t="s">
        <v>2119</v>
      </c>
      <c r="H111" s="2819">
        <f ca="1">IF(E111="——","——",N59)</f>
        <v>104937</v>
      </c>
      <c r="I111" s="133"/>
    </row>
    <row r="112" spans="1:35" ht="18.75" customHeight="1" thickBot="1">
      <c r="A112" s="133"/>
      <c r="B112" s="133"/>
      <c r="C112" s="133"/>
      <c r="D112" s="133"/>
      <c r="E112" s="3227"/>
      <c r="F112" s="3228"/>
      <c r="G112" s="2017" t="s">
        <v>2121</v>
      </c>
      <c r="H112" s="2823">
        <f ca="1">IF(E111="——","——",N61)</f>
        <v>68677</v>
      </c>
      <c r="I112" s="133"/>
    </row>
    <row r="113" spans="1:27" ht="18.75" customHeight="1">
      <c r="A113" s="133"/>
      <c r="B113" s="133"/>
      <c r="C113" s="133"/>
      <c r="D113" s="133"/>
      <c r="E113" s="3235" t="s">
        <v>2127</v>
      </c>
      <c r="F113" s="3235"/>
      <c r="G113" s="3235"/>
      <c r="H113" s="3235"/>
      <c r="I113" s="133"/>
    </row>
    <row r="114" spans="1:27" ht="3.75" customHeight="1">
      <c r="A114" s="1934"/>
      <c r="B114" s="1934"/>
      <c r="C114" s="1934"/>
      <c r="D114" s="1934"/>
      <c r="E114" s="1996"/>
      <c r="F114" s="1996"/>
      <c r="G114" s="1996"/>
      <c r="H114" s="1996"/>
      <c r="I114" s="1934"/>
    </row>
    <row r="115" spans="1:27" ht="18.75" customHeight="1">
      <c r="A115" s="3246" t="s">
        <v>2129</v>
      </c>
      <c r="B115" s="3247"/>
      <c r="C115" s="3247"/>
      <c r="D115" s="3247"/>
      <c r="E115" s="3247"/>
      <c r="F115" s="3247"/>
      <c r="G115" s="3247"/>
      <c r="H115" s="3247"/>
      <c r="I115" s="3248"/>
    </row>
    <row r="116" spans="1:27" ht="27" customHeight="1">
      <c r="A116" s="3200" t="s">
        <v>2130</v>
      </c>
      <c r="B116" s="3204" t="s">
        <v>2131</v>
      </c>
      <c r="C116" s="3204" t="s">
        <v>2132</v>
      </c>
      <c r="D116" s="3210" t="s">
        <v>2133</v>
      </c>
      <c r="E116" s="3211"/>
      <c r="F116" s="3242" t="s">
        <v>2134</v>
      </c>
      <c r="G116" s="3242"/>
      <c r="H116" s="3200" t="s">
        <v>2135</v>
      </c>
      <c r="I116" s="3200"/>
    </row>
    <row r="117" spans="1:27" ht="18.75" customHeight="1">
      <c r="A117" s="3200"/>
      <c r="B117" s="3205"/>
      <c r="C117" s="3205"/>
      <c r="D117" s="2553" t="s">
        <v>2136</v>
      </c>
      <c r="E117" s="2553" t="s">
        <v>2137</v>
      </c>
      <c r="F117" s="2553" t="s">
        <v>2136</v>
      </c>
      <c r="G117" s="2553" t="s">
        <v>2138</v>
      </c>
      <c r="H117" s="2553" t="s">
        <v>2136</v>
      </c>
      <c r="I117" s="2553" t="s">
        <v>2138</v>
      </c>
    </row>
    <row r="118" spans="1:27" ht="24.75" customHeight="1">
      <c r="A118" s="2824" t="str">
        <f>项目基本情况!S2</f>
        <v>北京市亿利生态广场房地产</v>
      </c>
      <c r="B118" s="2553">
        <f>M18</f>
        <v>0</v>
      </c>
      <c r="C118" s="2553">
        <f>M19</f>
        <v>0</v>
      </c>
      <c r="D118" s="2553" t="e">
        <f ca="1">ROUND(IF(D32="总价",C34,E118*B118/10000),0)</f>
        <v>#DIV/0!</v>
      </c>
      <c r="E118" s="2553" t="e">
        <f ca="1">ROUND(IF(C33="自定义",IF(D32="楼面单价",C34,D118*10000/B118),I118-G118),0)</f>
        <v>#DIV/0!</v>
      </c>
      <c r="F118" s="2553" t="e">
        <f ca="1">ROUND(IF(D32="总价",C35,G118*B118/10000),0)</f>
        <v>#DIV/0!</v>
      </c>
      <c r="G118" s="2553" t="e">
        <f ca="1">ROUND(IF(D32="楼面单价",C35,F118*10000/B118),0)</f>
        <v>#DIV/0!</v>
      </c>
      <c r="H118" s="2553">
        <f ca="1">ROUND(IF(D32="总价",C32,I118*B118/10000),0)</f>
        <v>5321</v>
      </c>
      <c r="I118" s="2553" t="e">
        <f ca="1">ROUND(IF(D32="楼面单价",C32,H118*10000/B118),0)</f>
        <v>#DIV/0!</v>
      </c>
    </row>
    <row r="119" spans="1:27" ht="18.75" customHeight="1">
      <c r="A119" s="3200" t="s">
        <v>2139</v>
      </c>
      <c r="B119" s="3200"/>
      <c r="C119" s="3200"/>
      <c r="D119" s="3206" t="e">
        <f ca="1">NUMBERSTRING(INT(D118*10000),2)&amp;"元整"</f>
        <v>#DIV/0!</v>
      </c>
      <c r="E119" s="3207"/>
      <c r="F119" s="3206" t="e">
        <f ca="1">NUMBERSTRING(INT(F118*10000),2)&amp;"元整"</f>
        <v>#DIV/0!</v>
      </c>
      <c r="G119" s="3207"/>
      <c r="H119" s="3206" t="str">
        <f ca="1">NUMBERSTRING(INT(H118*10000),2)&amp;"元整"</f>
        <v>伍仟叁佰贰拾壹万元整</v>
      </c>
      <c r="I119" s="3207"/>
    </row>
    <row r="120" spans="1:27" ht="18.75" customHeight="1">
      <c r="A120" s="3201" t="str">
        <f>IF(项目基本情况!B9="房地产市场价值","",MID(E103,3,LEN(E103)-2))</f>
        <v>估价师知悉的法定优先受偿款</v>
      </c>
      <c r="B120" s="3202"/>
      <c r="C120" s="3203"/>
      <c r="D120" s="3201">
        <f>H103</f>
        <v>0</v>
      </c>
      <c r="E120" s="3202"/>
      <c r="F120" s="3202"/>
      <c r="G120" s="3202"/>
      <c r="H120" s="3202"/>
      <c r="I120" s="320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3" t="s">
        <v>2139</v>
      </c>
      <c r="B121" s="3244"/>
      <c r="C121" s="3245"/>
      <c r="D121" s="3206" t="str">
        <f>IF(D120=0,"零元整",NUMBERSTRING(INT(D120*10000),2)&amp;"元整")</f>
        <v>零元整</v>
      </c>
      <c r="E121" s="3208"/>
      <c r="F121" s="3208"/>
      <c r="G121" s="3208"/>
      <c r="H121" s="3208"/>
      <c r="I121" s="3207"/>
      <c r="AA121" s="733"/>
    </row>
    <row r="122" spans="1:27" ht="18.75" customHeight="1">
      <c r="A122" s="3212" t="str">
        <f>IF(项目基本情况!B9="房地产市场价值","",MID(E107,3,LEN(E107)-2))</f>
        <v>房地产抵押价值</v>
      </c>
      <c r="B122" s="3212"/>
      <c r="C122" s="3212"/>
      <c r="D122" s="3201">
        <f ca="1">H107</f>
        <v>5321</v>
      </c>
      <c r="E122" s="3202"/>
      <c r="F122" s="3202"/>
      <c r="G122" s="3202"/>
      <c r="H122" s="3202"/>
      <c r="I122" s="3203"/>
      <c r="AA122" s="733"/>
    </row>
    <row r="123" spans="1:27" ht="18.75" customHeight="1">
      <c r="A123" s="3200" t="s">
        <v>2139</v>
      </c>
      <c r="B123" s="3200"/>
      <c r="C123" s="3200"/>
      <c r="D123" s="3206" t="str">
        <f ca="1">NUMBERSTRING(INT(D122*10000),2)&amp;"元整"</f>
        <v>伍仟叁佰贰拾壹万元整</v>
      </c>
      <c r="E123" s="3208"/>
      <c r="F123" s="3208"/>
      <c r="G123" s="3208"/>
      <c r="H123" s="3208"/>
      <c r="I123" s="3207"/>
      <c r="AA123" s="733"/>
    </row>
    <row r="124" spans="1:27" ht="18.75" customHeight="1">
      <c r="A124" s="3212" t="str">
        <f>IF(项目基本情况!B9="房地产市场价值","",MID(E109,3,LEN(E109)-2))</f>
        <v/>
      </c>
      <c r="B124" s="3212"/>
      <c r="C124" s="3212"/>
      <c r="D124" s="3201" t="str">
        <f>H109</f>
        <v>——</v>
      </c>
      <c r="E124" s="3202"/>
      <c r="F124" s="3202"/>
      <c r="G124" s="3202"/>
      <c r="H124" s="3202"/>
      <c r="I124" s="3203"/>
      <c r="AA124" s="733"/>
    </row>
    <row r="125" spans="1:27" ht="18.75" customHeight="1">
      <c r="A125" s="3200" t="s">
        <v>2139</v>
      </c>
      <c r="B125" s="3200"/>
      <c r="C125" s="3200"/>
      <c r="D125" s="3206" t="e">
        <f>NUMBERSTRING(INT(D124*10000),2)&amp;"元整"</f>
        <v>#VALUE!</v>
      </c>
      <c r="E125" s="3208"/>
      <c r="F125" s="3208"/>
      <c r="G125" s="3208"/>
      <c r="H125" s="3208"/>
      <c r="I125" s="3207"/>
      <c r="AA125" s="733"/>
    </row>
    <row r="126" spans="1:27" ht="18.75" customHeight="1">
      <c r="A126" s="3212" t="str">
        <f>IF(项目基本情况!B9="房地产市场价值","",MID(E111,3,LEN(E111)-2))</f>
        <v>抵押净值</v>
      </c>
      <c r="B126" s="3212"/>
      <c r="C126" s="3212"/>
      <c r="D126" s="3201">
        <f ca="1">H111</f>
        <v>104937</v>
      </c>
      <c r="E126" s="3202"/>
      <c r="F126" s="3202"/>
      <c r="G126" s="3202"/>
      <c r="H126" s="3202"/>
      <c r="I126" s="3203"/>
      <c r="AA126" s="733"/>
    </row>
    <row r="127" spans="1:27" ht="18.75" customHeight="1">
      <c r="A127" s="3200" t="s">
        <v>2139</v>
      </c>
      <c r="B127" s="3200"/>
      <c r="C127" s="3200"/>
      <c r="D127" s="3206" t="str">
        <f ca="1">NUMBERSTRING(INT(D126*10000),2)&amp;"元整"</f>
        <v>壹拾亿肆仟玖佰叁拾柒万元整</v>
      </c>
      <c r="E127" s="3208"/>
      <c r="F127" s="3208"/>
      <c r="G127" s="3208"/>
      <c r="H127" s="3208"/>
      <c r="I127" s="3207"/>
      <c r="AA127" s="733"/>
    </row>
    <row r="128" spans="1:27" ht="21.75" customHeight="1">
      <c r="A128" s="3209" t="s">
        <v>2140</v>
      </c>
      <c r="B128" s="3209"/>
      <c r="C128" s="3209"/>
      <c r="D128" s="3209"/>
      <c r="E128" s="3209"/>
      <c r="F128" s="3209"/>
      <c r="G128" s="3209"/>
      <c r="H128" s="3209"/>
      <c r="I128" s="3209"/>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3" t="str">
        <f>项目基本情况!B1</f>
        <v>北京市亿利生态广场房地产抵押价值预评估</v>
      </c>
      <c r="C37" s="3093"/>
      <c r="D37" s="3093"/>
      <c r="E37" s="3093"/>
      <c r="F37" s="3093"/>
      <c r="G37" s="3093"/>
      <c r="H37" s="3093"/>
      <c r="I37" s="3093"/>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9" sqref="B19"/>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1"/>
      <c r="G1" s="3021"/>
      <c r="H1" s="3021"/>
      <c r="I1" s="3021"/>
      <c r="J1" s="3021"/>
      <c r="K1" s="3021"/>
      <c r="L1" s="3021"/>
      <c r="M1" s="3021"/>
      <c r="N1" s="3021"/>
      <c r="O1" s="3021"/>
      <c r="P1" s="3021"/>
    </row>
    <row r="2" spans="1:16" ht="15.75">
      <c r="A2" s="2362" t="s">
        <v>2816</v>
      </c>
      <c r="B2" s="2826" t="e">
        <f ca="1">SUMIF(B6:B13,"&lt;&gt;#ref!",B6:B13)</f>
        <v>#DIV/0!</v>
      </c>
      <c r="C2" s="2362" t="s">
        <v>2817</v>
      </c>
      <c r="D2" s="2362" t="s">
        <v>2818</v>
      </c>
      <c r="E2" s="2836">
        <f ca="1">SUMIF(E6:E13,"&lt;&gt;#ref!",E6:E13)</f>
        <v>735.72</v>
      </c>
      <c r="F2" s="3021"/>
      <c r="G2" s="3021"/>
      <c r="H2" s="3021"/>
      <c r="I2" s="3021"/>
      <c r="J2" s="3021"/>
      <c r="K2" s="3021"/>
      <c r="L2" s="3021"/>
      <c r="M2" s="3021"/>
      <c r="N2" s="3021"/>
      <c r="O2" s="3021"/>
      <c r="P2" s="3021"/>
    </row>
    <row r="3" spans="1:16" ht="15.75">
      <c r="A3" s="2362" t="s">
        <v>2819</v>
      </c>
      <c r="B3" s="2826" t="e">
        <f ca="1">ROUND(B2*10000/E2,0)</f>
        <v>#DIV/0!</v>
      </c>
      <c r="C3" s="2362" t="s">
        <v>2824</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2820</v>
      </c>
      <c r="B5" s="2834" t="s">
        <v>2821</v>
      </c>
      <c r="C5" s="2363"/>
      <c r="D5" s="3021"/>
      <c r="E5" s="2835" t="s">
        <v>2822</v>
      </c>
      <c r="F5" s="3021"/>
      <c r="G5" s="3021"/>
      <c r="H5" s="3021"/>
      <c r="I5" s="3021"/>
      <c r="J5" s="3021"/>
      <c r="K5" s="3021"/>
      <c r="L5" s="3021"/>
      <c r="M5" s="3021"/>
      <c r="N5" s="3021"/>
      <c r="O5" s="3021"/>
      <c r="P5" s="3021"/>
    </row>
    <row r="6" spans="1:16" ht="15.75">
      <c r="A6" s="2833" t="s">
        <v>3079</v>
      </c>
      <c r="B6" s="2826" t="e">
        <f ca="1">SUMIF(INDIRECT("'"&amp;A6&amp;"'"&amp;"!A:A"),"总价",INDIRECT("'"&amp;A6&amp;"'"&amp;"!B:B"))</f>
        <v>#DIV/0!</v>
      </c>
      <c r="C6" s="2362" t="s">
        <v>2817</v>
      </c>
      <c r="D6" s="3021"/>
      <c r="E6" s="2836">
        <f ca="1">SUMIF(INDIRECT("'"&amp;A6&amp;"'"&amp;"!C:C"),"建筑面积",INDIRECT("'"&amp;A6&amp;"'"&amp;"!D:D"))</f>
        <v>0</v>
      </c>
      <c r="F6" s="3021"/>
      <c r="G6" s="3021"/>
      <c r="H6" s="3021"/>
      <c r="I6" s="3021"/>
      <c r="J6" s="3021"/>
      <c r="K6" s="3021"/>
      <c r="L6" s="3021"/>
      <c r="M6" s="3021"/>
      <c r="N6" s="3021"/>
      <c r="O6" s="3021"/>
      <c r="P6" s="3021"/>
    </row>
    <row r="7" spans="1:16" ht="15.75">
      <c r="A7" s="2833" t="s">
        <v>3081</v>
      </c>
      <c r="B7" s="2826">
        <f ca="1">SUMIF(INDIRECT("'"&amp;A7&amp;"'"&amp;"!A:A"),"总价",INDIRECT("'"&amp;A7&amp;"'"&amp;"!B:B"))</f>
        <v>2530</v>
      </c>
      <c r="C7" s="2362" t="s">
        <v>2817</v>
      </c>
      <c r="D7" s="3021"/>
      <c r="E7" s="2836">
        <f t="shared" ref="E7:E13" ca="1" si="0">SUMIF(INDIRECT("'"&amp;A7&amp;"'"&amp;"!C:C"),"建筑面积",INDIRECT("'"&amp;A7&amp;"'"&amp;"!D:D"))</f>
        <v>735.72</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2817</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2817</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2817</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2817</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2817</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2817</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U2" sqref="U2"/>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0</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 ca="1">C26</f>
        <v>#DIV/0!</v>
      </c>
      <c r="C2" s="2186" t="s">
        <v>2635</v>
      </c>
      <c r="D2" s="2187" t="s">
        <v>2636</v>
      </c>
      <c r="E2" s="2188" t="s">
        <v>1343</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Ⅱ—11</v>
      </c>
      <c r="J2" s="2190"/>
      <c r="K2" s="1279"/>
      <c r="L2" s="2191" t="s">
        <v>2639</v>
      </c>
      <c r="M2" s="994">
        <f>SUMPRODUCT((区片价!B10:B28=I2)*(区片价!C3:F3=E2)*(区片价!C10:F28))</f>
        <v>27660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t="e">
        <f ca="1">ROUND($C$5*$C$18*$C$19*$C$20*S2*$C$24,0)</f>
        <v>#DIV/0!</v>
      </c>
      <c r="U2" s="1374">
        <f>面积指标!D2</f>
        <v>334.06</v>
      </c>
      <c r="V2" s="1373" t="e">
        <f ca="1">ROUND(T2*U2/10000,0)</f>
        <v>#DIV/0!</v>
      </c>
      <c r="W2" s="1377"/>
      <c r="X2" s="1377"/>
      <c r="Y2" s="1377"/>
      <c r="Z2" s="1377"/>
      <c r="AA2" s="1377"/>
      <c r="AB2" s="1377"/>
      <c r="AC2" s="1378"/>
      <c r="AD2" s="1379"/>
      <c r="AE2" s="1379"/>
      <c r="AF2" s="1379"/>
      <c r="AG2" s="1379"/>
      <c r="AH2" s="1379"/>
      <c r="AI2" s="1379"/>
      <c r="AJ2" s="1380"/>
    </row>
    <row r="3" spans="1:36" ht="25.5">
      <c r="A3" s="208" t="s">
        <v>2640</v>
      </c>
      <c r="B3" s="209" t="e">
        <f ca="1">ROUND(B2*10000/D1,0)</f>
        <v>#DIV/0!</v>
      </c>
      <c r="C3" s="2186" t="s">
        <v>2641</v>
      </c>
      <c r="D3" s="2187" t="s">
        <v>2642</v>
      </c>
      <c r="E3" s="2192" t="s">
        <v>3083</v>
      </c>
      <c r="F3" s="2193" t="s">
        <v>2643</v>
      </c>
      <c r="G3" s="854">
        <f>IF(F3="宗地容积率",'数据-汇总表'!I4,IF(F3="估价对象容积率",'数据-汇总表'!I6,'数据-汇总表'!I7))</f>
        <v>3.47</v>
      </c>
      <c r="H3" s="174" t="s">
        <v>2644</v>
      </c>
      <c r="I3" s="880">
        <v>1</v>
      </c>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t="e">
        <f t="shared" ref="T3:T16" ca="1" si="0">ROUND($C$5*$C$18*$C$19*$C$20*S3*$C$24,0)</f>
        <v>#DIV/0!</v>
      </c>
      <c r="U3" s="1374">
        <f>面积指标!D3</f>
        <v>300.45999999999998</v>
      </c>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298"/>
      <c r="B4" s="3299"/>
      <c r="C4" s="3299"/>
      <c r="D4" s="3300"/>
      <c r="E4" s="3300"/>
      <c r="F4" s="3300"/>
      <c r="G4" s="3300"/>
      <c r="H4" s="3300"/>
      <c r="I4" s="3300"/>
      <c r="J4" s="3301"/>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t="e">
        <f t="shared" ca="1" si="0"/>
        <v>#DIV/0!</v>
      </c>
      <c r="U4" s="1374">
        <f>面积指标!D4</f>
        <v>145.61000000000001</v>
      </c>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27629</v>
      </c>
      <c r="D5" s="1524">
        <f>ROUND(C6+C16,0)</f>
        <v>27629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t="e">
        <f t="shared" ca="1" si="0"/>
        <v>#DIV/0!</v>
      </c>
      <c r="U5" s="1374">
        <f>面积指标!D5</f>
        <v>260.87</v>
      </c>
      <c r="V5" s="1373" t="e">
        <f t="shared" ca="1"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27660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283" t="str">
        <f>IF(E2="商业",IF(C8="不临58条商业街","",2),"")</f>
        <v/>
      </c>
      <c r="B7" s="3044"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t="e">
        <f t="shared" ca="1" si="0"/>
        <v>#DIV/0!</v>
      </c>
      <c r="U7" s="1374"/>
      <c r="V7" s="1373" t="e">
        <f t="shared" ca="1" si="1"/>
        <v>#DIV/0!</v>
      </c>
      <c r="W7" s="3056" t="s">
        <v>2657</v>
      </c>
      <c r="X7" s="1375" t="str">
        <f>G2</f>
        <v>二级</v>
      </c>
      <c r="Y7" s="1375" t="s">
        <v>2658</v>
      </c>
      <c r="Z7" s="1376">
        <f>G3</f>
        <v>3.47</v>
      </c>
      <c r="AA7" s="1377"/>
      <c r="AB7" s="1377"/>
      <c r="AC7" s="1378"/>
      <c r="AD7" s="1379"/>
      <c r="AE7" s="1379"/>
      <c r="AF7" s="1379"/>
      <c r="AG7" s="1379"/>
      <c r="AH7" s="1379"/>
      <c r="AI7" s="1379"/>
      <c r="AJ7" s="1380"/>
    </row>
    <row r="8" spans="1:36" ht="25.5">
      <c r="A8" s="3302"/>
      <c r="B8" s="174" t="s">
        <v>2659</v>
      </c>
      <c r="C8" s="2215" t="s">
        <v>3084</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ca="1" si="0"/>
        <v>#DIV/0!</v>
      </c>
      <c r="U8" s="1374"/>
      <c r="V8" s="1373" t="e">
        <f t="shared" ca="1" si="1"/>
        <v>#DIV/0!</v>
      </c>
      <c r="W8" s="3303" t="s">
        <v>2662</v>
      </c>
      <c r="X8" s="3304"/>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02"/>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ca="1" si="0"/>
        <v>#DIV/0!</v>
      </c>
      <c r="U9" s="1374"/>
      <c r="V9" s="1373" t="e">
        <f t="shared" ca="1" si="1"/>
        <v>#DIV/0!</v>
      </c>
      <c r="W9" s="3305"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2"/>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ca="1" si="0"/>
        <v>#DIV/0!</v>
      </c>
      <c r="U10" s="1374"/>
      <c r="V10" s="1373" t="e">
        <f t="shared" ca="1" si="1"/>
        <v>#DIV/0!</v>
      </c>
      <c r="W10" s="330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2"/>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ca="1" si="0"/>
        <v>#DIV/0!</v>
      </c>
      <c r="U11" s="1374"/>
      <c r="V11" s="1373" t="e">
        <f t="shared" ca="1" si="1"/>
        <v>#DIV/0!</v>
      </c>
      <c r="W11" s="3305" t="s">
        <v>2686</v>
      </c>
      <c r="X11" s="1385" t="s">
        <v>2658</v>
      </c>
      <c r="Y11" s="1386">
        <f>$G$3</f>
        <v>3.47</v>
      </c>
      <c r="Z11" s="1386">
        <f t="shared" ref="Z11:AJ11" si="3">$G$3</f>
        <v>3.47</v>
      </c>
      <c r="AA11" s="1386">
        <f t="shared" si="3"/>
        <v>3.47</v>
      </c>
      <c r="AB11" s="1386">
        <f t="shared" si="3"/>
        <v>3.47</v>
      </c>
      <c r="AC11" s="1386">
        <f t="shared" si="3"/>
        <v>3.47</v>
      </c>
      <c r="AD11" s="1386">
        <f t="shared" si="3"/>
        <v>3.47</v>
      </c>
      <c r="AE11" s="1386">
        <f t="shared" si="3"/>
        <v>3.47</v>
      </c>
      <c r="AF11" s="1386">
        <f t="shared" si="3"/>
        <v>3.47</v>
      </c>
      <c r="AG11" s="1386">
        <f t="shared" si="3"/>
        <v>3.47</v>
      </c>
      <c r="AH11" s="1386">
        <f t="shared" si="3"/>
        <v>3.47</v>
      </c>
      <c r="AI11" s="1386">
        <f t="shared" si="3"/>
        <v>3.47</v>
      </c>
      <c r="AJ11" s="1386">
        <f t="shared" si="3"/>
        <v>3.47</v>
      </c>
    </row>
    <row r="12" spans="1:36" ht="25.5" thickBot="1">
      <c r="A12" s="3283"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ca="1" si="0"/>
        <v>#DIV/0!</v>
      </c>
      <c r="U12" s="1374"/>
      <c r="V12" s="1373" t="e">
        <f t="shared" ca="1" si="1"/>
        <v>#DIV/0!</v>
      </c>
      <c r="W12" s="3305"/>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6"/>
      <c r="B13" s="3042" t="s">
        <v>2693</v>
      </c>
      <c r="C13" s="2230" t="s">
        <v>2694</v>
      </c>
      <c r="D13" s="3054" t="s">
        <v>2695</v>
      </c>
      <c r="E13" s="3054"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ca="1" si="0"/>
        <v>#DIV/0!</v>
      </c>
      <c r="U13" s="1374"/>
      <c r="V13" s="1373" t="e">
        <f t="shared" ca="1" si="1"/>
        <v>#DIV/0!</v>
      </c>
      <c r="W13" s="3305"/>
      <c r="X13" s="1387"/>
      <c r="Y13" s="1384">
        <f>(-0.163*(Y12^2)-0.59*Y12+7617)*(10^(-4))/Y11</f>
        <v>0.2195100864553314</v>
      </c>
      <c r="Z13" s="1384">
        <f t="shared" ref="Z13:AJ13" si="5">(-0.163*(Z12^2)-0.59*Z12+7617)*(10^(-4))/Z11</f>
        <v>0.2195100864553314</v>
      </c>
      <c r="AA13" s="1384">
        <f t="shared" si="5"/>
        <v>0.2195100864553314</v>
      </c>
      <c r="AB13" s="1384">
        <f t="shared" si="5"/>
        <v>0.2195100864553314</v>
      </c>
      <c r="AC13" s="1384">
        <f t="shared" si="5"/>
        <v>0.2195100864553314</v>
      </c>
      <c r="AD13" s="1384">
        <f t="shared" si="5"/>
        <v>0.2195100864553314</v>
      </c>
      <c r="AE13" s="1384">
        <f t="shared" si="5"/>
        <v>0.2195100864553314</v>
      </c>
      <c r="AF13" s="1384">
        <f t="shared" si="5"/>
        <v>0.2195100864553314</v>
      </c>
      <c r="AG13" s="1384">
        <f t="shared" si="5"/>
        <v>0.2195100864553314</v>
      </c>
      <c r="AH13" s="1384">
        <f t="shared" si="5"/>
        <v>0.2195100864553314</v>
      </c>
      <c r="AI13" s="1384">
        <f t="shared" si="5"/>
        <v>0.2195100864553314</v>
      </c>
      <c r="AJ13" s="1384">
        <f t="shared" si="5"/>
        <v>0.2195100864553314</v>
      </c>
    </row>
    <row r="14" spans="1:36" ht="15">
      <c r="A14" s="3306"/>
      <c r="B14" s="3043"/>
      <c r="C14" s="2234"/>
      <c r="D14" s="2235"/>
      <c r="E14" s="2235"/>
      <c r="F14" s="2236"/>
      <c r="G14" s="2237" t="s">
        <v>2699</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307"/>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283" t="s">
        <v>2705</v>
      </c>
      <c r="B16" s="3044" t="s">
        <v>2706</v>
      </c>
      <c r="C16" s="2372">
        <f>ROUND(IF(F17="与级别开发程度一致",0,(G17-E17)/C17),0)</f>
        <v>-31</v>
      </c>
      <c r="D16" s="3285" t="s">
        <v>2710</v>
      </c>
      <c r="E16" s="3286"/>
      <c r="F16" s="3285" t="s">
        <v>2707</v>
      </c>
      <c r="G16" s="3286"/>
      <c r="H16" s="2242" t="s">
        <v>3085</v>
      </c>
      <c r="I16" s="2242" t="s">
        <v>3086</v>
      </c>
      <c r="J16" s="2376" t="s">
        <v>3087</v>
      </c>
      <c r="K16" s="2242" t="s">
        <v>3088</v>
      </c>
      <c r="L16" s="2242" t="s">
        <v>3089</v>
      </c>
      <c r="M16" s="2242" t="s">
        <v>3090</v>
      </c>
      <c r="N16" s="2242" t="s">
        <v>70</v>
      </c>
      <c r="O16" s="2243" t="s">
        <v>70</v>
      </c>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284"/>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3091</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1.1000000000000001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3092</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t="e">
        <f ca="1">ROUND(POWER(1+G20,J20-I20)*(POWER(1+G20,I20)-1)/(POWER(1+G20,J20)-1),4)</f>
        <v>#DIV/0!</v>
      </c>
      <c r="D20" s="2259" t="s">
        <v>2719</v>
      </c>
      <c r="E20" s="1506">
        <f ca="1">存贷款利率!D4/100</f>
        <v>4.3499999999999997E-2</v>
      </c>
      <c r="F20" s="2259" t="s">
        <v>2711</v>
      </c>
      <c r="G20" s="872">
        <f ca="1">SUMIF(M26:P26,E2,M28:P28)</f>
        <v>5.3999999999999999E-2</v>
      </c>
      <c r="H20" s="2259" t="s">
        <v>2720</v>
      </c>
      <c r="I20" s="3055" t="e">
        <f>SUMIF('数据-取费表'!C6:C15,E2,'数据-取费表'!F6:F15)/COUNTIF('数据-取费表'!C6:C15,E2)</f>
        <v>#DIV/0!</v>
      </c>
      <c r="J20" s="874">
        <f>IF(E2="住宅",70,IF(E2="商业",40,50))</f>
        <v>40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2725</v>
      </c>
      <c r="C21" s="3050">
        <f>IF(B21="容积率修正",IF(G3&lt;=10,D22,J22),C23)</f>
        <v>1.9361999999999999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3049" t="s">
        <v>2729</v>
      </c>
      <c r="D22" s="3049">
        <f>IF(E22=G22,F22,IF(G3&lt;=10,ROUND(F22+(H22-F22)*(G3-E22)/(G22-E22),4),"——"))</f>
        <v>1.0022</v>
      </c>
      <c r="E22" s="854">
        <f>ROUNDDOWN(G3,1)</f>
        <v>3.4</v>
      </c>
      <c r="F22" s="30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1.0073000000000001</v>
      </c>
      <c r="G22" s="854">
        <f>ROUNDUP(G3,1)</f>
        <v>3.5</v>
      </c>
      <c r="H22" s="3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49"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1.9361999999999999</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1.0496000000000001</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 ca="1">IF(B21="容积率修正",E29+SUM(E33:E39),SUM(V2:V16)+SUM(E33:E39))</f>
        <v>#DIV/0!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 ca="1">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thickBot="1">
      <c r="A29" s="2295"/>
      <c r="B29" s="2296" t="s">
        <v>2744</v>
      </c>
      <c r="C29" s="179" t="e">
        <f ca="1">ROUND(C5*C18*C19*C20*C21*C24,0)</f>
        <v>#DIV/0!</v>
      </c>
      <c r="D29" s="2303"/>
      <c r="E29" s="3053" t="e">
        <f ca="1">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 ca="1">ROUND(IF(E2="工业",C29*M39,C29*M38),0)</f>
        <v>#DIV/0!</v>
      </c>
      <c r="D30" s="2303"/>
      <c r="E30" s="3053" t="e">
        <f ca="1">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87"/>
      <c r="B33" s="2313" t="s">
        <v>2752</v>
      </c>
      <c r="C33" s="179" t="e">
        <f ca="1">ROUND(D5*C19*C20*C24*F33,0)</f>
        <v>#DIV/0!</v>
      </c>
      <c r="D33" s="2297">
        <f>'数据-汇总表'!G19</f>
        <v>0</v>
      </c>
      <c r="E33" s="175" t="e">
        <f ca="1">ROUND(C33*D33/10000,0)</f>
        <v>#DIV/0!</v>
      </c>
      <c r="F33" s="175">
        <f>SUMIF(修正!A45:A56,G2,修正!B45:B56)</f>
        <v>0.8</v>
      </c>
      <c r="G33" s="175" t="e">
        <f t="shared" ref="G33" ca="1" si="6">ROUND(IF(E2="工业",C33*$M$39,C33*$M$38),0)</f>
        <v>#DIV/0!</v>
      </c>
      <c r="H33" s="175">
        <f>D33</f>
        <v>0</v>
      </c>
      <c r="I33" s="175" t="e">
        <f ca="1">ROUND(G33*H33/10000,0)</f>
        <v>#DIV/0!</v>
      </c>
      <c r="J33" s="3290"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88"/>
      <c r="B34" s="2230" t="s">
        <v>2753</v>
      </c>
      <c r="C34" s="179" t="e">
        <f ca="1">ROUND(D5*C19*C20*C24*F34,0)</f>
        <v>#DIV/0!</v>
      </c>
      <c r="D34" s="2297"/>
      <c r="E34" s="175" t="e">
        <f t="shared" ref="E34:E39" ca="1" si="7">ROUND(C34*D34/10000,0)</f>
        <v>#DIV/0!</v>
      </c>
      <c r="F34" s="175">
        <f>SUMIF(修正!A45:A56,G2,修正!C45:C56)</f>
        <v>0.5</v>
      </c>
      <c r="G34" s="175" t="e">
        <f ca="1">ROUND(IF(E2="工业",C34*$M$39,C34*$M$38),0)</f>
        <v>#DIV/0!</v>
      </c>
      <c r="H34" s="175">
        <f t="shared" ref="H34:H39" si="8">D34</f>
        <v>0</v>
      </c>
      <c r="I34" s="175" t="e">
        <f t="shared" ref="I34:I39" ca="1" si="9">ROUND(G34*H34/10000,0)</f>
        <v>#DIV/0!</v>
      </c>
      <c r="J34" s="328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88"/>
      <c r="B35" s="2230" t="s">
        <v>2754</v>
      </c>
      <c r="C35" s="179" t="e">
        <f ca="1">ROUND(D5*C19*C20*C24*F35,0)</f>
        <v>#DIV/0!</v>
      </c>
      <c r="D35" s="2297"/>
      <c r="E35" s="175" t="e">
        <f t="shared" ca="1" si="7"/>
        <v>#DIV/0!</v>
      </c>
      <c r="F35" s="175">
        <f>SUMIF(修正!A45:A56,G2,修正!D45:D56)</f>
        <v>0.36</v>
      </c>
      <c r="G35" s="175" t="e">
        <f ca="1">ROUND(IF(E2="工业",C35*$M$39,C35*$M$38),0)</f>
        <v>#DIV/0!</v>
      </c>
      <c r="H35" s="175">
        <f t="shared" si="8"/>
        <v>0</v>
      </c>
      <c r="I35" s="175" t="e">
        <f t="shared" ca="1" si="9"/>
        <v>#DIV/0!</v>
      </c>
      <c r="J35" s="328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89"/>
      <c r="B36" s="2230" t="s">
        <v>2755</v>
      </c>
      <c r="C36" s="179" t="e">
        <f ca="1">ROUND(D5*C19*C20*C24*F36,0)</f>
        <v>#DIV/0!</v>
      </c>
      <c r="D36" s="2297"/>
      <c r="E36" s="175" t="e">
        <f t="shared" ca="1" si="7"/>
        <v>#DIV/0!</v>
      </c>
      <c r="F36" s="175">
        <f>SUMIF(修正!A45:A56,G2,修正!E45:E56)</f>
        <v>0.3</v>
      </c>
      <c r="G36" s="175" t="e">
        <f ca="1">ROUND(IF(E2="工业",C36*$M$39,C36*$M$38),0)</f>
        <v>#DIV/0!</v>
      </c>
      <c r="H36" s="175">
        <f t="shared" si="8"/>
        <v>0</v>
      </c>
      <c r="I36" s="175" t="e">
        <f t="shared" ca="1" si="9"/>
        <v>#DIV/0!</v>
      </c>
      <c r="J36" s="3289"/>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 ca="1">ROUND(D5*C19*C20*C24*F37,0)</f>
        <v>#DIV/0!</v>
      </c>
      <c r="D37" s="2297"/>
      <c r="E37" s="175" t="e">
        <f t="shared" ca="1" si="7"/>
        <v>#DIV/0!</v>
      </c>
      <c r="F37" s="179">
        <f>SUMIF(修正!A45:A56,G2,修正!F45:F56)</f>
        <v>0.3</v>
      </c>
      <c r="G37" s="175" t="e">
        <f ca="1">ROUND(IF(E2="工业",C37*$M$39,C37*$M$38),0)</f>
        <v>#DIV/0!</v>
      </c>
      <c r="H37" s="175">
        <f t="shared" si="8"/>
        <v>0</v>
      </c>
      <c r="I37" s="175" t="e">
        <f t="shared" ca="1"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2862</v>
      </c>
      <c r="C41" s="347">
        <f ca="1">ROUND(POWER(1+E41,H41-G41)*(POWER(1+E41,G41)-1)/(POWER(1+E41,H41)-1),4)</f>
        <v>0</v>
      </c>
      <c r="D41" s="175" t="s">
        <v>2711</v>
      </c>
      <c r="E41" s="2370">
        <f ca="1">G20</f>
        <v>5.3999999999999999E-2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1.0496000000000001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30" t="s">
        <v>2771</v>
      </c>
      <c r="B48" s="2333" t="str">
        <f>估价对象房地状况!C4</f>
        <v>好</v>
      </c>
      <c r="C48" s="2235" t="s">
        <v>3093</v>
      </c>
      <c r="D48" s="1195">
        <f t="shared" ref="D48:D56" si="10">SUMIF($J$47:$N$47,C48,J48:N48)</f>
        <v>1.61E-2</v>
      </c>
      <c r="E48" s="759">
        <f>ROUND(SUM(D48:D56),4)</f>
        <v>4.9599999999999998E-2</v>
      </c>
      <c r="F48" s="2001">
        <f>IF(E2="商业",SUMIF(L1:L12,G2,N1:N12),"——")</f>
        <v>9.8000000000000004E-2</v>
      </c>
      <c r="G48" s="1193">
        <v>1.61E-2</v>
      </c>
      <c r="H48" s="1197">
        <f t="shared" ref="H48:H56" si="11">IFERROR(ROUNDDOWN($F$48*I48/2,4),"——")</f>
        <v>1.61E-2</v>
      </c>
      <c r="I48" s="758">
        <v>0.33</v>
      </c>
      <c r="J48" s="1194">
        <f t="shared" ref="J48:J56" si="12">K48+$G48</f>
        <v>3.2199999999999999E-2</v>
      </c>
      <c r="K48" s="1194">
        <f t="shared" ref="K48:K56" si="13">$L48+$G48</f>
        <v>1.61E-2</v>
      </c>
      <c r="L48" s="1194">
        <v>0</v>
      </c>
      <c r="M48" s="1194">
        <f t="shared" ref="M48:N56" si="14">L48-$G48</f>
        <v>-1.61E-2</v>
      </c>
      <c r="N48" s="1194">
        <f t="shared" si="14"/>
        <v>-3.2199999999999999E-2</v>
      </c>
      <c r="AA48" s="1280"/>
      <c r="AB48" s="1280"/>
      <c r="AC48" s="1280"/>
      <c r="AD48" s="1280"/>
      <c r="AE48" s="1280"/>
      <c r="AF48" s="1280"/>
      <c r="AG48" s="1280"/>
      <c r="AH48" s="1280"/>
      <c r="AI48" s="1280"/>
      <c r="AJ48" s="1280"/>
      <c r="AK48" s="1280"/>
    </row>
    <row r="49" spans="1:37" s="1279" customFormat="1" ht="14.25">
      <c r="A49" s="2330" t="s">
        <v>2772</v>
      </c>
      <c r="B49" s="2334" t="str">
        <f>估价对象房地状况!C18</f>
        <v>好</v>
      </c>
      <c r="C49" s="2235" t="s">
        <v>3093</v>
      </c>
      <c r="D49" s="1195">
        <f t="shared" si="10"/>
        <v>1.2200000000000001E-2</v>
      </c>
      <c r="E49" s="760"/>
      <c r="F49" s="2001"/>
      <c r="G49" s="1193">
        <v>1.2200000000000001E-2</v>
      </c>
      <c r="H49" s="1197">
        <f t="shared" si="11"/>
        <v>1.2200000000000001E-2</v>
      </c>
      <c r="I49" s="758">
        <v>0.25</v>
      </c>
      <c r="J49" s="1194">
        <f t="shared" si="12"/>
        <v>2.4400000000000002E-2</v>
      </c>
      <c r="K49" s="1194">
        <f t="shared" si="13"/>
        <v>1.2200000000000001E-2</v>
      </c>
      <c r="L49" s="1194">
        <v>0</v>
      </c>
      <c r="M49" s="1194">
        <f t="shared" si="14"/>
        <v>-1.2200000000000001E-2</v>
      </c>
      <c r="N49" s="1194">
        <f t="shared" si="14"/>
        <v>-2.4400000000000002E-2</v>
      </c>
      <c r="AA49" s="1280"/>
      <c r="AB49" s="1280"/>
      <c r="AC49" s="1280"/>
      <c r="AD49" s="1280"/>
      <c r="AE49" s="1280"/>
      <c r="AF49" s="1280"/>
      <c r="AG49" s="1280"/>
      <c r="AH49" s="1280"/>
      <c r="AI49" s="1280"/>
      <c r="AJ49" s="1280"/>
      <c r="AK49" s="1280"/>
    </row>
    <row r="50" spans="1:37" s="1279" customFormat="1" ht="24">
      <c r="A50" s="2330" t="s">
        <v>2773</v>
      </c>
      <c r="B50" s="2334" t="str">
        <f>估价对象房地状况!C19</f>
        <v>较好</v>
      </c>
      <c r="C50" s="2235" t="s">
        <v>3093</v>
      </c>
      <c r="D50" s="1195">
        <f t="shared" si="10"/>
        <v>2.3999999999999998E-3</v>
      </c>
      <c r="E50" s="760"/>
      <c r="F50" s="2001"/>
      <c r="G50" s="1193">
        <v>2.3999999999999998E-3</v>
      </c>
      <c r="H50" s="1197">
        <f t="shared" si="11"/>
        <v>2.3999999999999998E-3</v>
      </c>
      <c r="I50" s="758">
        <v>0.05</v>
      </c>
      <c r="J50" s="1194">
        <f t="shared" si="12"/>
        <v>4.7999999999999996E-3</v>
      </c>
      <c r="K50" s="1194">
        <f t="shared" si="13"/>
        <v>2.3999999999999998E-3</v>
      </c>
      <c r="L50" s="1194">
        <v>0</v>
      </c>
      <c r="M50" s="1194">
        <f t="shared" si="14"/>
        <v>-2.3999999999999998E-3</v>
      </c>
      <c r="N50" s="1194">
        <f t="shared" si="14"/>
        <v>-4.7999999999999996E-3</v>
      </c>
      <c r="AA50" s="1280"/>
      <c r="AB50" s="1280"/>
      <c r="AC50" s="1280"/>
      <c r="AD50" s="1280"/>
      <c r="AE50" s="1280"/>
      <c r="AF50" s="1280"/>
      <c r="AG50" s="1280"/>
      <c r="AH50" s="1280"/>
      <c r="AI50" s="1280"/>
      <c r="AJ50" s="1280"/>
      <c r="AK50" s="1280"/>
    </row>
    <row r="51" spans="1:37" s="1279" customFormat="1" ht="36.75">
      <c r="A51" s="2330" t="s">
        <v>2774</v>
      </c>
      <c r="B51" s="2335" t="s">
        <v>2775</v>
      </c>
      <c r="C51" s="2235" t="s">
        <v>3093</v>
      </c>
      <c r="D51" s="1195">
        <f t="shared" si="10"/>
        <v>2.3999999999999998E-3</v>
      </c>
      <c r="E51" s="760"/>
      <c r="F51" s="2001"/>
      <c r="G51" s="1193">
        <v>2.3999999999999998E-3</v>
      </c>
      <c r="H51" s="1197">
        <f t="shared" si="11"/>
        <v>2.3999999999999998E-3</v>
      </c>
      <c r="I51" s="758">
        <v>0.05</v>
      </c>
      <c r="J51" s="1194">
        <f t="shared" si="12"/>
        <v>4.7999999999999996E-3</v>
      </c>
      <c r="K51" s="1194">
        <f t="shared" si="13"/>
        <v>2.3999999999999998E-3</v>
      </c>
      <c r="L51" s="1194">
        <v>0</v>
      </c>
      <c r="M51" s="1194">
        <f t="shared" si="14"/>
        <v>-2.3999999999999998E-3</v>
      </c>
      <c r="N51" s="1194">
        <f t="shared" si="14"/>
        <v>-4.7999999999999996E-3</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t="s">
        <v>3094</v>
      </c>
      <c r="D52" s="1195">
        <f t="shared" si="10"/>
        <v>0</v>
      </c>
      <c r="E52" s="760"/>
      <c r="F52" s="2001"/>
      <c r="G52" s="1193">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30" t="s">
        <v>2777</v>
      </c>
      <c r="B53" s="2336" t="s">
        <v>2778</v>
      </c>
      <c r="C53" s="2235" t="s">
        <v>3093</v>
      </c>
      <c r="D53" s="1195">
        <f t="shared" si="10"/>
        <v>1.4E-3</v>
      </c>
      <c r="E53" s="760"/>
      <c r="F53" s="2001"/>
      <c r="G53" s="1193">
        <v>1.4E-3</v>
      </c>
      <c r="H53" s="1197">
        <f t="shared" si="11"/>
        <v>1.4E-3</v>
      </c>
      <c r="I53" s="758">
        <v>0.03</v>
      </c>
      <c r="J53" s="1194">
        <f t="shared" si="12"/>
        <v>2.8E-3</v>
      </c>
      <c r="K53" s="1194">
        <f t="shared" si="13"/>
        <v>1.4E-3</v>
      </c>
      <c r="L53" s="1194">
        <v>0</v>
      </c>
      <c r="M53" s="1194">
        <f t="shared" si="14"/>
        <v>-1.4E-3</v>
      </c>
      <c r="N53" s="1194">
        <f t="shared" si="14"/>
        <v>-2.8E-3</v>
      </c>
      <c r="AA53" s="1280"/>
      <c r="AB53" s="1280"/>
      <c r="AC53" s="1280"/>
      <c r="AD53" s="1280"/>
      <c r="AE53" s="1280"/>
      <c r="AF53" s="1280"/>
      <c r="AG53" s="1280"/>
      <c r="AH53" s="1280"/>
      <c r="AI53" s="1280"/>
      <c r="AJ53" s="1280"/>
      <c r="AK53" s="1280"/>
    </row>
    <row r="54" spans="1:37" s="1279" customFormat="1" ht="24">
      <c r="A54" s="2337" t="s">
        <v>2779</v>
      </c>
      <c r="B54" s="1495" t="str">
        <f>估价对象房地状况!C21</f>
        <v>好</v>
      </c>
      <c r="C54" s="2235" t="s">
        <v>3093</v>
      </c>
      <c r="D54" s="1195">
        <f t="shared" si="10"/>
        <v>2.3999999999999998E-3</v>
      </c>
      <c r="E54" s="760"/>
      <c r="F54" s="2001"/>
      <c r="G54" s="1193">
        <v>2.3999999999999998E-3</v>
      </c>
      <c r="H54" s="1197">
        <f t="shared" si="11"/>
        <v>2.3999999999999998E-3</v>
      </c>
      <c r="I54" s="758">
        <v>0.05</v>
      </c>
      <c r="J54" s="1194">
        <f t="shared" si="12"/>
        <v>4.7999999999999996E-3</v>
      </c>
      <c r="K54" s="1194">
        <f t="shared" si="13"/>
        <v>2.3999999999999998E-3</v>
      </c>
      <c r="L54" s="1194">
        <v>0</v>
      </c>
      <c r="M54" s="1194">
        <f t="shared" si="14"/>
        <v>-2.3999999999999998E-3</v>
      </c>
      <c r="N54" s="1194">
        <f t="shared" si="14"/>
        <v>-4.7999999999999996E-3</v>
      </c>
      <c r="AA54" s="1280"/>
      <c r="AB54" s="1280"/>
      <c r="AC54" s="1280"/>
      <c r="AD54" s="1280"/>
      <c r="AE54" s="1280"/>
      <c r="AF54" s="1280"/>
      <c r="AG54" s="1280"/>
      <c r="AH54" s="1280"/>
      <c r="AI54" s="1280"/>
      <c r="AJ54" s="1280"/>
      <c r="AK54" s="1280"/>
    </row>
    <row r="55" spans="1:37" s="1279" customFormat="1" ht="24">
      <c r="A55" s="2337" t="s">
        <v>2780</v>
      </c>
      <c r="B55" s="2334" t="str">
        <f>估价对象房地状况!C22</f>
        <v>七通</v>
      </c>
      <c r="C55" s="2235" t="s">
        <v>3095</v>
      </c>
      <c r="D55" s="1195">
        <f t="shared" si="10"/>
        <v>9.7999999999999997E-3</v>
      </c>
      <c r="E55" s="760"/>
      <c r="F55" s="2001"/>
      <c r="G55" s="1193">
        <v>4.8999999999999998E-3</v>
      </c>
      <c r="H55" s="1197">
        <f t="shared" si="11"/>
        <v>4.8999999999999998E-3</v>
      </c>
      <c r="I55" s="758">
        <v>0.1</v>
      </c>
      <c r="J55" s="1194">
        <f t="shared" si="12"/>
        <v>9.7999999999999997E-3</v>
      </c>
      <c r="K55" s="1194">
        <f t="shared" si="13"/>
        <v>4.8999999999999998E-3</v>
      </c>
      <c r="L55" s="1194">
        <v>0</v>
      </c>
      <c r="M55" s="1194">
        <f t="shared" si="14"/>
        <v>-4.8999999999999998E-3</v>
      </c>
      <c r="N55" s="1194">
        <f t="shared" si="14"/>
        <v>-9.7999999999999997E-3</v>
      </c>
      <c r="AA55" s="1280"/>
      <c r="AB55" s="1280"/>
      <c r="AC55" s="1280"/>
      <c r="AD55" s="1280"/>
      <c r="AE55" s="1280"/>
      <c r="AF55" s="1280"/>
      <c r="AG55" s="1280"/>
      <c r="AH55" s="1280"/>
      <c r="AI55" s="1280"/>
      <c r="AJ55" s="1280"/>
      <c r="AK55" s="1280"/>
    </row>
    <row r="56" spans="1:37" s="1279" customFormat="1" ht="24.75" thickBot="1">
      <c r="A56" s="2338" t="s">
        <v>2781</v>
      </c>
      <c r="B56" s="2339" t="str">
        <f>估价对象房地状况!C20</f>
        <v>较好</v>
      </c>
      <c r="C56" s="2235" t="s">
        <v>3093</v>
      </c>
      <c r="D56" s="1195">
        <f t="shared" si="10"/>
        <v>2.8999999999999998E-3</v>
      </c>
      <c r="E56" s="763"/>
      <c r="F56" s="2001"/>
      <c r="G56" s="1193">
        <v>2.8999999999999998E-3</v>
      </c>
      <c r="H56" s="1197">
        <f t="shared" si="11"/>
        <v>2.8999999999999998E-3</v>
      </c>
      <c r="I56" s="762">
        <v>0.06</v>
      </c>
      <c r="J56" s="1194">
        <f t="shared" si="12"/>
        <v>5.7999999999999996E-3</v>
      </c>
      <c r="K56" s="1194">
        <f t="shared" si="13"/>
        <v>2.8999999999999998E-3</v>
      </c>
      <c r="L56" s="1194">
        <v>0</v>
      </c>
      <c r="M56" s="1194">
        <f t="shared" si="14"/>
        <v>-2.8999999999999998E-3</v>
      </c>
      <c r="N56" s="1194">
        <f t="shared" si="14"/>
        <v>-5.7999999999999996E-3</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1" t="s">
        <v>2793</v>
      </c>
      <c r="B90" s="3291"/>
      <c r="C90" s="3291"/>
      <c r="D90" s="3291"/>
      <c r="E90" s="3291"/>
      <c r="F90" s="3291"/>
      <c r="G90" s="3291"/>
      <c r="H90" s="3291"/>
      <c r="I90" s="3291"/>
      <c r="J90" s="3291"/>
      <c r="K90" s="3051"/>
      <c r="L90" s="3051"/>
      <c r="M90" s="3051"/>
      <c r="N90" s="3051"/>
    </row>
    <row r="91" spans="1:37">
      <c r="A91" s="3292" t="s">
        <v>2794</v>
      </c>
      <c r="B91" s="3292" t="s">
        <v>2795</v>
      </c>
      <c r="C91" s="2298" t="s">
        <v>2796</v>
      </c>
      <c r="D91" s="2299"/>
      <c r="E91" s="2299"/>
      <c r="F91" s="2299"/>
      <c r="G91" s="2299"/>
      <c r="H91" s="2299"/>
      <c r="I91" s="2299"/>
      <c r="J91" s="2345"/>
      <c r="K91" s="2346"/>
      <c r="L91" s="2346"/>
      <c r="M91" s="2346"/>
      <c r="N91" s="2346"/>
    </row>
    <row r="92" spans="1:37">
      <c r="A92" s="3292"/>
      <c r="B92" s="3292"/>
      <c r="C92" s="3053" t="s">
        <v>2663</v>
      </c>
      <c r="D92" s="3053" t="s">
        <v>2664</v>
      </c>
      <c r="E92" s="3053" t="s">
        <v>2665</v>
      </c>
      <c r="F92" s="3053" t="s">
        <v>2666</v>
      </c>
      <c r="G92" s="3053" t="s">
        <v>2667</v>
      </c>
      <c r="H92" s="3053" t="s">
        <v>2668</v>
      </c>
      <c r="I92" s="3053" t="s">
        <v>2669</v>
      </c>
      <c r="J92" s="3053" t="s">
        <v>2670</v>
      </c>
      <c r="K92" s="3053" t="s">
        <v>2671</v>
      </c>
      <c r="L92" s="3053" t="s">
        <v>2672</v>
      </c>
      <c r="M92" s="3053" t="s">
        <v>2673</v>
      </c>
      <c r="N92" s="3053" t="s">
        <v>2674</v>
      </c>
    </row>
    <row r="93" spans="1:37">
      <c r="A93" s="329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9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9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9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9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9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94"/>
      <c r="B99" s="2347" t="s">
        <v>2679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295"/>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293" t="s">
        <v>2798</v>
      </c>
      <c r="B101" s="2351" t="s">
        <v>2799</v>
      </c>
      <c r="C101" s="2352">
        <f>$G$3</f>
        <v>3.47</v>
      </c>
      <c r="D101" s="2352">
        <f t="shared" ref="D101:N101" si="31">$G$3</f>
        <v>3.47</v>
      </c>
      <c r="E101" s="2352">
        <f t="shared" si="31"/>
        <v>3.47</v>
      </c>
      <c r="F101" s="2352">
        <f t="shared" si="31"/>
        <v>3.47</v>
      </c>
      <c r="G101" s="2352">
        <f t="shared" si="31"/>
        <v>3.47</v>
      </c>
      <c r="H101" s="2352">
        <f t="shared" si="31"/>
        <v>3.47</v>
      </c>
      <c r="I101" s="2352">
        <f t="shared" si="31"/>
        <v>3.47</v>
      </c>
      <c r="J101" s="2352">
        <f t="shared" si="31"/>
        <v>3.47</v>
      </c>
      <c r="K101" s="2352">
        <f t="shared" si="31"/>
        <v>3.47</v>
      </c>
      <c r="L101" s="2352">
        <f t="shared" si="31"/>
        <v>3.47</v>
      </c>
      <c r="M101" s="2352">
        <f t="shared" si="31"/>
        <v>3.47</v>
      </c>
      <c r="N101" s="2352">
        <f t="shared" si="31"/>
        <v>3.47</v>
      </c>
    </row>
    <row r="102" spans="1:14">
      <c r="A102" s="3294"/>
      <c r="B102" s="2347">
        <v>1</v>
      </c>
      <c r="C102" s="2348">
        <f>1.9362/C101</f>
        <v>0.55798270893371749</v>
      </c>
      <c r="D102" s="2348">
        <f>1.9362/D101</f>
        <v>0.55798270893371749</v>
      </c>
      <c r="E102" s="2348">
        <f>1.8629/E101</f>
        <v>0.53685878962536016</v>
      </c>
      <c r="F102" s="2348">
        <f>1.8629/F101</f>
        <v>0.53685878962536016</v>
      </c>
      <c r="G102" s="2348">
        <f>1.8629/G101</f>
        <v>0.53685878962536016</v>
      </c>
      <c r="H102" s="2348">
        <f>1.8629/H101</f>
        <v>0.53685878962536016</v>
      </c>
      <c r="I102" s="2348">
        <f>1.8629/I101</f>
        <v>0.53685878962536016</v>
      </c>
      <c r="J102" s="2348">
        <f>1.942/J101</f>
        <v>0.55965417867435152</v>
      </c>
      <c r="K102" s="2348">
        <f>1.942/K101</f>
        <v>0.55965417867435152</v>
      </c>
      <c r="L102" s="2348">
        <f>1.942/L101</f>
        <v>0.55965417867435152</v>
      </c>
      <c r="M102" s="2348">
        <f>1.942/M101</f>
        <v>0.55965417867435152</v>
      </c>
      <c r="N102" s="2348">
        <f>1.942/N101</f>
        <v>0.55965417867435152</v>
      </c>
    </row>
    <row r="103" spans="1:14">
      <c r="A103" s="3294"/>
      <c r="B103" s="2347">
        <v>2</v>
      </c>
      <c r="C103" s="2348">
        <f>1.4198/C101</f>
        <v>0.40916426512968296</v>
      </c>
      <c r="D103" s="2348">
        <f>1.4198/D101</f>
        <v>0.40916426512968296</v>
      </c>
      <c r="E103" s="2348">
        <f>1.3372/E101</f>
        <v>0.38536023054755042</v>
      </c>
      <c r="F103" s="2348">
        <f>1.3372/F101</f>
        <v>0.38536023054755042</v>
      </c>
      <c r="G103" s="2348">
        <f>1.3372/G101</f>
        <v>0.38536023054755042</v>
      </c>
      <c r="H103" s="2348">
        <f>1.3372/H101</f>
        <v>0.38536023054755042</v>
      </c>
      <c r="I103" s="2348">
        <f>1.3372/I101</f>
        <v>0.38536023054755042</v>
      </c>
      <c r="J103" s="2348">
        <f>1.2799/J101</f>
        <v>0.36884726224783859</v>
      </c>
      <c r="K103" s="2348">
        <f>1.2799/K101</f>
        <v>0.36884726224783859</v>
      </c>
      <c r="L103" s="2348">
        <f>1.2799/L101</f>
        <v>0.36884726224783859</v>
      </c>
      <c r="M103" s="2348">
        <f>1.2799/M101</f>
        <v>0.36884726224783859</v>
      </c>
      <c r="N103" s="2348">
        <f>1.2799/N101</f>
        <v>0.36884726224783859</v>
      </c>
    </row>
    <row r="104" spans="1:14">
      <c r="A104" s="3294"/>
      <c r="B104" s="2347">
        <v>3</v>
      </c>
      <c r="C104" s="2348">
        <f>1.1594/C101</f>
        <v>0.33412103746397692</v>
      </c>
      <c r="D104" s="2348">
        <f>1.1594/D101</f>
        <v>0.33412103746397692</v>
      </c>
      <c r="E104" s="2348">
        <f>1.0788/E101</f>
        <v>0.31089337175792503</v>
      </c>
      <c r="F104" s="2348">
        <f>1.0788/F101</f>
        <v>0.31089337175792503</v>
      </c>
      <c r="G104" s="2348">
        <f>1.0788/G101</f>
        <v>0.31089337175792503</v>
      </c>
      <c r="H104" s="2348">
        <f>1.0788/H101</f>
        <v>0.31089337175792503</v>
      </c>
      <c r="I104" s="2348">
        <f>1.0788/I101</f>
        <v>0.31089337175792503</v>
      </c>
      <c r="J104" s="2348">
        <f>1.0072/J101</f>
        <v>0.2902593659942363</v>
      </c>
      <c r="K104" s="2348">
        <f>1.0072/K101</f>
        <v>0.2902593659942363</v>
      </c>
      <c r="L104" s="2348">
        <f>1.0072/L101</f>
        <v>0.2902593659942363</v>
      </c>
      <c r="M104" s="2348">
        <f>1.0072/M101</f>
        <v>0.2902593659942363</v>
      </c>
      <c r="N104" s="2348">
        <f>1.0072/N101</f>
        <v>0.2902593659942363</v>
      </c>
    </row>
    <row r="105" spans="1:14">
      <c r="A105" s="3294"/>
      <c r="B105" s="2347">
        <v>4</v>
      </c>
      <c r="C105" s="2348">
        <f>0.9622/C101</f>
        <v>0.27729106628242073</v>
      </c>
      <c r="D105" s="2348">
        <f>0.9622/D101</f>
        <v>0.27729106628242073</v>
      </c>
      <c r="E105" s="2348">
        <f>0.8656/E101</f>
        <v>0.24945244956772333</v>
      </c>
      <c r="F105" s="2348">
        <f>0.8656/F101</f>
        <v>0.24945244956772333</v>
      </c>
      <c r="G105" s="2348">
        <f>0.8656/G101</f>
        <v>0.24945244956772333</v>
      </c>
      <c r="H105" s="2348">
        <f>0.8656/H101</f>
        <v>0.24945244956772333</v>
      </c>
      <c r="I105" s="2348">
        <f>0.8656/I101</f>
        <v>0.24945244956772333</v>
      </c>
      <c r="J105" s="2348">
        <f>0.7525/J101</f>
        <v>0.2168587896253602</v>
      </c>
      <c r="K105" s="2348">
        <f>0.7525/K101</f>
        <v>0.2168587896253602</v>
      </c>
      <c r="L105" s="2348">
        <f>0.7525/L101</f>
        <v>0.2168587896253602</v>
      </c>
      <c r="M105" s="2348">
        <f>0.7525/M101</f>
        <v>0.2168587896253602</v>
      </c>
      <c r="N105" s="2348">
        <f>0.7525/N101</f>
        <v>0.2168587896253602</v>
      </c>
    </row>
    <row r="106" spans="1:14">
      <c r="A106" s="3294"/>
      <c r="B106" s="2347">
        <v>5</v>
      </c>
      <c r="C106" s="2348">
        <f>0.8417/C101</f>
        <v>0.24256484149855906</v>
      </c>
      <c r="D106" s="2348">
        <f>0.8417/D101</f>
        <v>0.24256484149855906</v>
      </c>
      <c r="E106" s="2348">
        <f>0.7371/E101</f>
        <v>0.21242074927953888</v>
      </c>
      <c r="F106" s="2348">
        <f>0.7371/F101</f>
        <v>0.21242074927953888</v>
      </c>
      <c r="G106" s="2348">
        <f>0.7371/G101</f>
        <v>0.21242074927953888</v>
      </c>
      <c r="H106" s="2348">
        <f>0.7371/H101</f>
        <v>0.21242074927953888</v>
      </c>
      <c r="I106" s="2348">
        <f>0.7371/I101</f>
        <v>0.21242074927953888</v>
      </c>
      <c r="J106" s="2348">
        <f>0.5659/J101</f>
        <v>0.16308357348703167</v>
      </c>
      <c r="K106" s="2348">
        <f>0.5659/K101</f>
        <v>0.16308357348703167</v>
      </c>
      <c r="L106" s="2348">
        <f>0.5659/L101</f>
        <v>0.16308357348703167</v>
      </c>
      <c r="M106" s="2348">
        <f>0.5659/M101</f>
        <v>0.16308357348703167</v>
      </c>
      <c r="N106" s="2348">
        <f>0.5659/N101</f>
        <v>0.16308357348703167</v>
      </c>
    </row>
    <row r="107" spans="1:14">
      <c r="A107" s="3294"/>
      <c r="B107" s="2347">
        <v>6</v>
      </c>
      <c r="C107" s="2348">
        <f>0.7608/C101</f>
        <v>0.21925072046109509</v>
      </c>
      <c r="D107" s="2348">
        <f>0.7608/D101</f>
        <v>0.21925072046109509</v>
      </c>
      <c r="E107" s="2348">
        <f>0.6482/E101</f>
        <v>0.18680115273775216</v>
      </c>
      <c r="F107" s="2348">
        <f>0.6482/F101</f>
        <v>0.18680115273775216</v>
      </c>
      <c r="G107" s="2348">
        <f>0.6482/G101</f>
        <v>0.18680115273775216</v>
      </c>
      <c r="H107" s="2348">
        <f>0.6482/H101</f>
        <v>0.18680115273775216</v>
      </c>
      <c r="I107" s="2348">
        <f>0.6482/I101</f>
        <v>0.18680115273775216</v>
      </c>
      <c r="J107" s="2348">
        <f>0.4525/J101</f>
        <v>0.13040345821325647</v>
      </c>
      <c r="K107" s="2348">
        <f>0.4525/K101</f>
        <v>0.13040345821325647</v>
      </c>
      <c r="L107" s="2348">
        <f>0.4525/L101</f>
        <v>0.13040345821325647</v>
      </c>
      <c r="M107" s="2348">
        <f>0.4525/M101</f>
        <v>0.13040345821325647</v>
      </c>
      <c r="N107" s="2348">
        <f>0.4525/N101</f>
        <v>0.13040345821325647</v>
      </c>
    </row>
    <row r="108" spans="1:14">
      <c r="A108" s="3294"/>
      <c r="B108" s="3296" t="s">
        <v>2692</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295"/>
      <c r="B109" s="3297"/>
      <c r="C109" s="2350">
        <f>(-0.163*(C108^2)-0.59*C108+7617)*(10^(-4))/C101</f>
        <v>0.21948838616714697</v>
      </c>
      <c r="D109" s="2350">
        <f>(-0.163*(D108^2)-0.59*D108+7617)*(10^(-4))/D101</f>
        <v>0.21948838616714697</v>
      </c>
      <c r="E109" s="2350">
        <f>(-0.161*(E108^2)-7.509*E108+6533)*(10^(-4))/E101</f>
        <v>0.18804985590778098</v>
      </c>
      <c r="F109" s="2350">
        <f>(-0.161*(F108^2)-7.509*F108+6533)*(10^(-4))/F101</f>
        <v>0.18804985590778098</v>
      </c>
      <c r="G109" s="2350">
        <f>(-0.161*(G108^2)-7.509*G108+6533)*(10^(-4))/G101</f>
        <v>0.18804985590778098</v>
      </c>
      <c r="H109" s="2350">
        <f>(-0.161*(H108^2)-7.509*H108+6533)*(10^(-4))/H101</f>
        <v>0.18804985590778098</v>
      </c>
      <c r="I109" s="2350">
        <f>(-0.161*(I108^2)-7.509*I108+6533)*(10^(-4))/I101</f>
        <v>0.18804985590778098</v>
      </c>
      <c r="J109" s="2350">
        <f>(-0.214*(J108^2)-21.991*J108+4665)*(10^(-4))/J101</f>
        <v>0.13379812680115274</v>
      </c>
      <c r="K109" s="2350">
        <f>(-0.214*(K108^2)-21.991*K108+4665)*(10^(-4))/K101</f>
        <v>0.13379812680115274</v>
      </c>
      <c r="L109" s="2350">
        <f>(-0.214*(L108^2)-21.991*L108+4665)*(10^(-4))/L101</f>
        <v>0.13379812680115274</v>
      </c>
      <c r="M109" s="2350">
        <f>(-0.214*(M108^2)-21.991*M108+4665)*(10^(-4))/M101</f>
        <v>0.13379812680115274</v>
      </c>
      <c r="N109" s="2350">
        <f>(-0.214*(N108^2)-21.991*N108+4665)*(10^(-4))/N101</f>
        <v>0.13379812680115274</v>
      </c>
    </row>
    <row r="110" spans="1:14">
      <c r="A110" s="3282" t="s">
        <v>2801</v>
      </c>
      <c r="B110" s="3282"/>
      <c r="C110" s="3282"/>
      <c r="D110" s="3282"/>
      <c r="E110" s="3282"/>
      <c r="F110" s="3282"/>
      <c r="G110" s="3282"/>
      <c r="H110" s="3282"/>
      <c r="I110" s="3282"/>
      <c r="J110" s="3282"/>
      <c r="K110" s="3052"/>
      <c r="L110" s="3052"/>
      <c r="M110" s="3052"/>
      <c r="N110" s="3052"/>
    </row>
    <row r="112" spans="1:14" ht="13.5" thickBot="1"/>
    <row r="113" spans="1:13" ht="25.5" thickBot="1">
      <c r="A113" s="841" t="s">
        <v>2802</v>
      </c>
      <c r="B113" s="1196">
        <f>G3</f>
        <v>3.47</v>
      </c>
      <c r="C113" s="842" t="s">
        <v>2803</v>
      </c>
      <c r="D113" s="843">
        <f>SUMPRODUCT((A115:A118=F113)*(B114:M114=H113)*B115:M118)</f>
        <v>0.90090000000000003</v>
      </c>
      <c r="E113" s="2189" t="s">
        <v>2636</v>
      </c>
      <c r="F113" s="2355" t="str">
        <f>E2</f>
        <v>商业</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0.90090000000000003</v>
      </c>
      <c r="C115" s="848">
        <f>B115</f>
        <v>0.90090000000000003</v>
      </c>
      <c r="D115" s="848">
        <f>ROUND(0.8331-0.0109*B113,4)</f>
        <v>0.79530000000000001</v>
      </c>
      <c r="E115" s="848">
        <f>D115</f>
        <v>0.79530000000000001</v>
      </c>
      <c r="F115" s="848">
        <f>E115</f>
        <v>0.79530000000000001</v>
      </c>
      <c r="G115" s="848">
        <f>F115</f>
        <v>0.79530000000000001</v>
      </c>
      <c r="H115" s="848">
        <f>G115</f>
        <v>0.79530000000000001</v>
      </c>
      <c r="I115" s="848">
        <f>ROUND(0.689-0.0155*B113,4)</f>
        <v>0.63519999999999999</v>
      </c>
      <c r="J115" s="848">
        <f t="shared" ref="J115:M118" si="33">I115</f>
        <v>0.63519999999999999</v>
      </c>
      <c r="K115" s="848">
        <f t="shared" si="33"/>
        <v>0.63519999999999999</v>
      </c>
      <c r="L115" s="848">
        <f t="shared" si="33"/>
        <v>0.63519999999999999</v>
      </c>
      <c r="M115" s="849">
        <f t="shared" si="33"/>
        <v>0.63519999999999999</v>
      </c>
    </row>
    <row r="116" spans="1:13">
      <c r="A116" s="847" t="s">
        <v>2702</v>
      </c>
      <c r="B116" s="848">
        <f>ROUND(0.949-0.012*B113,4)</f>
        <v>0.90739999999999998</v>
      </c>
      <c r="C116" s="848">
        <f>B116</f>
        <v>0.90739999999999998</v>
      </c>
      <c r="D116" s="848">
        <f>ROUND(0.8567-0.013*B113,4)</f>
        <v>0.81159999999999999</v>
      </c>
      <c r="E116" s="848">
        <f t="shared" ref="E116:H117" si="34">D116</f>
        <v>0.81159999999999999</v>
      </c>
      <c r="F116" s="848">
        <f t="shared" si="34"/>
        <v>0.81159999999999999</v>
      </c>
      <c r="G116" s="848">
        <f t="shared" si="34"/>
        <v>0.81159999999999999</v>
      </c>
      <c r="H116" s="848">
        <f t="shared" si="34"/>
        <v>0.81159999999999999</v>
      </c>
      <c r="I116" s="848">
        <f>ROUND(0.7694-0.014*B113,4)</f>
        <v>0.7208</v>
      </c>
      <c r="J116" s="848">
        <f t="shared" si="33"/>
        <v>0.7208</v>
      </c>
      <c r="K116" s="848">
        <f t="shared" si="33"/>
        <v>0.7208</v>
      </c>
      <c r="L116" s="848">
        <f t="shared" si="33"/>
        <v>0.7208</v>
      </c>
      <c r="M116" s="849">
        <f t="shared" si="33"/>
        <v>0.7208</v>
      </c>
    </row>
    <row r="117" spans="1:13">
      <c r="A117" s="847" t="s">
        <v>2703</v>
      </c>
      <c r="B117" s="848">
        <f>ROUND(0.8808-0.006*B113,4)</f>
        <v>0.86</v>
      </c>
      <c r="C117" s="848">
        <f>B117</f>
        <v>0.86</v>
      </c>
      <c r="D117" s="848">
        <f>ROUND(0.8748-0.008*B113,4)</f>
        <v>0.84699999999999998</v>
      </c>
      <c r="E117" s="848">
        <f t="shared" si="34"/>
        <v>0.84699999999999998</v>
      </c>
      <c r="F117" s="848">
        <f t="shared" si="34"/>
        <v>0.84699999999999998</v>
      </c>
      <c r="G117" s="848">
        <f t="shared" si="34"/>
        <v>0.84699999999999998</v>
      </c>
      <c r="H117" s="848">
        <f t="shared" si="34"/>
        <v>0.84699999999999998</v>
      </c>
      <c r="I117" s="848">
        <f>ROUND(0.7412-0.0095*B113,4)</f>
        <v>0.70820000000000005</v>
      </c>
      <c r="J117" s="848">
        <f t="shared" si="33"/>
        <v>0.70820000000000005</v>
      </c>
      <c r="K117" s="848">
        <f t="shared" si="33"/>
        <v>0.70820000000000005</v>
      </c>
      <c r="L117" s="848">
        <f t="shared" si="33"/>
        <v>0.70820000000000005</v>
      </c>
      <c r="M117" s="849">
        <f t="shared" si="33"/>
        <v>0.70820000000000005</v>
      </c>
    </row>
    <row r="118" spans="1:13" ht="13.5" thickBot="1">
      <c r="A118" s="669" t="s">
        <v>2704</v>
      </c>
      <c r="B118" s="850">
        <f>ROUND(0.7275-0.01*B113,4)</f>
        <v>0.69279999999999997</v>
      </c>
      <c r="C118" s="850">
        <f>B118</f>
        <v>0.69279999999999997</v>
      </c>
      <c r="D118" s="850">
        <f>ROUND(0.7043-0.012*B113,4)</f>
        <v>0.66269999999999996</v>
      </c>
      <c r="E118" s="850">
        <f>D118</f>
        <v>0.66269999999999996</v>
      </c>
      <c r="F118" s="850">
        <f>E118</f>
        <v>0.66269999999999996</v>
      </c>
      <c r="G118" s="850">
        <f>ROUND(0.6299-0.0122*B113,4)</f>
        <v>0.58760000000000001</v>
      </c>
      <c r="H118" s="850">
        <f>G118</f>
        <v>0.58760000000000001</v>
      </c>
      <c r="I118" s="850">
        <f>ROUND(0.5667-0.0136*B113,4)</f>
        <v>0.51949999999999996</v>
      </c>
      <c r="J118" s="850">
        <f t="shared" si="33"/>
        <v>0.51949999999999996</v>
      </c>
      <c r="K118" s="850">
        <f t="shared" si="33"/>
        <v>0.51949999999999996</v>
      </c>
      <c r="L118" s="850">
        <f t="shared" si="33"/>
        <v>0.51949999999999996</v>
      </c>
      <c r="M118" s="851">
        <f t="shared" si="33"/>
        <v>0.51949999999999996</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24" sqref="G2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735.72</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f ca="1">C26</f>
        <v>2530</v>
      </c>
      <c r="C2" s="2186" t="s">
        <v>2635</v>
      </c>
      <c r="D2" s="2187" t="s">
        <v>2636</v>
      </c>
      <c r="E2" s="2188" t="s">
        <v>27</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Ⅱ—14</v>
      </c>
      <c r="J2" s="2190"/>
      <c r="K2" s="1279"/>
      <c r="L2" s="2191" t="s">
        <v>2639</v>
      </c>
      <c r="M2" s="994">
        <f>SUMPRODUCT((区片价!B10:B28=I2)*(区片价!C3:F3=E2)*(区片价!C10:F28))</f>
        <v>27290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f ca="1">ROUND($C$5*$C$18*$C$19*$C$20*S2*$C$24,0)</f>
        <v>66411</v>
      </c>
      <c r="U2" s="1374"/>
      <c r="V2" s="1373">
        <f ca="1">ROUND(T2*U2/10000,0)</f>
        <v>0</v>
      </c>
      <c r="W2" s="1377"/>
      <c r="X2" s="1377"/>
      <c r="Y2" s="1377"/>
      <c r="Z2" s="1377"/>
      <c r="AA2" s="1377"/>
      <c r="AB2" s="1377"/>
      <c r="AC2" s="1378"/>
      <c r="AD2" s="1379"/>
      <c r="AE2" s="1379"/>
      <c r="AF2" s="1379"/>
      <c r="AG2" s="1379"/>
      <c r="AH2" s="1379"/>
      <c r="AI2" s="1379"/>
      <c r="AJ2" s="1380"/>
    </row>
    <row r="3" spans="1:36" ht="25.5">
      <c r="A3" s="208" t="s">
        <v>2640</v>
      </c>
      <c r="B3" s="209">
        <f ca="1">ROUND(B2*10000/D1,0)</f>
        <v>34388</v>
      </c>
      <c r="C3" s="2186" t="s">
        <v>2641</v>
      </c>
      <c r="D3" s="2187" t="s">
        <v>2642</v>
      </c>
      <c r="E3" s="2192" t="s">
        <v>3078</v>
      </c>
      <c r="F3" s="2193" t="s">
        <v>2643</v>
      </c>
      <c r="G3" s="854">
        <f>IF(F3="宗地容积率",'数据-汇总表'!I4,IF(F3="估价对象容积率",'数据-汇总表'!I6,'数据-汇总表'!I7))</f>
        <v>3.47</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48699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298"/>
      <c r="B4" s="3299"/>
      <c r="C4" s="3299"/>
      <c r="D4" s="3300"/>
      <c r="E4" s="3300"/>
      <c r="F4" s="3300"/>
      <c r="G4" s="3300"/>
      <c r="H4" s="3300"/>
      <c r="I4" s="3300"/>
      <c r="J4" s="3301"/>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39767</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27259</v>
      </c>
      <c r="D5" s="1524">
        <f>ROUND(C6+C16,0)</f>
        <v>27259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33003</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27290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28870</v>
      </c>
      <c r="U6" s="1374"/>
      <c r="V6" s="1373">
        <f t="shared" ca="1" si="1"/>
        <v>0</v>
      </c>
      <c r="W6" s="1377"/>
      <c r="X6" s="1377"/>
      <c r="Y6" s="1377"/>
      <c r="Z6" s="1377"/>
      <c r="AA6" s="1377"/>
      <c r="AB6" s="1377"/>
      <c r="AC6" s="2200"/>
      <c r="AD6" s="2201"/>
      <c r="AE6" s="2201"/>
      <c r="AF6" s="2201"/>
      <c r="AG6" s="2201"/>
      <c r="AH6" s="2201"/>
      <c r="AI6" s="2201"/>
      <c r="AJ6" s="2202"/>
    </row>
    <row r="7" spans="1:36" ht="24">
      <c r="A7" s="3283" t="str">
        <f>IF(E2="商业",IF(C8="不临58条商业街","",2),"")</f>
        <v/>
      </c>
      <c r="B7" s="2210"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26095</v>
      </c>
      <c r="U7" s="1374"/>
      <c r="V7" s="1373">
        <f t="shared" ca="1" si="1"/>
        <v>0</v>
      </c>
      <c r="W7" s="1543" t="s">
        <v>2657</v>
      </c>
      <c r="X7" s="1375" t="str">
        <f>G2</f>
        <v>二级</v>
      </c>
      <c r="Y7" s="1375" t="s">
        <v>2658</v>
      </c>
      <c r="Z7" s="1376">
        <f>G3</f>
        <v>3.47</v>
      </c>
      <c r="AA7" s="1377"/>
      <c r="AB7" s="1377"/>
      <c r="AC7" s="1378"/>
      <c r="AD7" s="1379"/>
      <c r="AE7" s="1379"/>
      <c r="AF7" s="1379"/>
      <c r="AG7" s="1379"/>
      <c r="AH7" s="1379"/>
      <c r="AI7" s="1379"/>
      <c r="AJ7" s="1380"/>
    </row>
    <row r="8" spans="1:36" ht="25.5">
      <c r="A8" s="3302"/>
      <c r="B8" s="174" t="s">
        <v>2659</v>
      </c>
      <c r="C8" s="2215" t="s">
        <v>3084</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303" t="s">
        <v>2662</v>
      </c>
      <c r="X8" s="3304"/>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02"/>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05"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2"/>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0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2"/>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05" t="s">
        <v>2686</v>
      </c>
      <c r="X11" s="1385" t="s">
        <v>2687</v>
      </c>
      <c r="Y11" s="1386">
        <f>$G$3</f>
        <v>3.47</v>
      </c>
      <c r="Z11" s="1386">
        <f t="shared" ref="Z11:AJ11" si="3">$G$3</f>
        <v>3.47</v>
      </c>
      <c r="AA11" s="1386">
        <f t="shared" si="3"/>
        <v>3.47</v>
      </c>
      <c r="AB11" s="1386">
        <f t="shared" si="3"/>
        <v>3.47</v>
      </c>
      <c r="AC11" s="1386">
        <f t="shared" si="3"/>
        <v>3.47</v>
      </c>
      <c r="AD11" s="1386">
        <f t="shared" si="3"/>
        <v>3.47</v>
      </c>
      <c r="AE11" s="1386">
        <f t="shared" si="3"/>
        <v>3.47</v>
      </c>
      <c r="AF11" s="1386">
        <f t="shared" si="3"/>
        <v>3.47</v>
      </c>
      <c r="AG11" s="1386">
        <f t="shared" si="3"/>
        <v>3.47</v>
      </c>
      <c r="AH11" s="1386">
        <f t="shared" si="3"/>
        <v>3.47</v>
      </c>
      <c r="AI11" s="1386">
        <f t="shared" si="3"/>
        <v>3.47</v>
      </c>
      <c r="AJ11" s="1386">
        <f t="shared" si="3"/>
        <v>3.47</v>
      </c>
    </row>
    <row r="12" spans="1:36" ht="25.5" thickBot="1">
      <c r="A12" s="3283"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05"/>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6"/>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f t="shared" ca="1" si="0"/>
        <v>0</v>
      </c>
      <c r="U13" s="1374"/>
      <c r="V13" s="1373">
        <f t="shared" ca="1" si="1"/>
        <v>0</v>
      </c>
      <c r="W13" s="3305"/>
      <c r="X13" s="1387"/>
      <c r="Y13" s="1384">
        <f>(-0.163*(Y12^2)-0.59*Y12+7617)*(10^(-4))/Y11</f>
        <v>0.2195100864553314</v>
      </c>
      <c r="Z13" s="1384">
        <f t="shared" ref="Z13:AJ13" si="5">(-0.163*(Z12^2)-0.59*Z12+7617)*(10^(-4))/Z11</f>
        <v>0.2195100864553314</v>
      </c>
      <c r="AA13" s="1384">
        <f t="shared" si="5"/>
        <v>0.2195100864553314</v>
      </c>
      <c r="AB13" s="1384">
        <f t="shared" si="5"/>
        <v>0.2195100864553314</v>
      </c>
      <c r="AC13" s="1384">
        <f t="shared" si="5"/>
        <v>0.2195100864553314</v>
      </c>
      <c r="AD13" s="1384">
        <f t="shared" si="5"/>
        <v>0.2195100864553314</v>
      </c>
      <c r="AE13" s="1384">
        <f t="shared" si="5"/>
        <v>0.2195100864553314</v>
      </c>
      <c r="AF13" s="1384">
        <f t="shared" si="5"/>
        <v>0.2195100864553314</v>
      </c>
      <c r="AG13" s="1384">
        <f t="shared" si="5"/>
        <v>0.2195100864553314</v>
      </c>
      <c r="AH13" s="1384">
        <f t="shared" si="5"/>
        <v>0.2195100864553314</v>
      </c>
      <c r="AI13" s="1384">
        <f t="shared" si="5"/>
        <v>0.2195100864553314</v>
      </c>
      <c r="AJ13" s="1384">
        <f t="shared" si="5"/>
        <v>0.2195100864553314</v>
      </c>
    </row>
    <row r="14" spans="1:36" ht="15">
      <c r="A14" s="3306"/>
      <c r="B14" s="2233"/>
      <c r="C14" s="2234"/>
      <c r="D14" s="2235"/>
      <c r="E14" s="2235"/>
      <c r="F14" s="2236"/>
      <c r="G14" s="2237" t="s">
        <v>2699</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7"/>
      <c r="AE14" s="3017"/>
      <c r="AF14" s="3017"/>
      <c r="AG14" s="3017"/>
      <c r="AH14" s="3017"/>
      <c r="AI14" s="3017"/>
      <c r="AJ14" s="3018"/>
    </row>
    <row r="15" spans="1:36" ht="15.75" thickBot="1">
      <c r="A15" s="3307"/>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7"/>
      <c r="AE15" s="3017"/>
      <c r="AF15" s="3017"/>
      <c r="AG15" s="3017"/>
      <c r="AH15" s="3017"/>
      <c r="AI15" s="3017"/>
      <c r="AJ15" s="3018"/>
    </row>
    <row r="16" spans="1:36" ht="24.6" customHeight="1">
      <c r="A16" s="3283" t="s">
        <v>2705</v>
      </c>
      <c r="B16" s="2210" t="s">
        <v>2706</v>
      </c>
      <c r="C16" s="2372">
        <f>ROUND(IF(F17="与级别开发程度一致",0,(G17-E17)/C17),0)</f>
        <v>-31</v>
      </c>
      <c r="D16" s="3285" t="s">
        <v>2710</v>
      </c>
      <c r="E16" s="3286"/>
      <c r="F16" s="3285" t="s">
        <v>2707</v>
      </c>
      <c r="G16" s="3286"/>
      <c r="H16" s="2242" t="s">
        <v>3085</v>
      </c>
      <c r="I16" s="2242" t="s">
        <v>3086</v>
      </c>
      <c r="J16" s="2376" t="s">
        <v>3087</v>
      </c>
      <c r="K16" s="2242" t="s">
        <v>3088</v>
      </c>
      <c r="L16" s="2242" t="s">
        <v>3089</v>
      </c>
      <c r="M16" s="2242" t="s">
        <v>3090</v>
      </c>
      <c r="N16" s="2242" t="s">
        <v>70</v>
      </c>
      <c r="O16" s="2243" t="s">
        <v>70</v>
      </c>
      <c r="P16" s="2184"/>
      <c r="Q16" s="1279"/>
      <c r="R16" s="1373">
        <v>15</v>
      </c>
      <c r="S16" s="1374"/>
      <c r="T16" s="1373">
        <f t="shared" ca="1" si="0"/>
        <v>0</v>
      </c>
      <c r="U16" s="1374"/>
      <c r="V16" s="1373">
        <f t="shared" ca="1" si="1"/>
        <v>0</v>
      </c>
      <c r="W16" s="1377"/>
      <c r="X16" s="1377"/>
      <c r="Y16" s="1377"/>
      <c r="Z16" s="1377"/>
      <c r="AA16" s="1377"/>
      <c r="AB16" s="1377"/>
      <c r="AC16" s="1378"/>
      <c r="AD16" s="3017"/>
      <c r="AE16" s="3017"/>
      <c r="AF16" s="3017"/>
      <c r="AG16" s="3017"/>
      <c r="AH16" s="3017"/>
      <c r="AI16" s="3017"/>
      <c r="AJ16" s="3018"/>
    </row>
    <row r="17" spans="1:37" ht="26.25" thickBot="1">
      <c r="A17" s="3284"/>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3091</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3092</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f ca="1">ROUND(POWER(1+G20,J20-I20)*(POWER(1+G20,I20)-1)/(POWER(1+G20,J20)-1),4)</f>
        <v>0.88539999999999996</v>
      </c>
      <c r="D20" s="2259" t="s">
        <v>2719</v>
      </c>
      <c r="E20" s="1506">
        <f ca="1">存贷款利率!D4/100</f>
        <v>4.3499999999999997E-2</v>
      </c>
      <c r="F20" s="2259" t="s">
        <v>2711</v>
      </c>
      <c r="G20" s="872">
        <f ca="1">SUMIF(M26:P26,E2,M28:P28)</f>
        <v>5.1999999999999998E-2</v>
      </c>
      <c r="H20" s="2259" t="s">
        <v>2720</v>
      </c>
      <c r="I20" s="873">
        <f>SUMIF('数据-取费表'!C6:C15,E2,'数据-取费表'!F6:F15)/COUNTIF('数据-取费表'!C6:C15,E2)</f>
        <v>33.31</v>
      </c>
      <c r="J20" s="874">
        <f>IF(E2="住宅",70,IF(E2="商业",40,50))</f>
        <v>50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3096</v>
      </c>
      <c r="C21" s="875">
        <f>IF(B21="容积率修正",IF(G3&lt;=10,D22,J22),C23)</f>
        <v>1.0024999999999999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1537" t="s">
        <v>2729</v>
      </c>
      <c r="D22" s="1537">
        <f>IF(E22=G22,F22,IF(G3&lt;=10,ROUND(F22+(H22-F22)*(G3-E22)/(G22-E22),4),"——"))</f>
        <v>1.0024999999999999</v>
      </c>
      <c r="E22" s="854">
        <f>ROUNDDOWN(G3,1)</f>
        <v>3.4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1.0082</v>
      </c>
      <c r="G22" s="854">
        <f>ROUNDUP(G3,1)</f>
        <v>3.5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1.0548999999999999</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f ca="1">IF(B21="容积率修正",E29+SUM(E33:E39),SUM(V2:V16)+SUM(E33:E39))</f>
        <v>2530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f ca="1">E30+SUM(I33:I39)</f>
        <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f ca="1">ROUND(C5*C18*C19*C20*C21*C24,0)</f>
        <v>34386</v>
      </c>
      <c r="D29" s="2297">
        <f>'数据-汇总表'!F19</f>
        <v>735.72</v>
      </c>
      <c r="E29" s="878">
        <f ca="1">ROUND(C29*D29/10000,0)</f>
        <v>2530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f ca="1">ROUND(IF(E2="工业",C29*M39,C29*M38),0)</f>
        <v>8597</v>
      </c>
      <c r="D30" s="2303"/>
      <c r="E30" s="878">
        <f ca="1">ROUND(C30*D30/10000,0)</f>
        <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87"/>
      <c r="B33" s="2313" t="s">
        <v>2752</v>
      </c>
      <c r="C33" s="179">
        <f ca="1">ROUND(D5*C19*C20*C24*F33,0)</f>
        <v>27440</v>
      </c>
      <c r="D33" s="2297"/>
      <c r="E33" s="175">
        <f ca="1">ROUND(C33*D33/10000,0)</f>
        <v>0</v>
      </c>
      <c r="F33" s="175">
        <f>SUMIF(修正!A45:A56,G2,修正!B45:B56)</f>
        <v>0.8</v>
      </c>
      <c r="G33" s="175">
        <f t="shared" ref="G33" ca="1" si="6">ROUND(IF(E2="工业",C33*$M$39,C33*$M$38),0)</f>
        <v>6860</v>
      </c>
      <c r="H33" s="175">
        <f>D33</f>
        <v>0</v>
      </c>
      <c r="I33" s="175">
        <f ca="1">ROUND(G33*H33/10000,0)</f>
        <v>0</v>
      </c>
      <c r="J33" s="3290"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88"/>
      <c r="B34" s="2230" t="s">
        <v>2753</v>
      </c>
      <c r="C34" s="179">
        <f ca="1">ROUND(D5*C19*C20*C24*F34,0)</f>
        <v>17150</v>
      </c>
      <c r="D34" s="2297"/>
      <c r="E34" s="175">
        <f t="shared" ref="E34:E39" ca="1" si="7">ROUND(C34*D34/10000,0)</f>
        <v>0</v>
      </c>
      <c r="F34" s="175">
        <f>SUMIF(修正!A45:A56,G2,修正!C45:C56)</f>
        <v>0.5</v>
      </c>
      <c r="G34" s="175">
        <f ca="1">ROUND(IF(E2="工业",C34*$M$39,C34*$M$38),0)</f>
        <v>4288</v>
      </c>
      <c r="H34" s="175">
        <f t="shared" ref="H34:H39" si="8">D34</f>
        <v>0</v>
      </c>
      <c r="I34" s="175">
        <f t="shared" ref="I34:I39" ca="1" si="9">ROUND(G34*H34/10000,0)</f>
        <v>0</v>
      </c>
      <c r="J34" s="328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88"/>
      <c r="B35" s="2230" t="s">
        <v>2754</v>
      </c>
      <c r="C35" s="179">
        <f ca="1">ROUND(D5*C19*C20*C24*F35,0)</f>
        <v>12348</v>
      </c>
      <c r="D35" s="2297"/>
      <c r="E35" s="175">
        <f t="shared" ca="1" si="7"/>
        <v>0</v>
      </c>
      <c r="F35" s="175">
        <f>SUMIF(修正!A45:A56,G2,修正!D45:D56)</f>
        <v>0.36</v>
      </c>
      <c r="G35" s="175">
        <f ca="1">ROUND(IF(E2="工业",C35*$M$39,C35*$M$38),0)</f>
        <v>3087</v>
      </c>
      <c r="H35" s="175">
        <f t="shared" si="8"/>
        <v>0</v>
      </c>
      <c r="I35" s="175">
        <f t="shared" ca="1" si="9"/>
        <v>0</v>
      </c>
      <c r="J35" s="328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89"/>
      <c r="B36" s="2230" t="s">
        <v>2755</v>
      </c>
      <c r="C36" s="179">
        <f ca="1">ROUND(D5*C19*C20*C24*F36,0)</f>
        <v>10290</v>
      </c>
      <c r="D36" s="2297"/>
      <c r="E36" s="175">
        <f t="shared" ca="1" si="7"/>
        <v>0</v>
      </c>
      <c r="F36" s="175">
        <f>SUMIF(修正!A45:A56,G2,修正!E45:E56)</f>
        <v>0.3</v>
      </c>
      <c r="G36" s="175">
        <f ca="1">ROUND(IF(E2="工业",C36*$M$39,C36*$M$38),0)</f>
        <v>2573</v>
      </c>
      <c r="H36" s="175">
        <f t="shared" si="8"/>
        <v>0</v>
      </c>
      <c r="I36" s="175">
        <f t="shared" ca="1" si="9"/>
        <v>0</v>
      </c>
      <c r="J36" s="3289"/>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f ca="1">ROUND(D5*C19*C20*C24*F37,0)</f>
        <v>10290</v>
      </c>
      <c r="D37" s="2297"/>
      <c r="E37" s="175">
        <f t="shared" ca="1" si="7"/>
        <v>0</v>
      </c>
      <c r="F37" s="179">
        <f>SUMIF(修正!A45:A56,G2,修正!F45:F56)</f>
        <v>0.3</v>
      </c>
      <c r="G37" s="175">
        <f ca="1">ROUND(IF(E2="工业",C37*$M$39,C37*$M$38),0)</f>
        <v>2573</v>
      </c>
      <c r="H37" s="175">
        <f t="shared" si="8"/>
        <v>0</v>
      </c>
      <c r="I37" s="175">
        <f t="shared" ca="1" si="9"/>
        <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2862</v>
      </c>
      <c r="C41" s="347">
        <f ca="1">ROUND(POWER(1+E41,H41-G41)*(POWER(1+E41,G41)-1)/(POWER(1+E41,H41)-1),4)</f>
        <v>0</v>
      </c>
      <c r="D41" s="175" t="s">
        <v>2711</v>
      </c>
      <c r="E41" s="2370">
        <f ca="1">G20</f>
        <v>5.1999999999999998E-2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hidden="1">
      <c r="A48" s="2330" t="s">
        <v>2771</v>
      </c>
      <c r="B48" s="2333" t="str">
        <f>估价对象房地状况!C4</f>
        <v>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hidden="1">
      <c r="A49" s="2330" t="s">
        <v>2772</v>
      </c>
      <c r="B49" s="2334" t="str">
        <f>估价对象房地状况!C18</f>
        <v>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2773</v>
      </c>
      <c r="B50" s="2334" t="str">
        <f>估价对象房地状况!C19</f>
        <v>较好</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hidden="1">
      <c r="A54" s="2337" t="s">
        <v>2779</v>
      </c>
      <c r="B54" s="1495" t="str">
        <f>估价对象房地状况!C21</f>
        <v>好</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hidden="1">
      <c r="A55" s="2337" t="s">
        <v>2780</v>
      </c>
      <c r="B55" s="2334" t="str">
        <f>估价对象房地状况!C22</f>
        <v>七通</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hidden="1" thickBot="1">
      <c r="A56" s="2338" t="s">
        <v>2781</v>
      </c>
      <c r="B56" s="2339" t="str">
        <f>估价对象房地状况!C20</f>
        <v>较好</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1.0548999999999999</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t="s">
        <v>3093</v>
      </c>
      <c r="D59" s="1195">
        <f t="shared" ref="D59:D67" si="15">SUMIF($J$58:$N$58,C59,J59:N59)</f>
        <v>1.17E-2</v>
      </c>
      <c r="E59" s="759">
        <f>ROUND(SUM(D59:D67),4)</f>
        <v>5.4899999999999997E-2</v>
      </c>
      <c r="F59" s="2001">
        <f>IF(E2="办公",SUMIF(L1:L12,G2,N1:N12),"——")</f>
        <v>9.8000000000000004E-2</v>
      </c>
      <c r="G59" s="1193">
        <v>1.17E-2</v>
      </c>
      <c r="H59" s="1197">
        <f t="shared" ref="H59:H67" si="16">IFERROR(ROUNDDOWN($F$59*I59/2,4),"——")</f>
        <v>1.17E-2</v>
      </c>
      <c r="I59" s="758">
        <v>0.24</v>
      </c>
      <c r="J59" s="1194">
        <f t="shared" ref="J59:J67" si="17">K59+$G59</f>
        <v>2.3400000000000001E-2</v>
      </c>
      <c r="K59" s="1194">
        <f t="shared" ref="K59:K67" si="18">$L59+$G59</f>
        <v>1.17E-2</v>
      </c>
      <c r="L59" s="1194">
        <v>0</v>
      </c>
      <c r="M59" s="1194">
        <f t="shared" ref="M59:N67" si="19">L59-$G59</f>
        <v>-1.17E-2</v>
      </c>
      <c r="N59" s="1194">
        <f t="shared" si="19"/>
        <v>-2.3400000000000001E-2</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t="s">
        <v>3093</v>
      </c>
      <c r="D60" s="1195">
        <f t="shared" si="15"/>
        <v>1.47E-2</v>
      </c>
      <c r="E60" s="760"/>
      <c r="F60" s="2001"/>
      <c r="G60" s="1193">
        <v>1.47E-2</v>
      </c>
      <c r="H60" s="1197">
        <f t="shared" si="16"/>
        <v>1.47E-2</v>
      </c>
      <c r="I60" s="758">
        <v>0.3</v>
      </c>
      <c r="J60" s="1194">
        <f t="shared" si="17"/>
        <v>2.9399999999999999E-2</v>
      </c>
      <c r="K60" s="1194">
        <f t="shared" si="18"/>
        <v>1.47E-2</v>
      </c>
      <c r="L60" s="1194">
        <v>0</v>
      </c>
      <c r="M60" s="1194">
        <f t="shared" si="19"/>
        <v>-1.47E-2</v>
      </c>
      <c r="N60" s="1194">
        <f t="shared" si="19"/>
        <v>-2.9399999999999999E-2</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t="s">
        <v>3093</v>
      </c>
      <c r="D61" s="1195">
        <f t="shared" si="15"/>
        <v>3.8999999999999998E-3</v>
      </c>
      <c r="E61" s="760"/>
      <c r="F61" s="2001"/>
      <c r="G61" s="1193">
        <v>3.8999999999999998E-3</v>
      </c>
      <c r="H61" s="1197">
        <f t="shared" si="16"/>
        <v>3.8999999999999998E-3</v>
      </c>
      <c r="I61" s="758">
        <v>0.08</v>
      </c>
      <c r="J61" s="1194">
        <f t="shared" si="17"/>
        <v>7.7999999999999996E-3</v>
      </c>
      <c r="K61" s="1194">
        <f t="shared" si="18"/>
        <v>3.8999999999999998E-3</v>
      </c>
      <c r="L61" s="1194">
        <v>0</v>
      </c>
      <c r="M61" s="1194">
        <f t="shared" si="19"/>
        <v>-3.8999999999999998E-3</v>
      </c>
      <c r="N61" s="1194">
        <f t="shared" si="19"/>
        <v>-7.7999999999999996E-3</v>
      </c>
      <c r="AA61" s="1280"/>
      <c r="AB61" s="1280"/>
      <c r="AC61" s="1280"/>
      <c r="AD61" s="1280"/>
      <c r="AE61" s="1280"/>
      <c r="AF61" s="1280"/>
      <c r="AG61" s="1280"/>
      <c r="AH61" s="1280"/>
      <c r="AI61" s="1280"/>
      <c r="AJ61" s="1280"/>
      <c r="AK61" s="1280"/>
    </row>
    <row r="62" spans="1:37" s="1279" customFormat="1" ht="36.75">
      <c r="A62" s="2330" t="s">
        <v>2774</v>
      </c>
      <c r="B62" s="2335" t="s">
        <v>2775</v>
      </c>
      <c r="C62" s="2235" t="s">
        <v>3093</v>
      </c>
      <c r="D62" s="1195">
        <f t="shared" si="15"/>
        <v>1.9E-3</v>
      </c>
      <c r="E62" s="760"/>
      <c r="F62" s="2001"/>
      <c r="G62" s="1193">
        <v>1.9E-3</v>
      </c>
      <c r="H62" s="1197">
        <f t="shared" si="16"/>
        <v>1.9E-3</v>
      </c>
      <c r="I62" s="758">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t="s">
        <v>3094</v>
      </c>
      <c r="D63" s="1195">
        <f t="shared" si="15"/>
        <v>0</v>
      </c>
      <c r="E63" s="760"/>
      <c r="F63" s="2001"/>
      <c r="G63" s="1193">
        <v>2.3999999999999998E-3</v>
      </c>
      <c r="H63" s="1197">
        <f t="shared" si="16"/>
        <v>2.3999999999999998E-3</v>
      </c>
      <c r="I63" s="758">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2777</v>
      </c>
      <c r="B64" s="2336" t="s">
        <v>2778</v>
      </c>
      <c r="C64" s="2235" t="s">
        <v>3093</v>
      </c>
      <c r="D64" s="1195">
        <f t="shared" si="15"/>
        <v>2.3999999999999998E-3</v>
      </c>
      <c r="E64" s="760"/>
      <c r="F64" s="2001"/>
      <c r="G64" s="1193">
        <v>2.3999999999999998E-3</v>
      </c>
      <c r="H64" s="1197">
        <f t="shared" si="16"/>
        <v>2.3999999999999998E-3</v>
      </c>
      <c r="I64" s="758">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t="s">
        <v>3093</v>
      </c>
      <c r="D65" s="1195">
        <f t="shared" si="15"/>
        <v>2.8999999999999998E-3</v>
      </c>
      <c r="E65" s="760"/>
      <c r="F65" s="2001"/>
      <c r="G65" s="1193">
        <v>2.8999999999999998E-3</v>
      </c>
      <c r="H65" s="1197">
        <f t="shared" si="16"/>
        <v>2.8999999999999998E-3</v>
      </c>
      <c r="I65" s="758">
        <v>0.06</v>
      </c>
      <c r="J65" s="1194">
        <f t="shared" si="17"/>
        <v>5.7999999999999996E-3</v>
      </c>
      <c r="K65" s="1194">
        <f t="shared" si="18"/>
        <v>2.8999999999999998E-3</v>
      </c>
      <c r="L65" s="1194">
        <v>0</v>
      </c>
      <c r="M65" s="1194">
        <f t="shared" si="19"/>
        <v>-2.8999999999999998E-3</v>
      </c>
      <c r="N65" s="1194">
        <f t="shared" si="19"/>
        <v>-5.7999999999999996E-3</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t="s">
        <v>3095</v>
      </c>
      <c r="D66" s="1195">
        <f t="shared" si="15"/>
        <v>1.1599999999999999E-2</v>
      </c>
      <c r="E66" s="760"/>
      <c r="F66" s="2001"/>
      <c r="G66" s="1193">
        <v>5.7999999999999996E-3</v>
      </c>
      <c r="H66" s="1197">
        <f t="shared" si="16"/>
        <v>5.7999999999999996E-3</v>
      </c>
      <c r="I66" s="758">
        <v>0.12</v>
      </c>
      <c r="J66" s="1194">
        <f t="shared" si="17"/>
        <v>1.1599999999999999E-2</v>
      </c>
      <c r="K66" s="1194">
        <f t="shared" si="18"/>
        <v>5.7999999999999996E-3</v>
      </c>
      <c r="L66" s="1194">
        <v>0</v>
      </c>
      <c r="M66" s="1194">
        <f t="shared" si="19"/>
        <v>-5.7999999999999996E-3</v>
      </c>
      <c r="N66" s="1194">
        <f t="shared" si="19"/>
        <v>-1.1599999999999999E-2</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t="s">
        <v>3095</v>
      </c>
      <c r="D67" s="1195">
        <f t="shared" si="15"/>
        <v>5.7999999999999996E-3</v>
      </c>
      <c r="E67" s="763"/>
      <c r="F67" s="2001"/>
      <c r="G67" s="1193">
        <v>2.8999999999999998E-3</v>
      </c>
      <c r="H67" s="1197">
        <f t="shared" si="16"/>
        <v>2.8999999999999998E-3</v>
      </c>
      <c r="I67" s="762">
        <v>0.06</v>
      </c>
      <c r="J67" s="1194">
        <f t="shared" si="17"/>
        <v>5.7999999999999996E-3</v>
      </c>
      <c r="K67" s="1194">
        <f t="shared" si="18"/>
        <v>2.8999999999999998E-3</v>
      </c>
      <c r="L67" s="1194">
        <v>0</v>
      </c>
      <c r="M67" s="1194">
        <f t="shared" si="19"/>
        <v>-2.8999999999999998E-3</v>
      </c>
      <c r="N67" s="1194">
        <f t="shared" si="19"/>
        <v>-5.7999999999999996E-3</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1" t="s">
        <v>2793</v>
      </c>
      <c r="B90" s="3291"/>
      <c r="C90" s="3291"/>
      <c r="D90" s="3291"/>
      <c r="E90" s="3291"/>
      <c r="F90" s="3291"/>
      <c r="G90" s="3291"/>
      <c r="H90" s="3291"/>
      <c r="I90" s="3291"/>
      <c r="J90" s="3291"/>
      <c r="K90" s="2344"/>
      <c r="L90" s="2344"/>
      <c r="M90" s="2344"/>
      <c r="N90" s="2344"/>
    </row>
    <row r="91" spans="1:37">
      <c r="A91" s="3292" t="s">
        <v>2794</v>
      </c>
      <c r="B91" s="3292" t="s">
        <v>2795</v>
      </c>
      <c r="C91" s="2298" t="s">
        <v>2796</v>
      </c>
      <c r="D91" s="2299"/>
      <c r="E91" s="2299"/>
      <c r="F91" s="2299"/>
      <c r="G91" s="2299"/>
      <c r="H91" s="2299"/>
      <c r="I91" s="2299"/>
      <c r="J91" s="2345"/>
      <c r="K91" s="2346"/>
      <c r="L91" s="2346"/>
      <c r="M91" s="2346"/>
      <c r="N91" s="2346"/>
    </row>
    <row r="92" spans="1:37">
      <c r="A92" s="3292"/>
      <c r="B92" s="3292"/>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29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9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9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9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9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9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9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9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93" t="s">
        <v>2798</v>
      </c>
      <c r="B101" s="2351" t="s">
        <v>2799</v>
      </c>
      <c r="C101" s="2352">
        <f>$G$3</f>
        <v>3.47</v>
      </c>
      <c r="D101" s="2352">
        <f t="shared" ref="D101:N101" si="31">$G$3</f>
        <v>3.47</v>
      </c>
      <c r="E101" s="2352">
        <f t="shared" si="31"/>
        <v>3.47</v>
      </c>
      <c r="F101" s="2352">
        <f t="shared" si="31"/>
        <v>3.47</v>
      </c>
      <c r="G101" s="2352">
        <f t="shared" si="31"/>
        <v>3.47</v>
      </c>
      <c r="H101" s="2352">
        <f t="shared" si="31"/>
        <v>3.47</v>
      </c>
      <c r="I101" s="2352">
        <f t="shared" si="31"/>
        <v>3.47</v>
      </c>
      <c r="J101" s="2352">
        <f t="shared" si="31"/>
        <v>3.47</v>
      </c>
      <c r="K101" s="2352">
        <f t="shared" si="31"/>
        <v>3.47</v>
      </c>
      <c r="L101" s="2352">
        <f t="shared" si="31"/>
        <v>3.47</v>
      </c>
      <c r="M101" s="2352">
        <f t="shared" si="31"/>
        <v>3.47</v>
      </c>
      <c r="N101" s="2352">
        <f t="shared" si="31"/>
        <v>3.47</v>
      </c>
    </row>
    <row r="102" spans="1:14">
      <c r="A102" s="3294"/>
      <c r="B102" s="2347">
        <v>1</v>
      </c>
      <c r="C102" s="2348">
        <f>1.9362/C101</f>
        <v>0.55798270893371749</v>
      </c>
      <c r="D102" s="2348">
        <f>1.9362/D101</f>
        <v>0.55798270893371749</v>
      </c>
      <c r="E102" s="2348">
        <f>1.8629/E101</f>
        <v>0.53685878962536016</v>
      </c>
      <c r="F102" s="2348">
        <f>1.8629/F101</f>
        <v>0.53685878962536016</v>
      </c>
      <c r="G102" s="2348">
        <f>1.8629/G101</f>
        <v>0.53685878962536016</v>
      </c>
      <c r="H102" s="2348">
        <f>1.8629/H101</f>
        <v>0.53685878962536016</v>
      </c>
      <c r="I102" s="2348">
        <f>1.8629/I101</f>
        <v>0.53685878962536016</v>
      </c>
      <c r="J102" s="2348">
        <f>1.942/J101</f>
        <v>0.55965417867435152</v>
      </c>
      <c r="K102" s="2348">
        <f>1.942/K101</f>
        <v>0.55965417867435152</v>
      </c>
      <c r="L102" s="2348">
        <f>1.942/L101</f>
        <v>0.55965417867435152</v>
      </c>
      <c r="M102" s="2348">
        <f>1.942/M101</f>
        <v>0.55965417867435152</v>
      </c>
      <c r="N102" s="2348">
        <f>1.942/N101</f>
        <v>0.55965417867435152</v>
      </c>
    </row>
    <row r="103" spans="1:14">
      <c r="A103" s="3294"/>
      <c r="B103" s="2347">
        <v>2</v>
      </c>
      <c r="C103" s="2348">
        <f>1.4198/C101</f>
        <v>0.40916426512968296</v>
      </c>
      <c r="D103" s="2348">
        <f>1.4198/D101</f>
        <v>0.40916426512968296</v>
      </c>
      <c r="E103" s="2348">
        <f>1.3372/E101</f>
        <v>0.38536023054755042</v>
      </c>
      <c r="F103" s="2348">
        <f>1.3372/F101</f>
        <v>0.38536023054755042</v>
      </c>
      <c r="G103" s="2348">
        <f>1.3372/G101</f>
        <v>0.38536023054755042</v>
      </c>
      <c r="H103" s="2348">
        <f>1.3372/H101</f>
        <v>0.38536023054755042</v>
      </c>
      <c r="I103" s="2348">
        <f>1.3372/I101</f>
        <v>0.38536023054755042</v>
      </c>
      <c r="J103" s="2348">
        <f>1.2799/J101</f>
        <v>0.36884726224783859</v>
      </c>
      <c r="K103" s="2348">
        <f>1.2799/K101</f>
        <v>0.36884726224783859</v>
      </c>
      <c r="L103" s="2348">
        <f>1.2799/L101</f>
        <v>0.36884726224783859</v>
      </c>
      <c r="M103" s="2348">
        <f>1.2799/M101</f>
        <v>0.36884726224783859</v>
      </c>
      <c r="N103" s="2348">
        <f>1.2799/N101</f>
        <v>0.36884726224783859</v>
      </c>
    </row>
    <row r="104" spans="1:14">
      <c r="A104" s="3294"/>
      <c r="B104" s="2347">
        <v>3</v>
      </c>
      <c r="C104" s="2348">
        <f>1.1594/C101</f>
        <v>0.33412103746397692</v>
      </c>
      <c r="D104" s="2348">
        <f>1.1594/D101</f>
        <v>0.33412103746397692</v>
      </c>
      <c r="E104" s="2348">
        <f>1.0788/E101</f>
        <v>0.31089337175792503</v>
      </c>
      <c r="F104" s="2348">
        <f>1.0788/F101</f>
        <v>0.31089337175792503</v>
      </c>
      <c r="G104" s="2348">
        <f>1.0788/G101</f>
        <v>0.31089337175792503</v>
      </c>
      <c r="H104" s="2348">
        <f>1.0788/H101</f>
        <v>0.31089337175792503</v>
      </c>
      <c r="I104" s="2348">
        <f>1.0788/I101</f>
        <v>0.31089337175792503</v>
      </c>
      <c r="J104" s="2348">
        <f>1.0072/J101</f>
        <v>0.2902593659942363</v>
      </c>
      <c r="K104" s="2348">
        <f>1.0072/K101</f>
        <v>0.2902593659942363</v>
      </c>
      <c r="L104" s="2348">
        <f>1.0072/L101</f>
        <v>0.2902593659942363</v>
      </c>
      <c r="M104" s="2348">
        <f>1.0072/M101</f>
        <v>0.2902593659942363</v>
      </c>
      <c r="N104" s="2348">
        <f>1.0072/N101</f>
        <v>0.2902593659942363</v>
      </c>
    </row>
    <row r="105" spans="1:14">
      <c r="A105" s="3294"/>
      <c r="B105" s="2347">
        <v>4</v>
      </c>
      <c r="C105" s="2348">
        <f>0.9622/C101</f>
        <v>0.27729106628242073</v>
      </c>
      <c r="D105" s="2348">
        <f>0.9622/D101</f>
        <v>0.27729106628242073</v>
      </c>
      <c r="E105" s="2348">
        <f>0.8656/E101</f>
        <v>0.24945244956772333</v>
      </c>
      <c r="F105" s="2348">
        <f>0.8656/F101</f>
        <v>0.24945244956772333</v>
      </c>
      <c r="G105" s="2348">
        <f>0.8656/G101</f>
        <v>0.24945244956772333</v>
      </c>
      <c r="H105" s="2348">
        <f>0.8656/H101</f>
        <v>0.24945244956772333</v>
      </c>
      <c r="I105" s="2348">
        <f>0.8656/I101</f>
        <v>0.24945244956772333</v>
      </c>
      <c r="J105" s="2348">
        <f>0.7525/J101</f>
        <v>0.2168587896253602</v>
      </c>
      <c r="K105" s="2348">
        <f>0.7525/K101</f>
        <v>0.2168587896253602</v>
      </c>
      <c r="L105" s="2348">
        <f>0.7525/L101</f>
        <v>0.2168587896253602</v>
      </c>
      <c r="M105" s="2348">
        <f>0.7525/M101</f>
        <v>0.2168587896253602</v>
      </c>
      <c r="N105" s="2348">
        <f>0.7525/N101</f>
        <v>0.2168587896253602</v>
      </c>
    </row>
    <row r="106" spans="1:14">
      <c r="A106" s="3294"/>
      <c r="B106" s="2347">
        <v>5</v>
      </c>
      <c r="C106" s="2348">
        <f>0.8417/C101</f>
        <v>0.24256484149855906</v>
      </c>
      <c r="D106" s="2348">
        <f>0.8417/D101</f>
        <v>0.24256484149855906</v>
      </c>
      <c r="E106" s="2348">
        <f>0.7371/E101</f>
        <v>0.21242074927953888</v>
      </c>
      <c r="F106" s="2348">
        <f>0.7371/F101</f>
        <v>0.21242074927953888</v>
      </c>
      <c r="G106" s="2348">
        <f>0.7371/G101</f>
        <v>0.21242074927953888</v>
      </c>
      <c r="H106" s="2348">
        <f>0.7371/H101</f>
        <v>0.21242074927953888</v>
      </c>
      <c r="I106" s="2348">
        <f>0.7371/I101</f>
        <v>0.21242074927953888</v>
      </c>
      <c r="J106" s="2348">
        <f>0.5659/J101</f>
        <v>0.16308357348703167</v>
      </c>
      <c r="K106" s="2348">
        <f>0.5659/K101</f>
        <v>0.16308357348703167</v>
      </c>
      <c r="L106" s="2348">
        <f>0.5659/L101</f>
        <v>0.16308357348703167</v>
      </c>
      <c r="M106" s="2348">
        <f>0.5659/M101</f>
        <v>0.16308357348703167</v>
      </c>
      <c r="N106" s="2348">
        <f>0.5659/N101</f>
        <v>0.16308357348703167</v>
      </c>
    </row>
    <row r="107" spans="1:14">
      <c r="A107" s="3294"/>
      <c r="B107" s="2347">
        <v>6</v>
      </c>
      <c r="C107" s="2348">
        <f>0.7608/C101</f>
        <v>0.21925072046109509</v>
      </c>
      <c r="D107" s="2348">
        <f>0.7608/D101</f>
        <v>0.21925072046109509</v>
      </c>
      <c r="E107" s="2348">
        <f>0.6482/E101</f>
        <v>0.18680115273775216</v>
      </c>
      <c r="F107" s="2348">
        <f>0.6482/F101</f>
        <v>0.18680115273775216</v>
      </c>
      <c r="G107" s="2348">
        <f>0.6482/G101</f>
        <v>0.18680115273775216</v>
      </c>
      <c r="H107" s="2348">
        <f>0.6482/H101</f>
        <v>0.18680115273775216</v>
      </c>
      <c r="I107" s="2348">
        <f>0.6482/I101</f>
        <v>0.18680115273775216</v>
      </c>
      <c r="J107" s="2348">
        <f>0.4525/J101</f>
        <v>0.13040345821325647</v>
      </c>
      <c r="K107" s="2348">
        <f>0.4525/K101</f>
        <v>0.13040345821325647</v>
      </c>
      <c r="L107" s="2348">
        <f>0.4525/L101</f>
        <v>0.13040345821325647</v>
      </c>
      <c r="M107" s="2348">
        <f>0.4525/M101</f>
        <v>0.13040345821325647</v>
      </c>
      <c r="N107" s="2348">
        <f>0.4525/N101</f>
        <v>0.13040345821325647</v>
      </c>
    </row>
    <row r="108" spans="1:14">
      <c r="A108" s="3294"/>
      <c r="B108" s="329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95"/>
      <c r="B109" s="3297"/>
      <c r="C109" s="2350">
        <f>(-0.163*(C108^2)-0.59*C108+7617)*(10^(-4))/C101</f>
        <v>0.2195100864553314</v>
      </c>
      <c r="D109" s="2350">
        <f>(-0.163*(D108^2)-0.59*D108+7617)*(10^(-4))/D101</f>
        <v>0.2195100864553314</v>
      </c>
      <c r="E109" s="2350">
        <f>(-0.161*(E108^2)-7.509*E108+6533)*(10^(-4))/E101</f>
        <v>0.18827089337175792</v>
      </c>
      <c r="F109" s="2350">
        <f>(-0.161*(F108^2)-7.509*F108+6533)*(10^(-4))/F101</f>
        <v>0.18827089337175792</v>
      </c>
      <c r="G109" s="2350">
        <f>(-0.161*(G108^2)-7.509*G108+6533)*(10^(-4))/G101</f>
        <v>0.18827089337175792</v>
      </c>
      <c r="H109" s="2350">
        <f>(-0.161*(H108^2)-7.509*H108+6533)*(10^(-4))/H101</f>
        <v>0.18827089337175792</v>
      </c>
      <c r="I109" s="2350">
        <f>(-0.161*(I108^2)-7.509*I108+6533)*(10^(-4))/I101</f>
        <v>0.18827089337175792</v>
      </c>
      <c r="J109" s="2350">
        <f>(-0.214*(J108^2)-21.991*J108+4665)*(10^(-4))/J101</f>
        <v>0.13443804034582132</v>
      </c>
      <c r="K109" s="2350">
        <f>(-0.214*(K108^2)-21.991*K108+4665)*(10^(-4))/K101</f>
        <v>0.13443804034582132</v>
      </c>
      <c r="L109" s="2350">
        <f>(-0.214*(L108^2)-21.991*L108+4665)*(10^(-4))/L101</f>
        <v>0.13443804034582132</v>
      </c>
      <c r="M109" s="2350">
        <f>(-0.214*(M108^2)-21.991*M108+4665)*(10^(-4))/M101</f>
        <v>0.13443804034582132</v>
      </c>
      <c r="N109" s="2350">
        <f>(-0.214*(N108^2)-21.991*N108+4665)*(10^(-4))/N101</f>
        <v>0.13443804034582132</v>
      </c>
    </row>
    <row r="110" spans="1:14">
      <c r="A110" s="3282" t="s">
        <v>2801</v>
      </c>
      <c r="B110" s="3282"/>
      <c r="C110" s="3282"/>
      <c r="D110" s="3282"/>
      <c r="E110" s="3282"/>
      <c r="F110" s="3282"/>
      <c r="G110" s="3282"/>
      <c r="H110" s="3282"/>
      <c r="I110" s="3282"/>
      <c r="J110" s="3282"/>
      <c r="K110" s="2353"/>
      <c r="L110" s="2353"/>
      <c r="M110" s="2353"/>
      <c r="N110" s="2353"/>
    </row>
    <row r="112" spans="1:14" ht="13.5" thickBot="1"/>
    <row r="113" spans="1:13" ht="25.5" thickBot="1">
      <c r="A113" s="841" t="s">
        <v>2802</v>
      </c>
      <c r="B113" s="1196">
        <f>G3</f>
        <v>3.47</v>
      </c>
      <c r="C113" s="842" t="s">
        <v>2803</v>
      </c>
      <c r="D113" s="843">
        <f>SUMPRODUCT((A115:A118=F113)*(B114:M114=H113)*B115:M118)</f>
        <v>0.90739999999999998</v>
      </c>
      <c r="E113" s="2189" t="s">
        <v>2636</v>
      </c>
      <c r="F113" s="2355" t="str">
        <f>E2</f>
        <v>办公</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0.90090000000000003</v>
      </c>
      <c r="C115" s="848">
        <f>B115</f>
        <v>0.90090000000000003</v>
      </c>
      <c r="D115" s="848">
        <f>ROUND(0.8331-0.0109*B113,4)</f>
        <v>0.79530000000000001</v>
      </c>
      <c r="E115" s="848">
        <f>D115</f>
        <v>0.79530000000000001</v>
      </c>
      <c r="F115" s="848">
        <f>E115</f>
        <v>0.79530000000000001</v>
      </c>
      <c r="G115" s="848">
        <f>F115</f>
        <v>0.79530000000000001</v>
      </c>
      <c r="H115" s="848">
        <f>G115</f>
        <v>0.79530000000000001</v>
      </c>
      <c r="I115" s="848">
        <f>ROUND(0.689-0.0155*B113,4)</f>
        <v>0.63519999999999999</v>
      </c>
      <c r="J115" s="848">
        <f t="shared" ref="J115:M118" si="33">I115</f>
        <v>0.63519999999999999</v>
      </c>
      <c r="K115" s="848">
        <f t="shared" si="33"/>
        <v>0.63519999999999999</v>
      </c>
      <c r="L115" s="848">
        <f t="shared" si="33"/>
        <v>0.63519999999999999</v>
      </c>
      <c r="M115" s="849">
        <f t="shared" si="33"/>
        <v>0.63519999999999999</v>
      </c>
    </row>
    <row r="116" spans="1:13">
      <c r="A116" s="847" t="s">
        <v>2702</v>
      </c>
      <c r="B116" s="848">
        <f>ROUND(0.949-0.012*B113,4)</f>
        <v>0.90739999999999998</v>
      </c>
      <c r="C116" s="848">
        <f>B116</f>
        <v>0.90739999999999998</v>
      </c>
      <c r="D116" s="848">
        <f>ROUND(0.8567-0.013*B113,4)</f>
        <v>0.81159999999999999</v>
      </c>
      <c r="E116" s="848">
        <f t="shared" ref="E116:H117" si="34">D116</f>
        <v>0.81159999999999999</v>
      </c>
      <c r="F116" s="848">
        <f t="shared" si="34"/>
        <v>0.81159999999999999</v>
      </c>
      <c r="G116" s="848">
        <f t="shared" si="34"/>
        <v>0.81159999999999999</v>
      </c>
      <c r="H116" s="848">
        <f t="shared" si="34"/>
        <v>0.81159999999999999</v>
      </c>
      <c r="I116" s="848">
        <f>ROUND(0.7694-0.014*B113,4)</f>
        <v>0.7208</v>
      </c>
      <c r="J116" s="848">
        <f t="shared" si="33"/>
        <v>0.7208</v>
      </c>
      <c r="K116" s="848">
        <f t="shared" si="33"/>
        <v>0.7208</v>
      </c>
      <c r="L116" s="848">
        <f t="shared" si="33"/>
        <v>0.7208</v>
      </c>
      <c r="M116" s="849">
        <f t="shared" si="33"/>
        <v>0.7208</v>
      </c>
    </row>
    <row r="117" spans="1:13">
      <c r="A117" s="847" t="s">
        <v>2703</v>
      </c>
      <c r="B117" s="848">
        <f>ROUND(0.8808-0.006*B113,4)</f>
        <v>0.86</v>
      </c>
      <c r="C117" s="848">
        <f>B117</f>
        <v>0.86</v>
      </c>
      <c r="D117" s="848">
        <f>ROUND(0.8748-0.008*B113,4)</f>
        <v>0.84699999999999998</v>
      </c>
      <c r="E117" s="848">
        <f t="shared" si="34"/>
        <v>0.84699999999999998</v>
      </c>
      <c r="F117" s="848">
        <f t="shared" si="34"/>
        <v>0.84699999999999998</v>
      </c>
      <c r="G117" s="848">
        <f t="shared" si="34"/>
        <v>0.84699999999999998</v>
      </c>
      <c r="H117" s="848">
        <f t="shared" si="34"/>
        <v>0.84699999999999998</v>
      </c>
      <c r="I117" s="848">
        <f>ROUND(0.7412-0.0095*B113,4)</f>
        <v>0.70820000000000005</v>
      </c>
      <c r="J117" s="848">
        <f t="shared" si="33"/>
        <v>0.70820000000000005</v>
      </c>
      <c r="K117" s="848">
        <f t="shared" si="33"/>
        <v>0.70820000000000005</v>
      </c>
      <c r="L117" s="848">
        <f t="shared" si="33"/>
        <v>0.70820000000000005</v>
      </c>
      <c r="M117" s="849">
        <f t="shared" si="33"/>
        <v>0.70820000000000005</v>
      </c>
    </row>
    <row r="118" spans="1:13" ht="13.5" thickBot="1">
      <c r="A118" s="669" t="s">
        <v>2704</v>
      </c>
      <c r="B118" s="850">
        <f>ROUND(0.7275-0.01*B113,4)</f>
        <v>0.69279999999999997</v>
      </c>
      <c r="C118" s="850">
        <f>B118</f>
        <v>0.69279999999999997</v>
      </c>
      <c r="D118" s="850">
        <f>ROUND(0.7043-0.012*B113,4)</f>
        <v>0.66269999999999996</v>
      </c>
      <c r="E118" s="850">
        <f>D118</f>
        <v>0.66269999999999996</v>
      </c>
      <c r="F118" s="850">
        <f>E118</f>
        <v>0.66269999999999996</v>
      </c>
      <c r="G118" s="850">
        <f>ROUND(0.6299-0.0122*B113,4)</f>
        <v>0.58760000000000001</v>
      </c>
      <c r="H118" s="850">
        <f>G118</f>
        <v>0.58760000000000001</v>
      </c>
      <c r="I118" s="850">
        <f>ROUND(0.5667-0.0136*B113,4)</f>
        <v>0.51949999999999996</v>
      </c>
      <c r="J118" s="850">
        <f t="shared" si="33"/>
        <v>0.51949999999999996</v>
      </c>
      <c r="K118" s="850">
        <f t="shared" si="33"/>
        <v>0.51949999999999996</v>
      </c>
      <c r="L118" s="850">
        <f t="shared" si="33"/>
        <v>0.51949999999999996</v>
      </c>
      <c r="M118" s="851">
        <f t="shared" si="33"/>
        <v>0.51949999999999996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90" zoomScaleNormal="70" zoomScaleSheetLayoutView="90" workbookViewId="0">
      <selection activeCell="K20" sqref="K2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c r="C1" s="203"/>
      <c r="D1" s="203"/>
      <c r="E1" s="203"/>
      <c r="F1" s="203"/>
      <c r="G1" s="1287">
        <f>MATCH(B1,'数据-取费表'!A6:A16,0)+5</f>
        <v>8</v>
      </c>
    </row>
    <row r="2" spans="1:9" s="205" customFormat="1" ht="18" customHeight="1">
      <c r="A2" s="206" t="s">
        <v>2149</v>
      </c>
      <c r="B2" s="207" t="e">
        <f ca="1">IF(D2="——",C52,C52-E2)</f>
        <v>#DIV/0!</v>
      </c>
      <c r="C2" s="204" t="s">
        <v>2150</v>
      </c>
      <c r="D2" s="2040" t="s">
        <v>3160</v>
      </c>
      <c r="E2" s="1330" t="e">
        <f ca="1">SUMIF(INDIRECT("'"&amp;G2&amp;"'"&amp;"!A:A"),"承租人权益价值",INDIRECT("'"&amp;G2&amp;"'"&amp;"!c:c"))</f>
        <v>#N/A</v>
      </c>
      <c r="F2" s="2041" t="s">
        <v>2150</v>
      </c>
      <c r="G2" s="2042" t="s">
        <v>3104</v>
      </c>
    </row>
    <row r="3" spans="1:9" s="205" customFormat="1" ht="18" customHeight="1" thickBot="1">
      <c r="A3" s="208" t="s">
        <v>2151</v>
      </c>
      <c r="B3" s="209" t="e">
        <f ca="1">ROUND(B2*10000/(IF(B1="",'数据-汇总表'!E3,INDIRECT("'数据-取费表'!k"&amp;$G$1))),0)</f>
        <v>#DIV/0!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t="e">
        <f ca="1">C6+C7+C8</f>
        <v>#DIV/0!</v>
      </c>
      <c r="D5" s="216" t="s">
        <v>2156</v>
      </c>
      <c r="E5" s="217" t="s">
        <v>2157</v>
      </c>
      <c r="F5" s="217" t="s">
        <v>2158</v>
      </c>
      <c r="G5" s="218"/>
    </row>
    <row r="6" spans="1:9" s="219" customFormat="1" ht="13.5" customHeight="1">
      <c r="A6" s="885" t="s">
        <v>2159</v>
      </c>
      <c r="B6" s="220" t="s">
        <v>2160</v>
      </c>
      <c r="C6" s="221" t="e">
        <f ca="1">'基准地价修正-商业'!B2</f>
        <v>#DIV/0!</v>
      </c>
      <c r="D6" s="222"/>
      <c r="E6" s="223"/>
      <c r="F6" s="223"/>
      <c r="G6" s="224"/>
    </row>
    <row r="7" spans="1:9" s="219" customFormat="1" ht="13.5" customHeight="1">
      <c r="A7" s="885" t="s">
        <v>2161</v>
      </c>
      <c r="B7" s="220" t="s">
        <v>2162</v>
      </c>
      <c r="C7" s="225" t="e">
        <f ca="1">ROUND(C6*F7,0)</f>
        <v>#DIV/0!</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306</v>
      </c>
      <c r="D8" s="227"/>
      <c r="E8" s="225"/>
      <c r="F8" s="226"/>
      <c r="G8" s="2043" t="s">
        <v>3159</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4" t="s">
        <v>3097</v>
      </c>
      <c r="H9" s="1298"/>
      <c r="I9" s="2045" t="s">
        <v>2166</v>
      </c>
    </row>
    <row r="10" spans="1:9" s="219" customFormat="1" ht="13.5" customHeight="1">
      <c r="A10" s="886" t="s">
        <v>801</v>
      </c>
      <c r="B10" s="229" t="s">
        <v>2167</v>
      </c>
      <c r="C10" s="230">
        <f ca="1">ROUND(D10*E10/10000,0)</f>
        <v>306</v>
      </c>
      <c r="D10" s="953">
        <f ca="1">IF(B1="",'数据-汇总表'!E6,IF(INDIRECT("'数据-取费表'!c"&amp;$G$1)="住宅",INDIRECT("'数据-取费表'!s"&amp;$G$1),INDIRECT("'数据-取费表'!k"&amp;$G$1)+INDIRECT("'数据-取费表'!s"&amp;$G$1)))</f>
        <v>15279.68</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15279.68</v>
      </c>
      <c r="E19" s="216">
        <f>'数据-取费表'!B31</f>
        <v>150</v>
      </c>
      <c r="F19" s="236"/>
      <c r="G19" s="2043" t="s">
        <v>3098</v>
      </c>
    </row>
    <row r="20" spans="1:7" s="219" customFormat="1" ht="13.5" customHeight="1">
      <c r="A20" s="260" t="s">
        <v>2180</v>
      </c>
      <c r="B20" s="215" t="s">
        <v>2181</v>
      </c>
      <c r="C20" s="237" t="e">
        <f ca="1">ROUND((C5+C19)*F20,0)</f>
        <v>#DIV/0!</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3" t="e">
        <f ca="1">ROUND(SUM(C23:C25),0)</f>
        <v>#DIV/0!</v>
      </c>
      <c r="D22" s="240">
        <f ca="1">C26</f>
        <v>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t="e">
        <f ca="1">ROUND(IF('数据-取费表'!B22&lt;=1,C5*F22*'数据-取费表'!B23,C5*(POWER((1+F22),'数据-取费表'!B23)-1)),0)</f>
        <v>#DIV/0!</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t="e">
        <f ca="1">ROUND(IF('数据-取费表'!B22&lt;=1,C20*F22*'数据-取费表'!B23/2,C20*(POWER((1+F22),'数据-取费表'!B23/2)-1)),0)</f>
        <v>#DIV/0!</v>
      </c>
      <c r="D25" s="243"/>
      <c r="E25" s="246"/>
      <c r="F25" s="244"/>
      <c r="G25" s="247" t="s">
        <v>2197</v>
      </c>
    </row>
    <row r="26" spans="1:7" s="219" customFormat="1">
      <c r="A26" s="887" t="s">
        <v>795</v>
      </c>
      <c r="B26" s="220" t="s">
        <v>2198</v>
      </c>
      <c r="C26" s="243">
        <f ca="1">ROUND(IF('数据-取费表'!B22&lt;=1,F21*F22*'数据-取费表'!B23/2,F21*(POWER((1+F22),'数据-取费表'!B23/2)-1)),4)</f>
        <v>1E-3</v>
      </c>
      <c r="D26" s="243"/>
      <c r="E26" s="246"/>
      <c r="F26" s="244"/>
      <c r="G26" s="248"/>
    </row>
    <row r="27" spans="1:7" s="219" customFormat="1" ht="24.75">
      <c r="A27" s="260" t="s">
        <v>2199</v>
      </c>
      <c r="B27" s="249" t="s">
        <v>2200</v>
      </c>
      <c r="C27" s="250" t="e">
        <f ca="1">C28</f>
        <v>#DIV/0!</v>
      </c>
      <c r="D27" s="240">
        <f ca="1">C29</f>
        <v>4.0000000000000001E-3</v>
      </c>
      <c r="E27" s="241" t="s">
        <v>2201</v>
      </c>
      <c r="F27" s="251">
        <f ca="1">IF(B1="",'数据-取费表'!Q16,INDIRECT("'数据-取费表'!q"&amp;$G$1))</f>
        <v>0.2</v>
      </c>
      <c r="G27" s="252" t="s">
        <v>2202</v>
      </c>
    </row>
    <row r="28" spans="1:7" s="219" customFormat="1" ht="13.5" customHeight="1">
      <c r="A28" s="887" t="s">
        <v>791</v>
      </c>
      <c r="B28" s="253" t="s">
        <v>2203</v>
      </c>
      <c r="C28" s="254" t="e">
        <f ca="1">ROUND((C5+C19+C20)*F27*'数据-取费表'!B21/'数据-取费表'!B20,0)</f>
        <v>#DIV/0!</v>
      </c>
      <c r="D28" s="240"/>
      <c r="E28" s="241"/>
      <c r="F28" s="251"/>
      <c r="G28" s="252"/>
    </row>
    <row r="29" spans="1:7" s="219" customFormat="1" ht="13.5" customHeight="1">
      <c r="A29" s="887" t="s">
        <v>792</v>
      </c>
      <c r="B29" s="253" t="s">
        <v>2204</v>
      </c>
      <c r="C29" s="243">
        <f ca="1">ROUND(C21*F27*'数据-取费表'!B21/'数据-取费表'!B20,4)</f>
        <v>4.0000000000000001E-3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t="e">
        <f ca="1">ROUND((C5+C19+C20+C22+C27)/(1-C21-D22-D27-C30),0)</f>
        <v>#DIV/0!</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575</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331</v>
      </c>
      <c r="D34" s="222"/>
      <c r="E34" s="225"/>
      <c r="F34" s="262">
        <f ca="1">IF('数据-取费表'!B24=0,1,IF(B1="",'数据-取费表'!N16,INDIRECT("'数据-取费表'!n"&amp;$G$1)))</f>
        <v>1</v>
      </c>
      <c r="G34" s="224" t="s">
        <v>2213</v>
      </c>
    </row>
    <row r="35" spans="1:7" ht="13.5" customHeight="1">
      <c r="A35" s="887" t="s">
        <v>796</v>
      </c>
      <c r="B35" s="220" t="s">
        <v>2214</v>
      </c>
      <c r="C35" s="225">
        <f ca="1">ROUND(C34*F35,0)</f>
        <v>10</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229</v>
      </c>
      <c r="D37" s="222">
        <f ca="1">D19</f>
        <v>15279.68</v>
      </c>
      <c r="E37" s="254">
        <f>'数据-取费表'!B35</f>
        <v>150</v>
      </c>
      <c r="F37" s="264"/>
      <c r="G37" s="266" t="s">
        <v>2219</v>
      </c>
    </row>
    <row r="38" spans="1:7" ht="13.5" customHeight="1">
      <c r="A38" s="887" t="s">
        <v>799</v>
      </c>
      <c r="B38" s="220" t="s">
        <v>2220</v>
      </c>
      <c r="C38" s="225">
        <f ca="1">ROUND(C34*F38,0)</f>
        <v>5</v>
      </c>
      <c r="D38" s="225"/>
      <c r="E38" s="225"/>
      <c r="F38" s="264">
        <f>'数据-取费表'!B36</f>
        <v>1.4999999999999999E-2</v>
      </c>
      <c r="G38" s="224" t="s">
        <v>2215</v>
      </c>
    </row>
    <row r="39" spans="1:7" s="219" customFormat="1" ht="13.5" customHeight="1">
      <c r="A39" s="260" t="s">
        <v>2221</v>
      </c>
      <c r="B39" s="215" t="s">
        <v>2222</v>
      </c>
      <c r="C39" s="237">
        <f ca="1">ROUND(C33*F20,0)</f>
        <v>12</v>
      </c>
      <c r="D39" s="237"/>
      <c r="E39" s="237"/>
      <c r="F39" s="2536">
        <f>F20</f>
        <v>0.02</v>
      </c>
      <c r="G39" s="239" t="s">
        <v>2223</v>
      </c>
    </row>
    <row r="40" spans="1:7" s="219" customFormat="1" ht="13.5" customHeight="1">
      <c r="A40" s="260" t="s">
        <v>2224</v>
      </c>
      <c r="B40" s="215" t="s">
        <v>2225</v>
      </c>
      <c r="C40" s="1496">
        <f>F21</f>
        <v>0.02</v>
      </c>
      <c r="D40" s="241" t="s">
        <v>2226</v>
      </c>
      <c r="E40" s="237"/>
      <c r="F40" s="2536">
        <f>F21</f>
        <v>0.02</v>
      </c>
      <c r="G40" s="239" t="s">
        <v>2227</v>
      </c>
    </row>
    <row r="41" spans="1:7" s="219" customFormat="1" ht="13.5" customHeight="1">
      <c r="A41" s="260" t="s">
        <v>2228</v>
      </c>
      <c r="B41" s="215" t="s">
        <v>2229</v>
      </c>
      <c r="C41" s="237">
        <f ca="1">ROUND(SUM(C42:C43),0)</f>
        <v>28</v>
      </c>
      <c r="D41" s="240">
        <f ca="1">C44</f>
        <v>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27</v>
      </c>
      <c r="D42" s="243"/>
      <c r="E42" s="243"/>
      <c r="F42" s="244"/>
      <c r="G42" s="3308" t="s">
        <v>2231</v>
      </c>
    </row>
    <row r="43" spans="1:7" ht="13.5" customHeight="1">
      <c r="A43" s="887" t="s">
        <v>792</v>
      </c>
      <c r="B43" s="220" t="s">
        <v>2232</v>
      </c>
      <c r="C43" s="243">
        <f ca="1">ROUND(IF('数据-取费表'!B22&lt;=1,C39*F22*'数据-取费表'!B21/2,C39*(POWER((1+F22),'数据-取费表'!B21/2)-1)),0)</f>
        <v>1</v>
      </c>
      <c r="D43" s="243"/>
      <c r="E43" s="243"/>
      <c r="F43" s="244"/>
      <c r="G43" s="3309"/>
    </row>
    <row r="44" spans="1:7" ht="13.5" customHeight="1">
      <c r="A44" s="887" t="s">
        <v>793</v>
      </c>
      <c r="B44" s="220" t="s">
        <v>2233</v>
      </c>
      <c r="C44" s="243">
        <f ca="1">ROUND(IF('数据-取费表'!B22&lt;=1,C40*F22*'数据-取费表'!B21/2,C40*(POWER((1+F22),'数据-取费表'!B21/2)-1)),4)</f>
        <v>1E-3</v>
      </c>
      <c r="D44" s="243"/>
      <c r="E44" s="243"/>
      <c r="F44" s="244"/>
      <c r="G44" s="3310"/>
    </row>
    <row r="45" spans="1:7" s="219" customFormat="1" ht="13.5" customHeight="1">
      <c r="A45" s="260" t="s">
        <v>2234</v>
      </c>
      <c r="B45" s="249" t="s">
        <v>2200</v>
      </c>
      <c r="C45" s="250">
        <f ca="1">C46</f>
        <v>117</v>
      </c>
      <c r="D45" s="240">
        <f ca="1">C47</f>
        <v>4.0000000000000001E-3</v>
      </c>
      <c r="E45" s="241" t="s">
        <v>2226</v>
      </c>
      <c r="F45" s="2538">
        <f ca="1">F27</f>
        <v>0.2</v>
      </c>
      <c r="G45" s="252" t="s">
        <v>2235</v>
      </c>
    </row>
    <row r="46" spans="1:7" s="219" customFormat="1" ht="13.5" customHeight="1">
      <c r="A46" s="887" t="s">
        <v>791</v>
      </c>
      <c r="B46" s="253" t="s">
        <v>2236</v>
      </c>
      <c r="C46" s="254">
        <f ca="1">ROUND((C33+C39)*F27,0)</f>
        <v>117</v>
      </c>
      <c r="D46" s="268"/>
      <c r="E46" s="241"/>
      <c r="F46" s="251"/>
      <c r="G46" s="252"/>
    </row>
    <row r="47" spans="1:7" s="219" customFormat="1" ht="13.5" customHeight="1">
      <c r="A47" s="887" t="s">
        <v>792</v>
      </c>
      <c r="B47" s="253" t="s">
        <v>2237</v>
      </c>
      <c r="C47" s="243">
        <f ca="1">ROUND(C40*F27,4)</f>
        <v>4.0000000000000001E-3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794</v>
      </c>
      <c r="D49" s="237"/>
      <c r="E49" s="237"/>
      <c r="F49" s="269"/>
      <c r="G49" s="239" t="s">
        <v>2241</v>
      </c>
    </row>
    <row r="50" spans="1:7" s="263" customFormat="1" ht="24">
      <c r="A50" s="260" t="s">
        <v>2242</v>
      </c>
      <c r="B50" s="215" t="s">
        <v>2243</v>
      </c>
      <c r="C50" s="237"/>
      <c r="D50" s="237"/>
      <c r="E50" s="237"/>
      <c r="F50" s="269">
        <f>IF('数据-取费表'!B24=0,'数据-取费表'!N16,1)</f>
        <v>0.85</v>
      </c>
      <c r="G50" s="252" t="s">
        <v>2244</v>
      </c>
    </row>
    <row r="51" spans="1:7" ht="16.5" customHeight="1">
      <c r="A51" s="260" t="s">
        <v>2245</v>
      </c>
      <c r="B51" s="215" t="s">
        <v>2246</v>
      </c>
      <c r="C51" s="237">
        <f ca="1">ROUND(C49*F50,0)</f>
        <v>675</v>
      </c>
      <c r="D51" s="237"/>
      <c r="E51" s="237"/>
      <c r="F51" s="269"/>
      <c r="G51" s="239" t="s">
        <v>2247</v>
      </c>
    </row>
    <row r="52" spans="1:7" s="213" customFormat="1" ht="16.5" thickBot="1">
      <c r="A52" s="270" t="s">
        <v>2248</v>
      </c>
      <c r="B52" s="271"/>
      <c r="C52" s="272" t="e">
        <f ca="1">C31+C51</f>
        <v>#DIV/0!</v>
      </c>
      <c r="D52" s="271"/>
      <c r="E52" s="271"/>
      <c r="F52" s="271"/>
      <c r="G52" s="273"/>
    </row>
    <row r="55" spans="1:7" ht="15">
      <c r="B55" s="275" t="s">
        <v>2249</v>
      </c>
      <c r="C55" s="276"/>
    </row>
    <row r="56" spans="1:7">
      <c r="B56" s="278" t="s">
        <v>1478</v>
      </c>
      <c r="C56" s="280" t="e">
        <f ca="1">1-C57</f>
        <v>#DIV/0!</v>
      </c>
    </row>
    <row r="57" spans="1:7">
      <c r="B57" s="278" t="s">
        <v>1479</v>
      </c>
      <c r="C57" s="279"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8</v>
      </c>
      <c r="H1" s="1191" t="str">
        <f>IF(ISERROR(FIND("住宅",B1)),"非住宅","住宅")</f>
        <v>非住宅</v>
      </c>
    </row>
    <row r="2" spans="1:8" s="205" customFormat="1" ht="18" customHeight="1">
      <c r="A2" s="206" t="s">
        <v>2149</v>
      </c>
      <c r="B2" s="207">
        <f ca="1">ROUND(IF(D2="——",C52/10000,C52/10000-E2),0)</f>
        <v>1442</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944</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3055936</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3055936</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3055936</v>
      </c>
      <c r="D10" s="953">
        <f ca="1">IF(B1="",'数据-汇总表'!E6,IF(INDIRECT("'数据-取费表'!c"&amp;$G$1)="住宅",INDIRECT("'数据-取费表'!s"&amp;$G$1),INDIRECT("'数据-取费表'!k"&amp;$G$1)+INDIRECT("'数据-取费表'!s"&amp;$G$1)))</f>
        <v>15279.68</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2291952</v>
      </c>
      <c r="D19" s="957">
        <f ca="1">D9+D10</f>
        <v>15279.68</v>
      </c>
      <c r="E19" s="216">
        <f>'数据-取费表'!B31</f>
        <v>150</v>
      </c>
      <c r="F19" s="236"/>
      <c r="G19" s="2043"/>
    </row>
    <row r="20" spans="1:7" s="219" customFormat="1" ht="13.5" customHeight="1">
      <c r="A20" s="260" t="s">
        <v>2261</v>
      </c>
      <c r="B20" s="215" t="s">
        <v>2262</v>
      </c>
      <c r="C20" s="237">
        <f ca="1">ROUND((C5+C19)*F20,0)</f>
        <v>106958</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8">
        <f ca="1">ROUND(SUM(C23:C25),0)</f>
        <v>525197</v>
      </c>
      <c r="D22" s="240">
        <f ca="1">C26</f>
        <v>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297209</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222907</v>
      </c>
      <c r="D24" s="243"/>
      <c r="E24" s="243"/>
      <c r="F24" s="244"/>
      <c r="G24" s="245" t="s">
        <v>2273</v>
      </c>
    </row>
    <row r="25" spans="1:7" s="219" customFormat="1" ht="24">
      <c r="A25" s="887" t="s">
        <v>2163</v>
      </c>
      <c r="B25" s="220" t="s">
        <v>2274</v>
      </c>
      <c r="C25" s="1289">
        <f ca="1">ROUND(IF('数据-取费表'!B22&lt;=1,C20*F22*'数据-取费表'!B22/2,C20*(POWER((1+F22),'数据-取费表'!B22/2)-1)),0)</f>
        <v>5081</v>
      </c>
      <c r="D25" s="243"/>
      <c r="E25" s="246"/>
      <c r="F25" s="244"/>
      <c r="G25" s="247" t="s">
        <v>2275</v>
      </c>
    </row>
    <row r="26" spans="1:7" s="219" customFormat="1">
      <c r="A26" s="887" t="s">
        <v>795</v>
      </c>
      <c r="B26" s="220" t="s">
        <v>2198</v>
      </c>
      <c r="C26" s="243">
        <f ca="1">ROUND(IF('数据-取费表'!B22&lt;=1,F21*F22*'数据-取费表'!B22/2,F21*(POWER((1+F22),'数据-取费表'!B22/2)-1)),4)</f>
        <v>1E-3</v>
      </c>
      <c r="D26" s="243"/>
      <c r="E26" s="246"/>
      <c r="F26" s="244"/>
      <c r="G26" s="248"/>
    </row>
    <row r="27" spans="1:7" s="219" customFormat="1" ht="24.75">
      <c r="A27" s="260" t="s">
        <v>2199</v>
      </c>
      <c r="B27" s="249" t="s">
        <v>2200</v>
      </c>
      <c r="C27" s="250">
        <f ca="1">C28</f>
        <v>1090969</v>
      </c>
      <c r="D27" s="240">
        <f ca="1">C29</f>
        <v>4.0000000000000001E-3</v>
      </c>
      <c r="E27" s="241" t="s">
        <v>2201</v>
      </c>
      <c r="F27" s="251">
        <f ca="1">IF(B1="",'数据-取费表'!Q16,INDIRECT("'数据-取费表'!q"&amp;$G$1))</f>
        <v>0.2</v>
      </c>
      <c r="G27" s="252" t="s">
        <v>2202</v>
      </c>
    </row>
    <row r="28" spans="1:7" s="219" customFormat="1" ht="13.5" customHeight="1">
      <c r="A28" s="887" t="s">
        <v>791</v>
      </c>
      <c r="B28" s="253" t="s">
        <v>2203</v>
      </c>
      <c r="C28" s="254">
        <f ca="1">ROUND((C5+C19+C20)*F27,0)</f>
        <v>1090969</v>
      </c>
      <c r="D28" s="240"/>
      <c r="E28" s="241"/>
      <c r="F28" s="251"/>
      <c r="G28" s="252"/>
    </row>
    <row r="29" spans="1:7" s="219" customFormat="1" ht="13.5" customHeight="1">
      <c r="A29" s="887" t="s">
        <v>792</v>
      </c>
      <c r="B29" s="253" t="s">
        <v>2204</v>
      </c>
      <c r="C29" s="243">
        <f ca="1">ROUND(C21*F27,4)</f>
        <v>4.0000000000000001E-3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7671707</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5751675</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3310740</v>
      </c>
      <c r="D34" s="222"/>
      <c r="E34" s="225"/>
      <c r="F34" s="262"/>
      <c r="G34" s="224"/>
    </row>
    <row r="35" spans="1:7" ht="13.5" customHeight="1">
      <c r="A35" s="887" t="s">
        <v>796</v>
      </c>
      <c r="B35" s="220" t="s">
        <v>2214</v>
      </c>
      <c r="C35" s="225">
        <f ca="1">ROUND(C34*F35,0)</f>
        <v>99322</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2291952</v>
      </c>
      <c r="D37" s="222">
        <f ca="1">D19</f>
        <v>15279.68</v>
      </c>
      <c r="E37" s="254">
        <f>'数据-取费表'!B35</f>
        <v>150</v>
      </c>
      <c r="F37" s="264"/>
      <c r="G37" s="266"/>
    </row>
    <row r="38" spans="1:7" ht="13.5" customHeight="1">
      <c r="A38" s="887" t="s">
        <v>799</v>
      </c>
      <c r="B38" s="220" t="s">
        <v>2220</v>
      </c>
      <c r="C38" s="225">
        <f ca="1">ROUND(C34*F38,0)</f>
        <v>49661</v>
      </c>
      <c r="D38" s="225"/>
      <c r="E38" s="225"/>
      <c r="F38" s="264">
        <f>'数据-取费表'!B36</f>
        <v>1.4999999999999999E-2</v>
      </c>
      <c r="G38" s="224" t="s">
        <v>2215</v>
      </c>
    </row>
    <row r="39" spans="1:7" s="219" customFormat="1" ht="13.5" customHeight="1">
      <c r="A39" s="260" t="s">
        <v>2221</v>
      </c>
      <c r="B39" s="215" t="s">
        <v>2222</v>
      </c>
      <c r="C39" s="237">
        <f ca="1">ROUND(C33*F20,0)</f>
        <v>115034</v>
      </c>
      <c r="D39" s="237"/>
      <c r="E39" s="237"/>
      <c r="F39" s="2536">
        <f>F20</f>
        <v>0.02</v>
      </c>
      <c r="G39" s="239" t="s">
        <v>2223</v>
      </c>
    </row>
    <row r="40" spans="1:7" s="219" customFormat="1" ht="13.5" customHeight="1">
      <c r="A40" s="260" t="s">
        <v>2224</v>
      </c>
      <c r="B40" s="215" t="s">
        <v>2225</v>
      </c>
      <c r="C40" s="1496">
        <f>F21</f>
        <v>0.02</v>
      </c>
      <c r="D40" s="241" t="s">
        <v>2226</v>
      </c>
      <c r="E40" s="237"/>
      <c r="F40" s="2536">
        <f>F21</f>
        <v>0.02</v>
      </c>
      <c r="G40" s="239" t="s">
        <v>2227</v>
      </c>
    </row>
    <row r="41" spans="1:7" s="219" customFormat="1" ht="13.5" customHeight="1">
      <c r="A41" s="260" t="s">
        <v>2228</v>
      </c>
      <c r="B41" s="215" t="s">
        <v>2229</v>
      </c>
      <c r="C41" s="237">
        <f ca="1">ROUND(SUM(C42:C43),0)</f>
        <v>278669</v>
      </c>
      <c r="D41" s="240">
        <f ca="1">C44</f>
        <v>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273205</v>
      </c>
      <c r="D42" s="243"/>
      <c r="E42" s="243"/>
      <c r="F42" s="244"/>
      <c r="G42" s="3308" t="s">
        <v>2278</v>
      </c>
    </row>
    <row r="43" spans="1:7" ht="13.5" customHeight="1">
      <c r="A43" s="887" t="s">
        <v>792</v>
      </c>
      <c r="B43" s="220" t="s">
        <v>2232</v>
      </c>
      <c r="C43" s="243">
        <f ca="1">ROUND(IF('数据-取费表'!B22&lt;=1,C39*F22*'数据-取费表'!B20/2,C39*(POWER((1+F22),'数据-取费表'!B20/2)-1)),0)</f>
        <v>5464</v>
      </c>
      <c r="D43" s="243"/>
      <c r="E43" s="243"/>
      <c r="F43" s="244"/>
      <c r="G43" s="3309"/>
    </row>
    <row r="44" spans="1:7" ht="13.5" customHeight="1">
      <c r="A44" s="887" t="s">
        <v>793</v>
      </c>
      <c r="B44" s="220" t="s">
        <v>2233</v>
      </c>
      <c r="C44" s="243">
        <f ca="1">ROUND(IF('数据-取费表'!B22&lt;=1,C40*F22*'数据-取费表'!B20/2,C40*(POWER((1+F22),'数据-取费表'!B20/2)-1)),4)</f>
        <v>1E-3</v>
      </c>
      <c r="D44" s="243"/>
      <c r="E44" s="243"/>
      <c r="F44" s="244"/>
      <c r="G44" s="3310"/>
    </row>
    <row r="45" spans="1:7" s="219" customFormat="1" ht="13.5" customHeight="1">
      <c r="A45" s="260" t="s">
        <v>2234</v>
      </c>
      <c r="B45" s="249" t="s">
        <v>2200</v>
      </c>
      <c r="C45" s="250">
        <f ca="1">C46</f>
        <v>1173342</v>
      </c>
      <c r="D45" s="240">
        <f ca="1">C47</f>
        <v>4.0000000000000001E-3</v>
      </c>
      <c r="E45" s="241" t="s">
        <v>2226</v>
      </c>
      <c r="F45" s="2538">
        <f ca="1">F27</f>
        <v>0.2</v>
      </c>
      <c r="G45" s="252" t="s">
        <v>2235</v>
      </c>
    </row>
    <row r="46" spans="1:7" s="219" customFormat="1" ht="13.5" customHeight="1">
      <c r="A46" s="887" t="s">
        <v>791</v>
      </c>
      <c r="B46" s="253" t="s">
        <v>2236</v>
      </c>
      <c r="C46" s="254">
        <f ca="1">ROUND((C33+C39)*F27,0)</f>
        <v>1173342</v>
      </c>
      <c r="D46" s="268"/>
      <c r="E46" s="241"/>
      <c r="F46" s="251"/>
      <c r="G46" s="252"/>
    </row>
    <row r="47" spans="1:7" s="219" customFormat="1" ht="13.5" customHeight="1">
      <c r="A47" s="887" t="s">
        <v>792</v>
      </c>
      <c r="B47" s="253" t="s">
        <v>2237</v>
      </c>
      <c r="C47" s="243">
        <f ca="1">ROUND(C40*F27,4)</f>
        <v>4.0000000000000001E-3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7940458</v>
      </c>
      <c r="D49" s="237"/>
      <c r="E49" s="237"/>
      <c r="F49" s="269"/>
      <c r="G49" s="239" t="s">
        <v>2241</v>
      </c>
    </row>
    <row r="50" spans="1:7" s="263" customFormat="1">
      <c r="A50" s="260" t="s">
        <v>2242</v>
      </c>
      <c r="B50" s="215" t="s">
        <v>2243</v>
      </c>
      <c r="C50" s="237"/>
      <c r="D50" s="237"/>
      <c r="E50" s="237"/>
      <c r="F50" s="269">
        <f>IF('数据-取费表'!B24=0,'数据-取费表'!N16,1)</f>
        <v>0.85</v>
      </c>
      <c r="G50" s="252"/>
    </row>
    <row r="51" spans="1:7" ht="16.5" customHeight="1">
      <c r="A51" s="260" t="s">
        <v>2245</v>
      </c>
      <c r="B51" s="215" t="s">
        <v>2280</v>
      </c>
      <c r="C51" s="237">
        <f ca="1">ROUND(C49*F50,0)</f>
        <v>6749389</v>
      </c>
      <c r="D51" s="237"/>
      <c r="E51" s="237"/>
      <c r="F51" s="269"/>
      <c r="G51" s="239" t="s">
        <v>2247</v>
      </c>
    </row>
    <row r="52" spans="1:7" s="213" customFormat="1" ht="16.5" thickBot="1">
      <c r="A52" s="270" t="s">
        <v>2248</v>
      </c>
      <c r="B52" s="271"/>
      <c r="C52" s="272">
        <f ca="1">C31+C51</f>
        <v>14421096</v>
      </c>
      <c r="D52" s="271"/>
      <c r="E52" s="271"/>
      <c r="F52" s="271"/>
      <c r="G52" s="273"/>
    </row>
    <row r="55" spans="1:7" ht="15">
      <c r="B55" s="275" t="s">
        <v>2249</v>
      </c>
      <c r="C55" s="276"/>
    </row>
    <row r="56" spans="1:7">
      <c r="B56" s="278" t="s">
        <v>1478</v>
      </c>
      <c r="C56" s="280">
        <f ca="1">1-C57</f>
        <v>0.53200000000000003</v>
      </c>
    </row>
    <row r="57" spans="1:7">
      <c r="B57" s="278" t="s">
        <v>1479</v>
      </c>
      <c r="C57" s="279">
        <f ca="1">ROUND(C51/C52,3)</f>
        <v>0.46800000000000003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f>MATCH(C1,'数据-取费表'!A6:A16,0)+5</f>
        <v>8</v>
      </c>
    </row>
    <row r="2" spans="1:33" ht="18" customHeight="1">
      <c r="A2" s="206" t="s">
        <v>2149</v>
      </c>
      <c r="B2" s="209">
        <f ca="1">C32</f>
        <v>0</v>
      </c>
      <c r="C2" s="281" t="s">
        <v>2282</v>
      </c>
      <c r="D2" s="281"/>
      <c r="E2" s="3034"/>
      <c r="F2" s="3034"/>
      <c r="G2" s="3034"/>
      <c r="H2" s="3034"/>
      <c r="I2" s="3034"/>
      <c r="J2" s="3034"/>
      <c r="K2" s="3034"/>
    </row>
    <row r="3" spans="1:33" ht="18" customHeight="1" thickBot="1">
      <c r="A3" s="208" t="s">
        <v>2151</v>
      </c>
      <c r="B3" s="209">
        <f ca="1">ROUND(B2*10000/IF(C1="",'数据-汇总表'!E3,INDIRECT("'数据-取费表'!K"&amp;$K$1)),0)</f>
        <v>0</v>
      </c>
      <c r="C3" s="281" t="s">
        <v>2283</v>
      </c>
      <c r="D3" s="281"/>
      <c r="E3" s="3034"/>
      <c r="F3" s="3034"/>
      <c r="G3" s="3034"/>
      <c r="H3" s="3034"/>
      <c r="I3" s="3034"/>
      <c r="J3" s="3034"/>
      <c r="K3" s="3034"/>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15279.68</v>
      </c>
      <c r="E14" s="24">
        <f>'数据-取费表'!B35</f>
        <v>150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15279.68</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2317</v>
      </c>
      <c r="C20" s="24">
        <f ca="1">ROUND(D20*E20/10000,0)</f>
        <v>306</v>
      </c>
      <c r="D20" s="954">
        <f ca="1">IF(C1="",'数据-汇总表'!E6,IF(INDIRECT("'数据-取费表'!c"&amp;$K$1)="住宅",INDIRECT("'数据-取费表'!s"&amp;$K$1),INDIRECT("'数据-取费表'!k"&amp;$K$1)+INDIRECT("'数据-取费表'!s"&amp;$K$1)))</f>
        <v>15279.68</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0.02</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0.02</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7" sqref="G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3"/>
      <c r="G1" s="1675"/>
      <c r="H1" s="1675"/>
      <c r="I1" s="1675"/>
      <c r="J1" s="1675"/>
      <c r="K1" s="1675"/>
      <c r="L1" s="1675"/>
      <c r="M1" s="1675"/>
      <c r="N1" s="1675"/>
      <c r="O1" s="1675"/>
      <c r="P1" s="1675"/>
      <c r="Q1" s="1675"/>
      <c r="R1" s="1675"/>
      <c r="S1" s="1675"/>
    </row>
    <row r="2" spans="1:22" ht="15.75">
      <c r="A2" s="2057" t="s">
        <v>2149</v>
      </c>
      <c r="B2" s="2058">
        <f ca="1">SUMIF(B6:B13,"&lt;&gt;#ref!",B6:B13)</f>
        <v>5492</v>
      </c>
      <c r="C2" s="2059" t="s">
        <v>2341</v>
      </c>
      <c r="D2" s="2060" t="s">
        <v>2342</v>
      </c>
      <c r="E2" s="2831">
        <f>SUM(E6:E13)</f>
        <v>735.72</v>
      </c>
      <c r="F2" s="2933"/>
      <c r="G2" s="1675"/>
      <c r="H2" s="1675"/>
      <c r="I2" s="1675"/>
      <c r="J2" s="1675"/>
      <c r="K2" s="1675"/>
      <c r="L2" s="1675"/>
      <c r="M2" s="1675"/>
      <c r="N2" s="1675"/>
      <c r="O2" s="1675"/>
      <c r="P2" s="1675"/>
      <c r="Q2" s="1675"/>
      <c r="R2" s="1675"/>
      <c r="S2" s="1675"/>
    </row>
    <row r="3" spans="1:22" ht="15.75">
      <c r="A3" s="2057" t="s">
        <v>1360</v>
      </c>
      <c r="B3" s="2825">
        <f ca="1">ROUND(B2*10000/E2,0)</f>
        <v>74648</v>
      </c>
      <c r="C3" s="2059" t="s">
        <v>2349</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2343</v>
      </c>
      <c r="B5" s="3311" t="s">
        <v>2344</v>
      </c>
      <c r="C5" s="3312"/>
      <c r="D5" s="2934"/>
      <c r="E5" s="2061" t="s">
        <v>2345</v>
      </c>
      <c r="F5" s="2062" t="s">
        <v>2346</v>
      </c>
      <c r="G5" s="1675"/>
      <c r="H5" s="1675"/>
      <c r="I5" s="1675"/>
      <c r="J5" s="1675"/>
      <c r="K5" s="1675"/>
      <c r="L5" s="1675"/>
      <c r="M5" s="1675"/>
      <c r="N5" s="1675"/>
      <c r="O5" s="1675"/>
      <c r="P5" s="1675"/>
      <c r="Q5" s="1675"/>
      <c r="R5" s="1675"/>
      <c r="S5" s="1675"/>
    </row>
    <row r="6" spans="1:22">
      <c r="A6" s="2828" t="str">
        <f>'数据-取费表'!AN6</f>
        <v>收益法-办公</v>
      </c>
      <c r="B6" s="2826">
        <f ca="1">IF(F6="是",'数据-取费表'!AO6,0)</f>
        <v>5492</v>
      </c>
      <c r="C6" s="2059" t="s">
        <v>2341</v>
      </c>
      <c r="D6" s="2935"/>
      <c r="E6" s="2830">
        <f>IF(OR(A6=0,F6="否"),0,'数据-取费表'!K6+'数据-取费表'!S6)</f>
        <v>735.72</v>
      </c>
      <c r="F6" s="2063" t="s">
        <v>2347</v>
      </c>
      <c r="G6" s="1675">
        <f ca="1">ROUND(B6*10000/E6,0)</f>
        <v>74648</v>
      </c>
      <c r="H6" s="1675"/>
      <c r="I6" s="1675"/>
      <c r="J6" s="1675"/>
      <c r="K6" s="1675"/>
      <c r="L6" s="1675"/>
      <c r="M6" s="1675"/>
      <c r="N6" s="1675"/>
      <c r="O6" s="1675"/>
      <c r="P6" s="1675"/>
      <c r="Q6" s="1675"/>
      <c r="R6" s="1675"/>
      <c r="S6" s="1675"/>
    </row>
    <row r="7" spans="1:22">
      <c r="A7" s="2828">
        <f>'数据-取费表'!AN7</f>
        <v>0</v>
      </c>
      <c r="B7" s="2826" t="e">
        <f ca="1">IF(F7="是",'数据-取费表'!AO7,0)</f>
        <v>#REF!</v>
      </c>
      <c r="C7" s="2059" t="s">
        <v>2341</v>
      </c>
      <c r="D7" s="2935"/>
      <c r="E7" s="2830">
        <f>IF(OR(A7=0,F7="否"),0,'数据-取费表'!K7+'数据-取费表'!S7)</f>
        <v>0</v>
      </c>
      <c r="F7" s="2063" t="s">
        <v>2347</v>
      </c>
      <c r="G7" s="1675" t="e">
        <f ca="1">ROUND(B7*10000/E7,0)</f>
        <v>#REF!</v>
      </c>
      <c r="H7" s="1675"/>
      <c r="I7" s="1675"/>
      <c r="J7" s="1675"/>
      <c r="K7" s="1675"/>
      <c r="L7" s="1675"/>
      <c r="M7" s="1675"/>
      <c r="N7" s="1675"/>
      <c r="O7" s="1675"/>
      <c r="P7" s="1675"/>
      <c r="Q7" s="1675"/>
      <c r="R7" s="1675"/>
      <c r="S7" s="1675"/>
    </row>
    <row r="8" spans="1:22">
      <c r="A8" s="2828">
        <f>'数据-取费表'!AN8</f>
        <v>0</v>
      </c>
      <c r="B8" s="2826">
        <f>IF(F8="是",'数据-取费表'!AO8,0)</f>
        <v>0</v>
      </c>
      <c r="C8" s="2059" t="s">
        <v>2341</v>
      </c>
      <c r="D8" s="2935"/>
      <c r="E8" s="2830">
        <f>IF(OR(A8=0,F8="否"),0,'数据-取费表'!K8+'数据-取费表'!S8)</f>
        <v>0</v>
      </c>
      <c r="F8" s="2063"/>
      <c r="G8" s="1675"/>
      <c r="H8" s="1675"/>
      <c r="I8" s="1675"/>
      <c r="J8" s="1675"/>
      <c r="K8" s="1675"/>
      <c r="L8" s="1675"/>
      <c r="M8" s="1675"/>
      <c r="N8" s="1675"/>
      <c r="O8" s="1675"/>
      <c r="P8" s="1675"/>
      <c r="Q8" s="1675"/>
      <c r="R8" s="1675"/>
      <c r="S8" s="1675"/>
    </row>
    <row r="9" spans="1:22">
      <c r="A9" s="2828">
        <f>'数据-取费表'!AN9</f>
        <v>0</v>
      </c>
      <c r="B9" s="2826">
        <f>IF(F9="是",'数据-取费表'!AO9,0)</f>
        <v>0</v>
      </c>
      <c r="C9" s="2059" t="s">
        <v>2341</v>
      </c>
      <c r="D9" s="2935"/>
      <c r="E9" s="2830">
        <f>IF(OR(A9=0,F9="否"),0,'数据-取费表'!K9+'数据-取费表'!S9)</f>
        <v>0</v>
      </c>
      <c r="F9" s="2063"/>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9" t="s">
        <v>2341</v>
      </c>
      <c r="D10" s="2935"/>
      <c r="E10" s="2830">
        <f>IF(OR(A10=0,F10="否"),0,'数据-取费表'!K10+'数据-取费表'!S10)</f>
        <v>0</v>
      </c>
      <c r="F10" s="2063"/>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9" t="s">
        <v>2341</v>
      </c>
      <c r="D11" s="2935"/>
      <c r="E11" s="2830">
        <f>IF(OR(A11=0,F11="否"),0,'数据-取费表'!K11+'数据-取费表'!S11)</f>
        <v>0</v>
      </c>
      <c r="F11" s="2063"/>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9" t="s">
        <v>2341</v>
      </c>
      <c r="D12" s="2935"/>
      <c r="E12" s="2830">
        <f>IF(OR(A12=0,F12="否"),0,'数据-取费表'!K12+'数据-取费表'!S12)</f>
        <v>0</v>
      </c>
      <c r="F12" s="2063"/>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4" t="s">
        <v>2341</v>
      </c>
      <c r="D13" s="2936"/>
      <c r="E13" s="2830">
        <f>IF(OR(A13=0,F13="否"),0,'数据-取费表'!K13+'数据-取费表'!S13)</f>
        <v>0</v>
      </c>
      <c r="F13" s="2063"/>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90" zoomScaleNormal="70" zoomScaleSheetLayoutView="90" workbookViewId="0">
      <selection activeCell="C2" sqref="C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2508</v>
      </c>
      <c r="C1" s="1391" t="s">
        <v>2352</v>
      </c>
      <c r="D1" s="1392" t="s">
        <v>3176</v>
      </c>
      <c r="E1" s="1401"/>
      <c r="F1" s="2066" t="s">
        <v>3166</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f>IF(C2="——",ROUND(C50*D3/10000,0),ROUND(C50*D3/10000,0)-D2)</f>
        <v>5150</v>
      </c>
      <c r="C2" s="2068" t="s">
        <v>70</v>
      </c>
      <c r="D2" s="1274" t="e">
        <f ca="1">SUMIF(INDIRECT("'"&amp;F2&amp;"'"&amp;"!A:A"),"承租人权益价值",INDIRECT("'"&amp;F2&amp;"'"&amp;"!c:c"))</f>
        <v>#REF!</v>
      </c>
      <c r="E2" s="2069" t="s">
        <v>2150</v>
      </c>
      <c r="F2" s="2070"/>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f>IF(C2="——",C50,ROUND(B2*10000/D3,0))</f>
        <v>70000</v>
      </c>
      <c r="C3" s="359" t="s">
        <v>2466</v>
      </c>
      <c r="D3" s="358">
        <f>IF(D1="",'数据-汇总表'!E3,SUMIF('数据-汇总表'!$C19:$C33,D1,'数据-汇总表'!$E19:$E33))</f>
        <v>735.72</v>
      </c>
      <c r="E3" s="2141"/>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2467</v>
      </c>
      <c r="B4" s="361"/>
      <c r="C4" s="3334" t="s">
        <v>2468</v>
      </c>
      <c r="D4" s="3335"/>
      <c r="E4" s="3336" t="s">
        <v>2469</v>
      </c>
      <c r="F4" s="3337"/>
      <c r="G4" s="3334" t="s">
        <v>2470</v>
      </c>
      <c r="H4" s="3335"/>
      <c r="I4" s="3334" t="s">
        <v>2471</v>
      </c>
      <c r="J4" s="3335"/>
      <c r="K4" s="566" t="s">
        <v>2472</v>
      </c>
      <c r="L4" s="2941"/>
      <c r="M4" s="2942"/>
      <c r="N4" s="2942"/>
      <c r="O4" s="2942"/>
      <c r="P4" s="3338" t="s">
        <v>2473</v>
      </c>
      <c r="Q4" s="3339"/>
      <c r="R4" s="3318" t="s">
        <v>2469</v>
      </c>
      <c r="S4" s="3319"/>
      <c r="T4" s="3318" t="s">
        <v>2470</v>
      </c>
      <c r="U4" s="3319"/>
      <c r="V4" s="3346" t="s">
        <v>2471</v>
      </c>
      <c r="W4" s="3346"/>
      <c r="X4" s="2145"/>
      <c r="Y4" s="3318" t="s">
        <v>2473</v>
      </c>
      <c r="Z4" s="3319"/>
      <c r="AA4" s="3313" t="s">
        <v>2469</v>
      </c>
      <c r="AB4" s="3313" t="s">
        <v>2470</v>
      </c>
      <c r="AC4" s="3331" t="s">
        <v>2471</v>
      </c>
    </row>
    <row r="5" spans="1:29" ht="15">
      <c r="A5" s="363"/>
      <c r="B5" s="364"/>
      <c r="C5" s="3324" t="s">
        <v>2364</v>
      </c>
      <c r="D5" s="3325"/>
      <c r="E5" s="3322" t="s">
        <v>2365</v>
      </c>
      <c r="F5" s="3323"/>
      <c r="G5" s="3324" t="s">
        <v>2366</v>
      </c>
      <c r="H5" s="3325"/>
      <c r="I5" s="3324" t="s">
        <v>2367</v>
      </c>
      <c r="J5" s="3325"/>
      <c r="K5" s="566"/>
      <c r="L5" s="2941"/>
      <c r="M5" s="2942"/>
      <c r="N5" s="2942"/>
      <c r="O5" s="2942"/>
      <c r="P5" s="3340"/>
      <c r="Q5" s="3341"/>
      <c r="R5" s="3320"/>
      <c r="S5" s="3321"/>
      <c r="T5" s="3320"/>
      <c r="U5" s="3321"/>
      <c r="V5" s="3347"/>
      <c r="W5" s="3347"/>
      <c r="X5" s="1540"/>
      <c r="Y5" s="3320"/>
      <c r="Z5" s="3321"/>
      <c r="AA5" s="3314"/>
      <c r="AB5" s="3314"/>
      <c r="AC5" s="3332"/>
    </row>
    <row r="6" spans="1:29" ht="15.75" thickBot="1">
      <c r="A6" s="365"/>
      <c r="B6" s="366"/>
      <c r="C6" s="3326" t="s">
        <v>2368</v>
      </c>
      <c r="D6" s="3327"/>
      <c r="E6" s="3328" t="s">
        <v>2368</v>
      </c>
      <c r="F6" s="3329"/>
      <c r="G6" s="3326" t="s">
        <v>2368</v>
      </c>
      <c r="H6" s="3327"/>
      <c r="I6" s="3326" t="s">
        <v>2368</v>
      </c>
      <c r="J6" s="3327"/>
      <c r="K6" s="566" t="s">
        <v>2369</v>
      </c>
      <c r="L6" s="2941"/>
      <c r="M6" s="2942"/>
      <c r="N6" s="2942"/>
      <c r="O6" s="2942"/>
      <c r="P6" s="3342"/>
      <c r="Q6" s="3343"/>
      <c r="R6" s="3320"/>
      <c r="S6" s="3321"/>
      <c r="T6" s="3344"/>
      <c r="U6" s="3345"/>
      <c r="V6" s="3347"/>
      <c r="W6" s="3347"/>
      <c r="X6" s="1540"/>
      <c r="Y6" s="3344"/>
      <c r="Z6" s="3345"/>
      <c r="AA6" s="3315"/>
      <c r="AB6" s="3315"/>
      <c r="AC6" s="3333"/>
    </row>
    <row r="7" spans="1:29" s="113" customFormat="1" ht="15.75" thickBot="1">
      <c r="A7" s="367" t="s">
        <v>2370</v>
      </c>
      <c r="B7" s="368"/>
      <c r="C7" s="369">
        <f>'数据-取费表'!B2</f>
        <v>44088</v>
      </c>
      <c r="D7" s="370">
        <v>100</v>
      </c>
      <c r="E7" s="371">
        <v>44075</v>
      </c>
      <c r="F7" s="372">
        <f>SUMIF(59:59,YEAR(E7)&amp;"-"&amp;MONTH(E7),60:60)</f>
        <v>100</v>
      </c>
      <c r="G7" s="371">
        <v>44075</v>
      </c>
      <c r="H7" s="370">
        <f>SUMIF(59:59,YEAR(G7)&amp;"-"&amp;MONTH(G7),60:60)</f>
        <v>100</v>
      </c>
      <c r="I7" s="371">
        <v>44075</v>
      </c>
      <c r="J7" s="370">
        <f>SUMIF(59:59,YEAR(I7)&amp;"-"&amp;MONTH(I7),60:60)</f>
        <v>100</v>
      </c>
      <c r="K7" s="567"/>
      <c r="L7" s="2943"/>
      <c r="M7" s="2944"/>
      <c r="N7" s="2944"/>
      <c r="O7" s="2944"/>
      <c r="P7" s="3348" t="s">
        <v>2371</v>
      </c>
      <c r="Q7" s="3349"/>
      <c r="R7" s="709" t="s">
        <v>17</v>
      </c>
      <c r="S7" s="710">
        <f t="shared" ref="S7:S15" si="0">F7</f>
        <v>100</v>
      </c>
      <c r="T7" s="709" t="s">
        <v>17</v>
      </c>
      <c r="U7" s="710">
        <f t="shared" ref="U7:U15" si="1">H7</f>
        <v>100</v>
      </c>
      <c r="V7" s="709" t="s">
        <v>17</v>
      </c>
      <c r="W7" s="710">
        <f t="shared" ref="W7:W15" si="2">J7</f>
        <v>100</v>
      </c>
      <c r="X7" s="711"/>
      <c r="Y7" s="3316" t="s">
        <v>2371</v>
      </c>
      <c r="Z7" s="3317"/>
      <c r="AA7" s="712">
        <f>D7/F7</f>
        <v>1</v>
      </c>
      <c r="AB7" s="712">
        <f>D7/H7</f>
        <v>1</v>
      </c>
      <c r="AC7" s="2146">
        <f>D7/J7</f>
        <v>1</v>
      </c>
    </row>
    <row r="8" spans="1:29" s="113" customFormat="1" ht="15.75" thickBot="1">
      <c r="A8" s="367" t="s">
        <v>2372</v>
      </c>
      <c r="B8" s="368"/>
      <c r="C8" s="373" t="s">
        <v>2474</v>
      </c>
      <c r="D8" s="370">
        <v>100</v>
      </c>
      <c r="E8" s="373" t="s">
        <v>2474</v>
      </c>
      <c r="F8" s="372">
        <f>SUMIF(62:62,E8,63:63)-SUMIF(62:62,C8,63:63)+100</f>
        <v>100</v>
      </c>
      <c r="G8" s="373" t="s">
        <v>2474</v>
      </c>
      <c r="H8" s="370">
        <f>SUMIF(62:62,G8,63:63)-SUMIF(62:62,C8,63:63)+100</f>
        <v>100</v>
      </c>
      <c r="I8" s="373" t="s">
        <v>2474</v>
      </c>
      <c r="J8" s="370">
        <f>SUMIF(62:62,I8,63:63)-SUMIF(62:62,C8,63:63)+100</f>
        <v>100</v>
      </c>
      <c r="K8" s="567"/>
      <c r="L8" s="2943"/>
      <c r="M8" s="2944"/>
      <c r="N8" s="2944"/>
      <c r="O8" s="2944"/>
      <c r="P8" s="3348" t="s">
        <v>2374</v>
      </c>
      <c r="Q8" s="3317"/>
      <c r="R8" s="709" t="s">
        <v>17</v>
      </c>
      <c r="S8" s="710">
        <f t="shared" si="0"/>
        <v>100</v>
      </c>
      <c r="T8" s="709" t="s">
        <v>17</v>
      </c>
      <c r="U8" s="710">
        <f t="shared" si="1"/>
        <v>100</v>
      </c>
      <c r="V8" s="709" t="s">
        <v>17</v>
      </c>
      <c r="W8" s="710">
        <f t="shared" si="2"/>
        <v>100</v>
      </c>
      <c r="X8" s="711"/>
      <c r="Y8" s="3316" t="s">
        <v>2374</v>
      </c>
      <c r="Z8" s="3317"/>
      <c r="AA8" s="712">
        <f t="shared" ref="AA8:AA47" si="3">D8/F8</f>
        <v>1</v>
      </c>
      <c r="AB8" s="712">
        <f t="shared" ref="AB8:AB47" si="4">D8/H8</f>
        <v>1</v>
      </c>
      <c r="AC8" s="2146">
        <f t="shared" ref="AC8:AC47" si="5">D8/J8</f>
        <v>1</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330"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330"/>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2146">
        <f t="shared" si="5"/>
        <v>1</v>
      </c>
    </row>
    <row r="11" spans="1:29" ht="15">
      <c r="A11" s="386"/>
      <c r="B11" s="380" t="s">
        <v>2380</v>
      </c>
      <c r="C11" s="387"/>
      <c r="D11" s="131">
        <v>100</v>
      </c>
      <c r="E11" s="387"/>
      <c r="F11" s="131">
        <f>LOOKUP(E11,69:69,70:70)-LOOKUP(C11,69:69,70:70)+100</f>
        <v>100</v>
      </c>
      <c r="G11" s="388"/>
      <c r="H11" s="131">
        <f>LOOKUP(G11,69:69,70:70)-LOOKUP(C11,69:69,70:70)+100</f>
        <v>100</v>
      </c>
      <c r="I11" s="387"/>
      <c r="J11" s="131">
        <f>LOOKUP(I11,69:69,70:70)-LOOKUP(C11,69:69,70:70)+100</f>
        <v>100</v>
      </c>
      <c r="K11" s="568"/>
      <c r="L11" s="2947"/>
      <c r="M11" s="2942"/>
      <c r="N11" s="2942"/>
      <c r="O11" s="2942"/>
      <c r="P11" s="3330"/>
      <c r="Q11" s="1528" t="str">
        <f t="shared" si="6"/>
        <v>容积率</v>
      </c>
      <c r="R11" s="709" t="s">
        <v>17</v>
      </c>
      <c r="S11" s="710">
        <f t="shared" si="0"/>
        <v>100</v>
      </c>
      <c r="T11" s="709" t="s">
        <v>17</v>
      </c>
      <c r="U11" s="710">
        <f t="shared" si="1"/>
        <v>100</v>
      </c>
      <c r="V11" s="709" t="s">
        <v>17</v>
      </c>
      <c r="W11" s="710">
        <f t="shared" si="2"/>
        <v>100</v>
      </c>
      <c r="X11" s="711"/>
      <c r="Y11" s="3258"/>
      <c r="Z11" s="55" t="str">
        <f t="shared" si="7"/>
        <v>容积率</v>
      </c>
      <c r="AA11" s="712">
        <f t="shared" si="3"/>
        <v>1</v>
      </c>
      <c r="AB11" s="712">
        <f t="shared" si="4"/>
        <v>1</v>
      </c>
      <c r="AC11" s="2146">
        <f t="shared" si="5"/>
        <v>1</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3"/>
      <c r="M12" s="2944"/>
      <c r="N12" s="2944"/>
      <c r="O12" s="2944"/>
      <c r="P12" s="3330"/>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8"/>
      <c r="M13" s="2942"/>
      <c r="N13" s="2942"/>
      <c r="O13" s="2942"/>
      <c r="P13" s="3330"/>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8"/>
      <c r="M14" s="2942"/>
      <c r="N14" s="2942"/>
      <c r="O14" s="2942"/>
      <c r="P14" s="3330"/>
      <c r="Q14" s="1528">
        <f t="shared" si="6"/>
        <v>111</v>
      </c>
      <c r="R14" s="709" t="s">
        <v>17</v>
      </c>
      <c r="S14" s="710">
        <f t="shared" si="0"/>
        <v>100</v>
      </c>
      <c r="T14" s="709" t="s">
        <v>17</v>
      </c>
      <c r="U14" s="710">
        <f t="shared" si="1"/>
        <v>100</v>
      </c>
      <c r="V14" s="709" t="s">
        <v>17</v>
      </c>
      <c r="W14" s="710">
        <f t="shared" si="2"/>
        <v>100</v>
      </c>
      <c r="X14" s="711"/>
      <c r="Y14" s="3258"/>
      <c r="Z14" s="55">
        <f t="shared" si="7"/>
        <v>111</v>
      </c>
      <c r="AA14" s="712">
        <f t="shared" si="3"/>
        <v>1</v>
      </c>
      <c r="AB14" s="712">
        <f t="shared" si="4"/>
        <v>1</v>
      </c>
      <c r="AC14" s="2146">
        <f t="shared" si="5"/>
        <v>1</v>
      </c>
    </row>
    <row r="15" spans="1:29" ht="15">
      <c r="A15" s="398" t="s">
        <v>2381</v>
      </c>
      <c r="B15" s="584" t="s">
        <v>2509</v>
      </c>
      <c r="C15" s="2148" t="str">
        <f>估价对象房地状况!C5</f>
        <v>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50" t="s">
        <v>2382</v>
      </c>
      <c r="Q15" s="1537" t="str">
        <f t="shared" si="6"/>
        <v>办公集聚程度</v>
      </c>
      <c r="R15" s="713" t="s">
        <v>17</v>
      </c>
      <c r="S15" s="714">
        <f t="shared" si="0"/>
        <v>100</v>
      </c>
      <c r="T15" s="713" t="s">
        <v>17</v>
      </c>
      <c r="U15" s="714">
        <f t="shared" si="1"/>
        <v>100</v>
      </c>
      <c r="V15" s="713" t="s">
        <v>17</v>
      </c>
      <c r="W15" s="714">
        <f t="shared" si="2"/>
        <v>100</v>
      </c>
      <c r="X15" s="1540"/>
      <c r="Y15" s="3352"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8"/>
      <c r="M16" s="2942"/>
      <c r="N16" s="2942"/>
      <c r="O16" s="2942"/>
      <c r="P16" s="3351"/>
      <c r="Q16" s="1537"/>
      <c r="R16" s="713"/>
      <c r="S16" s="714"/>
      <c r="T16" s="713"/>
      <c r="U16" s="714"/>
      <c r="V16" s="713"/>
      <c r="W16" s="714"/>
      <c r="X16" s="1540"/>
      <c r="Y16" s="3353"/>
      <c r="Z16" s="1541"/>
      <c r="AA16" s="1538">
        <v>1</v>
      </c>
      <c r="AB16" s="1538">
        <v>1</v>
      </c>
      <c r="AC16" s="2149">
        <v>1</v>
      </c>
    </row>
    <row r="17" spans="1:29" ht="15">
      <c r="A17" s="386"/>
      <c r="B17" s="586" t="s">
        <v>1946</v>
      </c>
      <c r="C17" s="2150"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51"/>
      <c r="Q17" s="1537" t="str">
        <f>B17</f>
        <v>交通便捷度</v>
      </c>
      <c r="R17" s="713" t="s">
        <v>17</v>
      </c>
      <c r="S17" s="714">
        <f>F17</f>
        <v>100</v>
      </c>
      <c r="T17" s="713" t="s">
        <v>17</v>
      </c>
      <c r="U17" s="714">
        <f>H17</f>
        <v>100</v>
      </c>
      <c r="V17" s="713" t="s">
        <v>17</v>
      </c>
      <c r="W17" s="714">
        <f>J17</f>
        <v>100</v>
      </c>
      <c r="X17" s="1540"/>
      <c r="Y17" s="3353"/>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8"/>
      <c r="M18" s="2942"/>
      <c r="N18" s="2942"/>
      <c r="O18" s="2942"/>
      <c r="P18" s="3351"/>
      <c r="Q18" s="1537"/>
      <c r="R18" s="713"/>
      <c r="S18" s="714"/>
      <c r="T18" s="713"/>
      <c r="U18" s="714"/>
      <c r="V18" s="713"/>
      <c r="W18" s="714"/>
      <c r="X18" s="1540"/>
      <c r="Y18" s="3353"/>
      <c r="Z18" s="1541"/>
      <c r="AA18" s="1538">
        <v>1</v>
      </c>
      <c r="AB18" s="1538">
        <v>1</v>
      </c>
      <c r="AC18" s="2149">
        <v>1</v>
      </c>
    </row>
    <row r="19" spans="1:29" ht="15">
      <c r="A19" s="386"/>
      <c r="B19" s="586" t="s">
        <v>2510</v>
      </c>
      <c r="C19" s="2150"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51"/>
      <c r="Q19" s="1537" t="str">
        <f>B19</f>
        <v>公共配套设施</v>
      </c>
      <c r="R19" s="713" t="s">
        <v>17</v>
      </c>
      <c r="S19" s="714">
        <f>F19</f>
        <v>100</v>
      </c>
      <c r="T19" s="713" t="s">
        <v>17</v>
      </c>
      <c r="U19" s="714">
        <f>H19</f>
        <v>100</v>
      </c>
      <c r="V19" s="713" t="s">
        <v>17</v>
      </c>
      <c r="W19" s="714">
        <f>J19</f>
        <v>100</v>
      </c>
      <c r="X19" s="1540"/>
      <c r="Y19" s="3353"/>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8"/>
      <c r="M20" s="2942"/>
      <c r="N20" s="2942"/>
      <c r="O20" s="2942"/>
      <c r="P20" s="3351"/>
      <c r="Q20" s="1537"/>
      <c r="R20" s="713"/>
      <c r="S20" s="714"/>
      <c r="T20" s="713"/>
      <c r="U20" s="714"/>
      <c r="V20" s="713"/>
      <c r="W20" s="714"/>
      <c r="X20" s="1540"/>
      <c r="Y20" s="3353"/>
      <c r="Z20" s="1541"/>
      <c r="AA20" s="1538">
        <v>1</v>
      </c>
      <c r="AB20" s="1538">
        <v>1</v>
      </c>
      <c r="AC20" s="2149">
        <v>1</v>
      </c>
    </row>
    <row r="21" spans="1:29" ht="15">
      <c r="A21" s="386"/>
      <c r="B21" s="588" t="s">
        <v>2511</v>
      </c>
      <c r="C21" s="2150"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51"/>
      <c r="Q21" s="1537" t="str">
        <f>B21</f>
        <v>基础设施水平</v>
      </c>
      <c r="R21" s="713" t="s">
        <v>17</v>
      </c>
      <c r="S21" s="714">
        <f>F21</f>
        <v>100</v>
      </c>
      <c r="T21" s="713" t="s">
        <v>17</v>
      </c>
      <c r="U21" s="714">
        <f>H21</f>
        <v>100</v>
      </c>
      <c r="V21" s="713" t="s">
        <v>17</v>
      </c>
      <c r="W21" s="714">
        <f>J21</f>
        <v>100</v>
      </c>
      <c r="X21" s="1540"/>
      <c r="Y21" s="3353"/>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8"/>
      <c r="M22" s="2942"/>
      <c r="N22" s="2942"/>
      <c r="O22" s="2942"/>
      <c r="P22" s="3351"/>
      <c r="Q22" s="1537"/>
      <c r="R22" s="713"/>
      <c r="S22" s="714"/>
      <c r="T22" s="713"/>
      <c r="U22" s="714"/>
      <c r="V22" s="713"/>
      <c r="W22" s="714"/>
      <c r="X22" s="1540"/>
      <c r="Y22" s="3353"/>
      <c r="Z22" s="1541"/>
      <c r="AA22" s="1538">
        <v>1</v>
      </c>
      <c r="AB22" s="1538">
        <v>1</v>
      </c>
      <c r="AC22" s="2149">
        <v>1</v>
      </c>
    </row>
    <row r="23" spans="1:29" ht="15">
      <c r="A23" s="386"/>
      <c r="B23" s="586" t="s">
        <v>2512</v>
      </c>
      <c r="C23" s="2150"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51"/>
      <c r="Q23" s="1537" t="str">
        <f>B23</f>
        <v>环境质量</v>
      </c>
      <c r="R23" s="713" t="s">
        <v>17</v>
      </c>
      <c r="S23" s="714">
        <f>F23</f>
        <v>100</v>
      </c>
      <c r="T23" s="713" t="s">
        <v>17</v>
      </c>
      <c r="U23" s="714">
        <f>H23</f>
        <v>100</v>
      </c>
      <c r="V23" s="713" t="s">
        <v>17</v>
      </c>
      <c r="W23" s="714">
        <f>J23</f>
        <v>100</v>
      </c>
      <c r="X23" s="1540"/>
      <c r="Y23" s="3353"/>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8"/>
      <c r="M24" s="2942"/>
      <c r="N24" s="2942"/>
      <c r="O24" s="2942"/>
      <c r="P24" s="3351"/>
      <c r="Q24" s="1537"/>
      <c r="R24" s="713"/>
      <c r="S24" s="714"/>
      <c r="T24" s="713"/>
      <c r="U24" s="714"/>
      <c r="V24" s="713"/>
      <c r="W24" s="714"/>
      <c r="X24" s="1540"/>
      <c r="Y24" s="3353"/>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48"/>
      <c r="M25" s="2942"/>
      <c r="N25" s="2942"/>
      <c r="O25" s="2942"/>
      <c r="P25" s="3351"/>
      <c r="Q25" s="1537" t="str">
        <f>B25</f>
        <v>毗邻道路的类型与等级</v>
      </c>
      <c r="R25" s="713" t="s">
        <v>17</v>
      </c>
      <c r="S25" s="714">
        <f>F25</f>
        <v>100</v>
      </c>
      <c r="T25" s="713" t="s">
        <v>17</v>
      </c>
      <c r="U25" s="714">
        <f>H25</f>
        <v>100</v>
      </c>
      <c r="V25" s="713" t="s">
        <v>17</v>
      </c>
      <c r="W25" s="714">
        <f>J25</f>
        <v>100</v>
      </c>
      <c r="X25" s="1540"/>
      <c r="Y25" s="3353"/>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8"/>
      <c r="M26" s="2942"/>
      <c r="N26" s="2942"/>
      <c r="O26" s="2942"/>
      <c r="P26" s="3351"/>
      <c r="Q26" s="1537"/>
      <c r="R26" s="713"/>
      <c r="S26" s="714"/>
      <c r="T26" s="713"/>
      <c r="U26" s="714"/>
      <c r="V26" s="713"/>
      <c r="W26" s="714"/>
      <c r="X26" s="1540"/>
      <c r="Y26" s="3353"/>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51"/>
      <c r="Q27" s="1537" t="str">
        <f t="shared" ref="Q27:Q47" si="11">B27</f>
        <v>楼层</v>
      </c>
      <c r="R27" s="713" t="s">
        <v>17</v>
      </c>
      <c r="S27" s="714">
        <f>F27</f>
        <v>100</v>
      </c>
      <c r="T27" s="713" t="s">
        <v>17</v>
      </c>
      <c r="U27" s="714">
        <f>H27</f>
        <v>100</v>
      </c>
      <c r="V27" s="713" t="s">
        <v>17</v>
      </c>
      <c r="W27" s="714">
        <f>J27</f>
        <v>100</v>
      </c>
      <c r="X27" s="1540"/>
      <c r="Y27" s="3353"/>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3"/>
      <c r="M28" s="2944"/>
      <c r="N28" s="2944"/>
      <c r="O28" s="2944"/>
      <c r="P28" s="3351"/>
      <c r="Q28" s="1528" t="str">
        <f t="shared" si="11"/>
        <v>朝向</v>
      </c>
      <c r="R28" s="709" t="s">
        <v>17</v>
      </c>
      <c r="S28" s="710">
        <f>F28</f>
        <v>100</v>
      </c>
      <c r="T28" s="709" t="s">
        <v>17</v>
      </c>
      <c r="U28" s="710">
        <f>H28</f>
        <v>100</v>
      </c>
      <c r="V28" s="709" t="s">
        <v>17</v>
      </c>
      <c r="W28" s="710">
        <f>J28</f>
        <v>100</v>
      </c>
      <c r="X28" s="711"/>
      <c r="Y28" s="3353"/>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8"/>
      <c r="M29" s="2942"/>
      <c r="N29" s="2942"/>
      <c r="O29" s="2942"/>
      <c r="P29" s="3351"/>
      <c r="Q29" s="1537">
        <f t="shared" si="11"/>
        <v>111</v>
      </c>
      <c r="R29" s="713" t="s">
        <v>17</v>
      </c>
      <c r="S29" s="714">
        <f t="shared" ref="S29:S47" si="12">F29</f>
        <v>100</v>
      </c>
      <c r="T29" s="713" t="s">
        <v>17</v>
      </c>
      <c r="U29" s="714">
        <f t="shared" ref="U29:U47" si="13">H29</f>
        <v>100</v>
      </c>
      <c r="V29" s="713" t="s">
        <v>17</v>
      </c>
      <c r="W29" s="714">
        <f t="shared" ref="W29:W47" si="14">J29</f>
        <v>100</v>
      </c>
      <c r="X29" s="1540"/>
      <c r="Y29" s="3353"/>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8"/>
      <c r="M30" s="2942"/>
      <c r="N30" s="2942"/>
      <c r="O30" s="2942"/>
      <c r="P30" s="3351"/>
      <c r="Q30" s="1537">
        <f t="shared" si="11"/>
        <v>111</v>
      </c>
      <c r="R30" s="713" t="s">
        <v>17</v>
      </c>
      <c r="S30" s="714">
        <f t="shared" si="12"/>
        <v>100</v>
      </c>
      <c r="T30" s="713" t="s">
        <v>17</v>
      </c>
      <c r="U30" s="714">
        <f t="shared" si="13"/>
        <v>100</v>
      </c>
      <c r="V30" s="713" t="s">
        <v>17</v>
      </c>
      <c r="W30" s="714">
        <f t="shared" si="14"/>
        <v>100</v>
      </c>
      <c r="X30" s="1540"/>
      <c r="Y30" s="3353"/>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8"/>
      <c r="M31" s="2942"/>
      <c r="N31" s="2942"/>
      <c r="O31" s="2942"/>
      <c r="P31" s="3351"/>
      <c r="Q31" s="1537">
        <f t="shared" si="11"/>
        <v>111</v>
      </c>
      <c r="R31" s="713" t="s">
        <v>17</v>
      </c>
      <c r="S31" s="714">
        <f t="shared" si="12"/>
        <v>100</v>
      </c>
      <c r="T31" s="713" t="s">
        <v>17</v>
      </c>
      <c r="U31" s="714">
        <f t="shared" si="13"/>
        <v>100</v>
      </c>
      <c r="V31" s="713" t="s">
        <v>17</v>
      </c>
      <c r="W31" s="714">
        <f t="shared" si="14"/>
        <v>100</v>
      </c>
      <c r="X31" s="1540"/>
      <c r="Y31" s="3353"/>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8"/>
      <c r="M32" s="2942"/>
      <c r="N32" s="2942"/>
      <c r="O32" s="2942"/>
      <c r="P32" s="3351"/>
      <c r="Q32" s="1537">
        <f t="shared" si="11"/>
        <v>111</v>
      </c>
      <c r="R32" s="713" t="s">
        <v>17</v>
      </c>
      <c r="S32" s="714">
        <f t="shared" si="12"/>
        <v>100</v>
      </c>
      <c r="T32" s="713" t="s">
        <v>17</v>
      </c>
      <c r="U32" s="714">
        <f t="shared" si="13"/>
        <v>100</v>
      </c>
      <c r="V32" s="713" t="s">
        <v>17</v>
      </c>
      <c r="W32" s="714">
        <f t="shared" si="14"/>
        <v>100</v>
      </c>
      <c r="X32" s="1540"/>
      <c r="Y32" s="3353"/>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8"/>
      <c r="M33" s="2942"/>
      <c r="N33" s="2942"/>
      <c r="O33" s="2942"/>
      <c r="P33" s="3354" t="s">
        <v>2387</v>
      </c>
      <c r="Q33" s="1537" t="str">
        <f t="shared" si="11"/>
        <v>建筑类型</v>
      </c>
      <c r="R33" s="713" t="s">
        <v>17</v>
      </c>
      <c r="S33" s="714">
        <f t="shared" si="12"/>
        <v>100</v>
      </c>
      <c r="T33" s="713" t="s">
        <v>17</v>
      </c>
      <c r="U33" s="714">
        <f t="shared" si="13"/>
        <v>100</v>
      </c>
      <c r="V33" s="713" t="s">
        <v>17</v>
      </c>
      <c r="W33" s="714">
        <f t="shared" si="14"/>
        <v>100</v>
      </c>
      <c r="X33" s="1540"/>
      <c r="Y33" s="3357"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47"/>
      <c r="M34" s="2949"/>
      <c r="N34" s="2949"/>
      <c r="O34" s="2949"/>
      <c r="P34" s="3355"/>
      <c r="Q34" s="715" t="str">
        <f t="shared" si="11"/>
        <v>项目建筑规模</v>
      </c>
      <c r="R34" s="716" t="s">
        <v>17</v>
      </c>
      <c r="S34" s="717">
        <f t="shared" si="12"/>
        <v>100</v>
      </c>
      <c r="T34" s="716" t="s">
        <v>17</v>
      </c>
      <c r="U34" s="717">
        <f t="shared" si="13"/>
        <v>100</v>
      </c>
      <c r="V34" s="716" t="s">
        <v>17</v>
      </c>
      <c r="W34" s="717">
        <f t="shared" si="14"/>
        <v>100</v>
      </c>
      <c r="X34" s="718"/>
      <c r="Y34" s="3357"/>
      <c r="Z34" s="719" t="str">
        <f t="shared" si="15"/>
        <v>项目建筑规模</v>
      </c>
      <c r="AA34" s="1538">
        <f t="shared" si="3"/>
        <v>1</v>
      </c>
      <c r="AB34" s="1538">
        <f t="shared" si="4"/>
        <v>1</v>
      </c>
      <c r="AC34" s="2149">
        <f t="shared" si="5"/>
        <v>1</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55"/>
      <c r="Q35" s="1537" t="str">
        <f t="shared" si="11"/>
        <v>建筑结构</v>
      </c>
      <c r="R35" s="713" t="s">
        <v>17</v>
      </c>
      <c r="S35" s="714">
        <f t="shared" si="12"/>
        <v>100</v>
      </c>
      <c r="T35" s="713" t="s">
        <v>17</v>
      </c>
      <c r="U35" s="714">
        <f t="shared" si="13"/>
        <v>100</v>
      </c>
      <c r="V35" s="713" t="s">
        <v>17</v>
      </c>
      <c r="W35" s="714">
        <f t="shared" si="14"/>
        <v>100</v>
      </c>
      <c r="X35" s="1540"/>
      <c r="Y35" s="3357"/>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55"/>
      <c r="Q36" s="1537" t="str">
        <f t="shared" si="11"/>
        <v>公共部分装修</v>
      </c>
      <c r="R36" s="713" t="s">
        <v>17</v>
      </c>
      <c r="S36" s="714">
        <f t="shared" si="12"/>
        <v>100</v>
      </c>
      <c r="T36" s="713" t="s">
        <v>17</v>
      </c>
      <c r="U36" s="714">
        <f t="shared" si="13"/>
        <v>100</v>
      </c>
      <c r="V36" s="713" t="s">
        <v>17</v>
      </c>
      <c r="W36" s="714">
        <f t="shared" si="14"/>
        <v>100</v>
      </c>
      <c r="X36" s="1540"/>
      <c r="Y36" s="3357"/>
      <c r="Z36" s="1541" t="str">
        <f t="shared" si="15"/>
        <v>公共部分装修</v>
      </c>
      <c r="AA36" s="1538">
        <f t="shared" si="3"/>
        <v>1</v>
      </c>
      <c r="AB36" s="1538">
        <f t="shared" si="4"/>
        <v>1</v>
      </c>
      <c r="AC36" s="2149">
        <f t="shared" si="5"/>
        <v>1</v>
      </c>
    </row>
    <row r="37" spans="1:29" ht="15">
      <c r="A37" s="430"/>
      <c r="B37" s="380" t="s">
        <v>2484</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c r="L37" s="2948"/>
      <c r="M37" s="2942"/>
      <c r="N37" s="2942"/>
      <c r="O37" s="2942"/>
      <c r="P37" s="3355"/>
      <c r="Q37" s="1537" t="str">
        <f t="shared" si="11"/>
        <v>成新度</v>
      </c>
      <c r="R37" s="713" t="s">
        <v>17</v>
      </c>
      <c r="S37" s="714">
        <f t="shared" si="12"/>
        <v>100</v>
      </c>
      <c r="T37" s="713" t="s">
        <v>17</v>
      </c>
      <c r="U37" s="714">
        <f t="shared" si="13"/>
        <v>100</v>
      </c>
      <c r="V37" s="713" t="s">
        <v>17</v>
      </c>
      <c r="W37" s="714">
        <f t="shared" si="14"/>
        <v>100</v>
      </c>
      <c r="X37" s="1540"/>
      <c r="Y37" s="3357"/>
      <c r="Z37" s="1541" t="str">
        <f t="shared" si="15"/>
        <v>成新度</v>
      </c>
      <c r="AA37" s="1538">
        <f t="shared" si="3"/>
        <v>1</v>
      </c>
      <c r="AB37" s="1538">
        <f t="shared" si="4"/>
        <v>1</v>
      </c>
      <c r="AC37" s="2149">
        <f t="shared" si="5"/>
        <v>1</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55"/>
      <c r="Q38" s="1528" t="str">
        <f t="shared" si="11"/>
        <v>写字楼等级</v>
      </c>
      <c r="R38" s="709" t="s">
        <v>17</v>
      </c>
      <c r="S38" s="710">
        <f t="shared" si="12"/>
        <v>100</v>
      </c>
      <c r="T38" s="709" t="s">
        <v>17</v>
      </c>
      <c r="U38" s="710">
        <f t="shared" si="13"/>
        <v>100</v>
      </c>
      <c r="V38" s="709" t="s">
        <v>17</v>
      </c>
      <c r="W38" s="710">
        <f t="shared" si="14"/>
        <v>100</v>
      </c>
      <c r="X38" s="711"/>
      <c r="Y38" s="3357"/>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55" t="s">
        <v>2387</v>
      </c>
      <c r="Q39" s="1537" t="str">
        <f t="shared" si="11"/>
        <v>物业管理</v>
      </c>
      <c r="R39" s="713" t="s">
        <v>17</v>
      </c>
      <c r="S39" s="714">
        <f t="shared" si="12"/>
        <v>100</v>
      </c>
      <c r="T39" s="713" t="s">
        <v>17</v>
      </c>
      <c r="U39" s="714">
        <f t="shared" si="13"/>
        <v>100</v>
      </c>
      <c r="V39" s="713" t="s">
        <v>17</v>
      </c>
      <c r="W39" s="714">
        <f t="shared" si="14"/>
        <v>100</v>
      </c>
      <c r="X39" s="1540"/>
      <c r="Y39" s="3357"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55"/>
      <c r="Q40" s="1537" t="str">
        <f t="shared" si="11"/>
        <v>市政基础设施</v>
      </c>
      <c r="R40" s="713" t="s">
        <v>17</v>
      </c>
      <c r="S40" s="714">
        <f t="shared" si="12"/>
        <v>100</v>
      </c>
      <c r="T40" s="713" t="s">
        <v>17</v>
      </c>
      <c r="U40" s="714">
        <f t="shared" si="13"/>
        <v>100</v>
      </c>
      <c r="V40" s="713" t="s">
        <v>17</v>
      </c>
      <c r="W40" s="714">
        <f t="shared" si="14"/>
        <v>100</v>
      </c>
      <c r="X40" s="1540"/>
      <c r="Y40" s="3357"/>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55"/>
      <c r="Q41" s="1537" t="str">
        <f t="shared" si="11"/>
        <v>层高</v>
      </c>
      <c r="R41" s="713" t="s">
        <v>17</v>
      </c>
      <c r="S41" s="714">
        <f t="shared" si="12"/>
        <v>100</v>
      </c>
      <c r="T41" s="713" t="s">
        <v>17</v>
      </c>
      <c r="U41" s="714">
        <f t="shared" si="13"/>
        <v>100</v>
      </c>
      <c r="V41" s="713" t="s">
        <v>17</v>
      </c>
      <c r="W41" s="714">
        <f t="shared" si="14"/>
        <v>100</v>
      </c>
      <c r="X41" s="1540"/>
      <c r="Y41" s="3357"/>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55"/>
      <c r="Q42" s="715" t="str">
        <f t="shared" si="11"/>
        <v>单套建筑面积</v>
      </c>
      <c r="R42" s="716" t="s">
        <v>17</v>
      </c>
      <c r="S42" s="717">
        <f t="shared" si="12"/>
        <v>100</v>
      </c>
      <c r="T42" s="716" t="s">
        <v>17</v>
      </c>
      <c r="U42" s="717">
        <f t="shared" si="13"/>
        <v>100</v>
      </c>
      <c r="V42" s="716" t="s">
        <v>17</v>
      </c>
      <c r="W42" s="717">
        <f t="shared" si="14"/>
        <v>100</v>
      </c>
      <c r="X42" s="718"/>
      <c r="Y42" s="3357"/>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55"/>
      <c r="Q43" s="1537" t="str">
        <f t="shared" si="11"/>
        <v>内部装修</v>
      </c>
      <c r="R43" s="713" t="s">
        <v>17</v>
      </c>
      <c r="S43" s="714">
        <f t="shared" si="12"/>
        <v>100</v>
      </c>
      <c r="T43" s="713" t="s">
        <v>17</v>
      </c>
      <c r="U43" s="714">
        <f t="shared" si="13"/>
        <v>100</v>
      </c>
      <c r="V43" s="713" t="s">
        <v>17</v>
      </c>
      <c r="W43" s="714">
        <f t="shared" si="14"/>
        <v>100</v>
      </c>
      <c r="X43" s="1540"/>
      <c r="Y43" s="3357"/>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8"/>
      <c r="M44" s="2942"/>
      <c r="N44" s="2942"/>
      <c r="O44" s="2942"/>
      <c r="P44" s="3355"/>
      <c r="Q44" s="1537" t="str">
        <f t="shared" si="11"/>
        <v>内部装修维护情况</v>
      </c>
      <c r="R44" s="713" t="s">
        <v>17</v>
      </c>
      <c r="S44" s="714">
        <f t="shared" si="12"/>
        <v>100</v>
      </c>
      <c r="T44" s="713" t="s">
        <v>17</v>
      </c>
      <c r="U44" s="714">
        <f t="shared" si="13"/>
        <v>100</v>
      </c>
      <c r="V44" s="713" t="s">
        <v>17</v>
      </c>
      <c r="W44" s="714">
        <f t="shared" si="14"/>
        <v>100</v>
      </c>
      <c r="X44" s="1540"/>
      <c r="Y44" s="3357"/>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55"/>
      <c r="Q45" s="1528">
        <f t="shared" si="11"/>
        <v>111</v>
      </c>
      <c r="R45" s="709" t="s">
        <v>17</v>
      </c>
      <c r="S45" s="710">
        <f t="shared" si="12"/>
        <v>100</v>
      </c>
      <c r="T45" s="709" t="s">
        <v>17</v>
      </c>
      <c r="U45" s="710">
        <f t="shared" si="13"/>
        <v>100</v>
      </c>
      <c r="V45" s="709" t="s">
        <v>17</v>
      </c>
      <c r="W45" s="710">
        <f t="shared" si="14"/>
        <v>100</v>
      </c>
      <c r="X45" s="711"/>
      <c r="Y45" s="3357"/>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55"/>
      <c r="Q46" s="1537">
        <f t="shared" si="11"/>
        <v>111</v>
      </c>
      <c r="R46" s="713" t="s">
        <v>17</v>
      </c>
      <c r="S46" s="714">
        <f t="shared" si="12"/>
        <v>100</v>
      </c>
      <c r="T46" s="713" t="s">
        <v>17</v>
      </c>
      <c r="U46" s="714">
        <f t="shared" si="13"/>
        <v>100</v>
      </c>
      <c r="V46" s="713" t="s">
        <v>17</v>
      </c>
      <c r="W46" s="714">
        <f t="shared" si="14"/>
        <v>100</v>
      </c>
      <c r="X46" s="1540"/>
      <c r="Y46" s="3357"/>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56"/>
      <c r="Q47" s="1537">
        <f t="shared" si="11"/>
        <v>111</v>
      </c>
      <c r="R47" s="713" t="s">
        <v>17</v>
      </c>
      <c r="S47" s="714">
        <f t="shared" si="12"/>
        <v>100</v>
      </c>
      <c r="T47" s="713" t="s">
        <v>17</v>
      </c>
      <c r="U47" s="714">
        <f t="shared" si="13"/>
        <v>100</v>
      </c>
      <c r="V47" s="713" t="s">
        <v>17</v>
      </c>
      <c r="W47" s="714">
        <f t="shared" si="14"/>
        <v>100</v>
      </c>
      <c r="X47" s="1540"/>
      <c r="Y47" s="3358"/>
      <c r="Z47" s="1541">
        <f t="shared" si="15"/>
        <v>111</v>
      </c>
      <c r="AA47" s="1538">
        <f t="shared" si="3"/>
        <v>1</v>
      </c>
      <c r="AB47" s="1538">
        <f t="shared" si="4"/>
        <v>1</v>
      </c>
      <c r="AC47" s="2149">
        <f t="shared" si="5"/>
        <v>1</v>
      </c>
    </row>
    <row r="48" spans="1:29" ht="15">
      <c r="A48" s="437" t="s">
        <v>2399</v>
      </c>
      <c r="B48" s="438"/>
      <c r="C48" s="1315" t="s">
        <v>1</v>
      </c>
      <c r="D48" s="1316"/>
      <c r="E48" s="1317">
        <v>70000</v>
      </c>
      <c r="F48" s="1318"/>
      <c r="G48" s="1317">
        <v>70000</v>
      </c>
      <c r="H48" s="1320"/>
      <c r="I48" s="1317">
        <v>70000</v>
      </c>
      <c r="J48" s="443"/>
      <c r="K48" s="722"/>
      <c r="L48" s="2950"/>
      <c r="M48" s="2942"/>
      <c r="N48" s="2942"/>
      <c r="O48" s="2942"/>
      <c r="P48" s="3330" t="str">
        <f>A48</f>
        <v>成交单价（元/平方米）</v>
      </c>
      <c r="Q48" s="3359"/>
      <c r="R48" s="3360">
        <f>E48</f>
        <v>70000</v>
      </c>
      <c r="S48" s="3360"/>
      <c r="T48" s="3360">
        <f>G48</f>
        <v>70000</v>
      </c>
      <c r="U48" s="3360"/>
      <c r="V48" s="3360">
        <f>I48</f>
        <v>70000</v>
      </c>
      <c r="W48" s="3360"/>
      <c r="X48" s="404"/>
      <c r="Y48" s="720"/>
      <c r="Z48" s="404"/>
      <c r="AA48" s="404"/>
      <c r="AB48" s="404"/>
      <c r="AC48" s="585"/>
    </row>
    <row r="49" spans="1:29" ht="15.75" thickBot="1">
      <c r="A49" s="444" t="s">
        <v>2491</v>
      </c>
      <c r="B49" s="445"/>
      <c r="C49" s="1321">
        <f>R50</f>
        <v>70000</v>
      </c>
      <c r="D49" s="2539" t="s">
        <v>2880</v>
      </c>
      <c r="E49" s="1322">
        <f>R49</f>
        <v>70000</v>
      </c>
      <c r="F49" s="2540"/>
      <c r="G49" s="1321">
        <f>T49</f>
        <v>70000</v>
      </c>
      <c r="H49" s="2540"/>
      <c r="I49" s="1322">
        <f>V49</f>
        <v>70000</v>
      </c>
      <c r="J49" s="2540"/>
      <c r="K49" s="2542">
        <f>F49+H49+J49</f>
        <v>0</v>
      </c>
      <c r="L49" s="2950"/>
      <c r="M49" s="2942"/>
      <c r="N49" s="2942"/>
      <c r="O49" s="2942"/>
      <c r="P49" s="3330" t="str">
        <f>A49</f>
        <v>比较价值（元/平方米）</v>
      </c>
      <c r="Q49" s="3359"/>
      <c r="R49" s="3360">
        <f>IF(F1="售价",ROUND(PRODUCT(R48,AA7:AA47),0),ROUND(PRODUCT(R48,AA7:AA47),1))</f>
        <v>70000</v>
      </c>
      <c r="S49" s="3360"/>
      <c r="T49" s="3360">
        <f>IF(F1="售价",ROUND(PRODUCT(T48,AB7:AB47),0),ROUND(PRODUCT(T48,AB7:AB47),1))</f>
        <v>70000</v>
      </c>
      <c r="U49" s="3360"/>
      <c r="V49" s="3360">
        <f>IF(F1="售价",ROUND(PRODUCT(V48,AC7:AC47),0),ROUND(PRODUCT(V48,AC7:AC47),1))</f>
        <v>70000</v>
      </c>
      <c r="W49" s="3360"/>
      <c r="X49" s="404"/>
      <c r="Y49" s="404"/>
      <c r="Z49" s="404"/>
      <c r="AA49" s="404"/>
      <c r="AB49" s="404"/>
      <c r="AC49" s="585"/>
    </row>
    <row r="50" spans="1:29" ht="15.75" thickBot="1">
      <c r="A50" s="448" t="s">
        <v>2492</v>
      </c>
      <c r="B50" s="449"/>
      <c r="C50" s="1324">
        <f>R50</f>
        <v>70000</v>
      </c>
      <c r="D50" s="1324"/>
      <c r="E50" s="1324"/>
      <c r="F50" s="1324"/>
      <c r="G50" s="1324"/>
      <c r="H50" s="1324"/>
      <c r="I50" s="1324"/>
      <c r="J50" s="450"/>
      <c r="K50" s="723"/>
      <c r="L50" s="2950"/>
      <c r="M50" s="2942"/>
      <c r="N50" s="2942"/>
      <c r="O50" s="2942"/>
      <c r="P50" s="3361" t="str">
        <f>A50</f>
        <v>估价对象XX用房的比较价值（楼面单价，元/平方米）</v>
      </c>
      <c r="Q50" s="3362"/>
      <c r="R50" s="3363">
        <f>IF(F1="售价",ROUND(IF(D49="简单平均",AVERAGE(R49:V49),R49*F49+T49*H49+V49*J49),0),ROUND(IF(D49="简单平均",AVERAGE(R49:V49),R49*F49+T49*H49+V49*J49),1))</f>
        <v>70000</v>
      </c>
      <c r="S50" s="3363"/>
      <c r="T50" s="3363"/>
      <c r="U50" s="3363"/>
      <c r="V50" s="3363"/>
      <c r="W50" s="3363"/>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f>IF(E48&lt;E49,E49/E48-1,E48/E49-1)</f>
        <v>0</v>
      </c>
      <c r="F53" s="456" t="str">
        <f>IF(OR(E53&gt;=0.3,E53&lt;=-0.3),"超过30%","")</f>
        <v/>
      </c>
      <c r="G53" s="455">
        <f>IF(G48&lt;G49,G49/G48-1,G48/G49-1)</f>
        <v>0</v>
      </c>
      <c r="H53" s="456" t="str">
        <f>IF(OR(G53&gt;=0.3,G53&lt;=-0.3),"超过30%","")</f>
        <v/>
      </c>
      <c r="I53" s="455">
        <f>IF(I48&lt;I49,I49/I48-1,I48/I49-1)</f>
        <v>0</v>
      </c>
      <c r="J53" s="456"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f>IF(E49&lt;G49,G49/E49-1,E49/G49-1)</f>
        <v>0</v>
      </c>
      <c r="F54" s="456" t="str">
        <f>IF(OR(E54&gt;=0.2,E54&lt;=-0.2),"超过20%","")</f>
        <v/>
      </c>
      <c r="G54" s="455">
        <f>IF(G49&lt;I49,I49/G49-1,G49/I49-1)</f>
        <v>0</v>
      </c>
      <c r="H54" s="456" t="str">
        <f>IF(OR(G54&gt;=0.2,G54&lt;=-0.2),"超过20%","")</f>
        <v/>
      </c>
      <c r="I54" s="455">
        <f>IF(I49&lt;E49,E49/I49-1,I49/E49-1)</f>
        <v>0</v>
      </c>
      <c r="J54" s="456"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f>IF(E48&lt;G48,G48/E48-1,E48/G48-1)</f>
        <v>0</v>
      </c>
      <c r="F55" s="456" t="str">
        <f>IF(OR(E55&gt;=0.3,E55&lt;=-0.3),"超过30%","")</f>
        <v/>
      </c>
      <c r="G55" s="455">
        <f>IF(G48&lt;I48,I48/G48-1,G48/I48-1)</f>
        <v>0</v>
      </c>
      <c r="H55" s="456" t="str">
        <f>IF(OR(G55&gt;=0.3,G55&lt;=-0.3),"超过30%","")</f>
        <v/>
      </c>
      <c r="I55" s="455">
        <f>IF(I48&lt;E48,E48/I48-1,I48/E48-1)</f>
        <v>0</v>
      </c>
      <c r="J55" s="456"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2496</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2370</v>
      </c>
      <c r="B59" s="462"/>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6"/>
      <c r="R60" s="2886"/>
      <c r="S60" s="2886"/>
      <c r="T60" s="2886"/>
      <c r="U60" s="2886"/>
      <c r="V60" s="2886"/>
      <c r="W60" s="2886"/>
      <c r="X60" s="2886"/>
      <c r="Y60" s="2886"/>
      <c r="Z60" s="2886"/>
      <c r="AA60" s="2886"/>
      <c r="AB60" s="2886"/>
      <c r="AC60" s="2886"/>
    </row>
    <row r="61" spans="1:29" s="113" customFormat="1" ht="15.75" thickBot="1">
      <c r="A61" s="471" t="s">
        <v>2407</v>
      </c>
      <c r="B61" s="472"/>
      <c r="C61" s="473"/>
      <c r="D61" s="474"/>
      <c r="E61" s="474"/>
      <c r="F61" s="474"/>
      <c r="G61" s="474"/>
      <c r="H61" s="474"/>
      <c r="I61" s="474"/>
      <c r="J61" s="474"/>
      <c r="K61" s="474"/>
      <c r="L61" s="474"/>
      <c r="M61" s="475"/>
      <c r="N61" s="474"/>
      <c r="O61" s="475"/>
      <c r="P61" s="2986"/>
      <c r="Q61" s="2965"/>
      <c r="R61" s="2886"/>
      <c r="S61" s="2886"/>
      <c r="T61" s="2886"/>
      <c r="U61" s="2886"/>
      <c r="V61" s="2886"/>
      <c r="W61" s="2886"/>
      <c r="X61" s="2886"/>
      <c r="Y61" s="2886"/>
      <c r="Z61" s="2886"/>
      <c r="AA61" s="2886"/>
      <c r="AB61" s="2886"/>
      <c r="AC61" s="2886"/>
    </row>
    <row r="62" spans="1:29" s="113" customFormat="1" ht="15">
      <c r="A62" s="477" t="s">
        <v>2372</v>
      </c>
      <c r="B62" s="466"/>
      <c r="C62" s="478" t="s">
        <v>2474</v>
      </c>
      <c r="D62" s="479"/>
      <c r="E62" s="479"/>
      <c r="F62" s="479"/>
      <c r="G62" s="479"/>
      <c r="H62" s="479"/>
      <c r="I62" s="479"/>
      <c r="J62" s="479"/>
      <c r="K62" s="479"/>
      <c r="L62" s="480"/>
      <c r="M62" s="481"/>
      <c r="N62" s="2978"/>
      <c r="O62" s="2978"/>
      <c r="P62" s="2987"/>
      <c r="Q62" s="2965"/>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6"/>
      <c r="S63" s="2886"/>
      <c r="T63" s="2886"/>
      <c r="U63" s="2886"/>
      <c r="V63" s="2886"/>
      <c r="W63" s="2886"/>
      <c r="X63" s="2886"/>
      <c r="Y63" s="2886"/>
      <c r="Z63" s="2886"/>
      <c r="AA63" s="2886"/>
      <c r="AB63" s="2886"/>
      <c r="AC63" s="2886"/>
    </row>
    <row r="64" spans="1:29">
      <c r="A64" s="483" t="s">
        <v>2410</v>
      </c>
      <c r="B64" s="484" t="s">
        <v>2376</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2380</v>
      </c>
      <c r="C68" s="503" t="str">
        <f>C69&amp;"（含）"&amp;"-"&amp;D69</f>
        <v>0（含）-1</v>
      </c>
      <c r="D68" s="503" t="str">
        <f t="shared" ref="D68:L68" si="17">D69&amp;"（含）"&amp;"-"&amp;E69</f>
        <v>1（含）-2</v>
      </c>
      <c r="E68" s="503" t="str">
        <f t="shared" si="17"/>
        <v>2（含）-3</v>
      </c>
      <c r="F68" s="503" t="str">
        <f t="shared" si="17"/>
        <v>3（含）-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v>0</v>
      </c>
      <c r="D69" s="505">
        <v>1</v>
      </c>
      <c r="E69" s="505">
        <v>2</v>
      </c>
      <c r="F69" s="505">
        <v>3</v>
      </c>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2511</v>
      </c>
      <c r="C83" s="615" t="s">
        <v>2497</v>
      </c>
      <c r="D83" s="615" t="s">
        <v>2498</v>
      </c>
      <c r="E83" s="615" t="s">
        <v>2499</v>
      </c>
      <c r="F83" s="615" t="s">
        <v>2500</v>
      </c>
      <c r="G83" s="615" t="s">
        <v>2501</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2521</v>
      </c>
      <c r="C87" s="510"/>
      <c r="D87" s="510"/>
      <c r="E87" s="510"/>
      <c r="F87" s="510"/>
      <c r="G87" s="510"/>
      <c r="H87" s="510"/>
      <c r="I87" s="510"/>
      <c r="J87" s="510"/>
      <c r="K87" s="510"/>
      <c r="L87" s="536"/>
      <c r="M87" s="537"/>
      <c r="N87" s="2978"/>
      <c r="O87" s="2978"/>
      <c r="P87" s="2988"/>
      <c r="Q87" s="2965"/>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4"/>
      <c r="G89" s="510"/>
      <c r="H89" s="510"/>
      <c r="I89" s="510"/>
      <c r="J89" s="510"/>
      <c r="K89" s="510"/>
      <c r="L89" s="510"/>
      <c r="M89" s="537"/>
      <c r="N89" s="2978"/>
      <c r="O89" s="2978"/>
      <c r="P89" s="2988"/>
      <c r="Q89" s="2965"/>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5"/>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2385</v>
      </c>
      <c r="B101" s="484" t="s">
        <v>2434</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2435</v>
      </c>
      <c r="C103" s="534" t="str">
        <f>C104&amp;"(含)"&amp;"-"&amp;D104</f>
        <v>0(含)-1111111</v>
      </c>
      <c r="D103" s="534" t="str">
        <f t="shared" ref="D103:L103" si="23">D104&amp;"(含)"&amp;"-"&amp;E104</f>
        <v>1111111(含)-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v>0</v>
      </c>
      <c r="D104" s="551">
        <v>1111111</v>
      </c>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v>100</v>
      </c>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539"/>
      <c r="D119" s="539"/>
      <c r="E119" s="539"/>
      <c r="F119" s="539"/>
      <c r="G119" s="539"/>
      <c r="H119" s="539"/>
      <c r="I119" s="539"/>
      <c r="J119" s="539"/>
      <c r="K119" s="539"/>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3176</v>
      </c>
      <c r="D1" s="1547" t="s">
        <v>70</v>
      </c>
      <c r="E1" s="1548" t="s">
        <v>1352</v>
      </c>
      <c r="F1" s="1192">
        <f ca="1">J53</f>
        <v>33.31</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5492</v>
      </c>
      <c r="C2" s="1572" t="s">
        <v>1481</v>
      </c>
      <c r="D2" s="1572"/>
      <c r="E2" s="1573"/>
      <c r="F2" s="1574"/>
      <c r="G2" s="2932"/>
      <c r="H2" s="2921"/>
      <c r="I2" s="2921"/>
      <c r="J2" s="2921"/>
      <c r="K2" s="2922"/>
      <c r="L2" s="2921"/>
      <c r="M2" s="2921"/>
    </row>
    <row r="3" spans="1:37" ht="18" customHeight="1" thickBot="1">
      <c r="A3" s="1575" t="s">
        <v>1482</v>
      </c>
      <c r="B3" s="1576">
        <f ca="1">IF(ISERROR(B2*10000/F43),0,ROUND(B2*10000/F43,0))</f>
        <v>74648</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297</v>
      </c>
      <c r="D5" s="1549" t="s">
        <v>1367</v>
      </c>
      <c r="E5" s="1202"/>
      <c r="F5" s="1203"/>
      <c r="G5" s="1569"/>
      <c r="H5" s="304">
        <v>1</v>
      </c>
      <c r="I5" s="305" t="s">
        <v>1366</v>
      </c>
      <c r="J5" s="1201">
        <f ca="1">J6+J10+J12</f>
        <v>0</v>
      </c>
      <c r="K5" s="1549" t="s">
        <v>1367</v>
      </c>
      <c r="L5" s="1202"/>
      <c r="M5" s="1203"/>
    </row>
    <row r="6" spans="1:37" ht="18" customHeight="1">
      <c r="A6" s="1200" t="s">
        <v>1003</v>
      </c>
      <c r="B6" s="3366" t="s">
        <v>1368</v>
      </c>
      <c r="C6" s="1205">
        <f ca="1">ROUND(F6*F8*F7*(1-F9)/10000,0)</f>
        <v>297</v>
      </c>
      <c r="D6" s="159" t="s">
        <v>2849</v>
      </c>
      <c r="E6" s="307" t="s">
        <v>1370</v>
      </c>
      <c r="F6" s="308">
        <f ca="1">INDIRECT("'数据-取费表'!u"&amp;$G$1)</f>
        <v>12.3</v>
      </c>
      <c r="G6" s="1569"/>
      <c r="H6" s="1200" t="s">
        <v>1003</v>
      </c>
      <c r="I6" s="3366" t="s">
        <v>1368</v>
      </c>
      <c r="J6" s="306">
        <f ca="1">ROUND(M6*M8*M7*(1-M9)/10000,0)</f>
        <v>0</v>
      </c>
      <c r="K6" s="159" t="s">
        <v>2848</v>
      </c>
      <c r="L6" s="307" t="s">
        <v>1370</v>
      </c>
      <c r="M6" s="308">
        <f ca="1">INDIRECT("'数据-取费表'!z"&amp;$G$1)</f>
        <v>0</v>
      </c>
    </row>
    <row r="7" spans="1:37" ht="18" customHeight="1">
      <c r="A7" s="1204"/>
      <c r="B7" s="3367"/>
      <c r="C7" s="1206"/>
      <c r="D7" s="312"/>
      <c r="E7" s="1207" t="s">
        <v>1371</v>
      </c>
      <c r="F7" s="308">
        <f ca="1">IF(INDIRECT("'数据-取费表'!ah"&amp;$G$1)="",INDIRECT("'数据-取费表'!k"&amp;$G$1),INDIRECT("'数据-取费表'!ah"&amp;$G$1))</f>
        <v>735.72</v>
      </c>
      <c r="G7" s="1569"/>
      <c r="H7" s="309"/>
      <c r="I7" s="3367"/>
      <c r="J7" s="311"/>
      <c r="K7" s="312"/>
      <c r="L7" s="307" t="s">
        <v>1371</v>
      </c>
      <c r="M7" s="308">
        <f ca="1">F7</f>
        <v>735.72</v>
      </c>
    </row>
    <row r="8" spans="1:37" ht="18" customHeight="1">
      <c r="A8" s="309"/>
      <c r="B8" s="3367"/>
      <c r="C8" s="311"/>
      <c r="D8" s="312"/>
      <c r="E8" s="307" t="s">
        <v>1372</v>
      </c>
      <c r="F8" s="308">
        <f ca="1">INDIRECT("'数据-取费表'!ai"&amp;$G$1)</f>
        <v>365</v>
      </c>
      <c r="G8" s="1569"/>
      <c r="H8" s="309"/>
      <c r="I8" s="3367"/>
      <c r="J8" s="311"/>
      <c r="K8" s="312"/>
      <c r="L8" s="307" t="s">
        <v>1372</v>
      </c>
      <c r="M8" s="308">
        <f ca="1">INDIRECT("'数据-取费表'!ai"&amp;$G$1)</f>
        <v>365</v>
      </c>
    </row>
    <row r="9" spans="1:37" ht="18" customHeight="1">
      <c r="A9" s="309"/>
      <c r="B9" s="3368"/>
      <c r="C9" s="311"/>
      <c r="D9" s="312"/>
      <c r="E9" s="307" t="s">
        <v>1373</v>
      </c>
      <c r="F9" s="317">
        <f ca="1">INDIRECT("'数据-取费表'!w"&amp;$G$1)</f>
        <v>0.1</v>
      </c>
      <c r="G9" s="1569"/>
      <c r="H9" s="309"/>
      <c r="I9" s="336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2857</v>
      </c>
      <c r="E10" s="318" t="s">
        <v>1375</v>
      </c>
      <c r="F10" s="1275" t="s">
        <v>3099</v>
      </c>
      <c r="G10" s="1569"/>
      <c r="H10" s="1200" t="s">
        <v>1007</v>
      </c>
      <c r="I10" s="1550" t="s">
        <v>1374</v>
      </c>
      <c r="J10" s="306">
        <f ca="1">ROUND(IF(M10="押一",J6/12*M11,IF(M10="押二",J6/12*2*M11,IF(M10="押三",J6/12*3*M11,J11*M11))),0)</f>
        <v>0</v>
      </c>
      <c r="K10" s="1551" t="s">
        <v>2856</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419</v>
      </c>
      <c r="D13" s="1240" t="s">
        <v>1380</v>
      </c>
      <c r="E13" s="1240" t="s">
        <v>1381</v>
      </c>
      <c r="F13" s="1241">
        <f ca="1">INDIRECT("'数据-取费表'!y"&amp;$G$1)</f>
        <v>0.85</v>
      </c>
      <c r="G13" s="1569"/>
      <c r="H13" s="1238">
        <v>2</v>
      </c>
      <c r="I13" s="1239" t="s">
        <v>1379</v>
      </c>
      <c r="J13" s="1199">
        <f ca="1">ROUND(J14*J15,0)</f>
        <v>0</v>
      </c>
      <c r="K13" s="1246" t="s">
        <v>1380</v>
      </c>
      <c r="L13" s="1577"/>
      <c r="M13" s="1578"/>
    </row>
    <row r="14" spans="1:37" ht="18" customHeight="1">
      <c r="A14" s="1112" t="s">
        <v>1002</v>
      </c>
      <c r="B14" s="307" t="s">
        <v>1382</v>
      </c>
      <c r="C14" s="323">
        <f ca="1">INDIRECT("'数据-取费表'!m"&amp;$G$1)+INDIRECT("'数据-取费表'!t"&amp;$G$1)</f>
        <v>331</v>
      </c>
      <c r="D14" s="1530" t="s">
        <v>1383</v>
      </c>
      <c r="E14" s="1527"/>
      <c r="F14" s="324"/>
      <c r="G14" s="1569"/>
      <c r="H14" s="1112" t="s">
        <v>1003</v>
      </c>
      <c r="I14" s="307" t="s">
        <v>1384</v>
      </c>
      <c r="J14" s="24">
        <f ca="1">C29</f>
        <v>493</v>
      </c>
      <c r="K14" s="15"/>
      <c r="L14" s="915"/>
      <c r="M14" s="916"/>
    </row>
    <row r="15" spans="1:37" s="1582" customFormat="1" ht="18" customHeight="1" thickBot="1">
      <c r="A15" s="1112" t="s">
        <v>1004</v>
      </c>
      <c r="B15" s="307" t="s">
        <v>1385</v>
      </c>
      <c r="C15" s="24">
        <f ca="1">ROUND(C14*F15,0)</f>
        <v>10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15</v>
      </c>
      <c r="K16" s="1246" t="s">
        <v>1390</v>
      </c>
      <c r="L16" s="1247"/>
      <c r="M16" s="1203"/>
    </row>
    <row r="17" spans="1:37" s="1582" customFormat="1" ht="18" customHeight="1">
      <c r="A17" s="1112" t="s">
        <v>1355</v>
      </c>
      <c r="B17" s="307" t="s">
        <v>1391</v>
      </c>
      <c r="C17" s="24">
        <f ca="1">ROUND(F17*(F43+INDIRECT("'数据-取费表'!S"&amp;$G$1))/10000,0)</f>
        <v>11</v>
      </c>
      <c r="D17" s="307" t="s">
        <v>1392</v>
      </c>
      <c r="E17" s="307" t="s">
        <v>1393</v>
      </c>
      <c r="F17" s="26">
        <f>'数据-取费表'!B35</f>
        <v>150</v>
      </c>
      <c r="G17" s="1581"/>
      <c r="H17" s="1112" t="s">
        <v>1003</v>
      </c>
      <c r="I17" s="307" t="s">
        <v>1394</v>
      </c>
      <c r="J17" s="2535">
        <f ca="1">ROUND(IF(AND(项目基本情况!B11="自然人",项目基本情况!B10="北京市"),J6*M17/(1+'数据-取费表'!C42),J18+J19+J20),0)</f>
        <v>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5</v>
      </c>
      <c r="D18" s="307" t="s">
        <v>1386</v>
      </c>
      <c r="E18" s="307" t="s">
        <v>1387</v>
      </c>
      <c r="F18" s="327">
        <f>'数据-取费表'!B36</f>
        <v>1.4999999999999999E-2</v>
      </c>
      <c r="G18" s="1581"/>
      <c r="H18" s="1112" t="s">
        <v>1002</v>
      </c>
      <c r="I18" s="307" t="s">
        <v>1398</v>
      </c>
      <c r="J18" s="24">
        <f ca="1">ROUND(J6*M18/(1+'数据-取费表'!C42),2)</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357</v>
      </c>
      <c r="D19" s="135" t="s">
        <v>1401</v>
      </c>
      <c r="E19" s="1545"/>
      <c r="F19" s="26"/>
      <c r="G19" s="1569"/>
      <c r="H19" s="1112" t="s">
        <v>1004</v>
      </c>
      <c r="I19" s="307" t="s">
        <v>1402</v>
      </c>
      <c r="J19" s="24">
        <f ca="1">IF(K19="按租金收入计税",ROUND(J6*M19/(1+'数据-取费表'!C42),2),ROUND(C29*M19*0.7,2))</f>
        <v>4.1399999999999997</v>
      </c>
      <c r="K19" s="1555" t="s">
        <v>1403</v>
      </c>
      <c r="L19" s="307" t="s">
        <v>1387</v>
      </c>
      <c r="M19" s="327">
        <f>IF(K19="按租金收入计税",'数据-取费表'!B51,'数据-取费表'!B50)</f>
        <v>1.2E-2</v>
      </c>
    </row>
    <row r="20" spans="1:37" s="1582" customFormat="1" ht="18" customHeight="1">
      <c r="A20" s="1112" t="s">
        <v>1007</v>
      </c>
      <c r="B20" s="307" t="s">
        <v>1404</v>
      </c>
      <c r="C20" s="24">
        <f ca="1">ROUND(C19*F20,0)</f>
        <v>7</v>
      </c>
      <c r="D20" s="328" t="s">
        <v>1405</v>
      </c>
      <c r="E20" s="307" t="s">
        <v>1387</v>
      </c>
      <c r="F20" s="327">
        <f>'数据-取费表'!B37</f>
        <v>0.02</v>
      </c>
      <c r="G20" s="1581"/>
      <c r="H20" s="1112" t="s">
        <v>1354</v>
      </c>
      <c r="I20" s="159" t="s">
        <v>1406</v>
      </c>
      <c r="J20" s="25">
        <f ca="1">ROUND(M20*M21/10000,2)</f>
        <v>0.64</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0.02</v>
      </c>
      <c r="G21" s="1581"/>
      <c r="H21" s="331"/>
      <c r="I21" s="316"/>
      <c r="J21" s="29"/>
      <c r="K21" s="332"/>
      <c r="L21" s="307" t="s">
        <v>1412</v>
      </c>
      <c r="M21" s="308">
        <f ca="1">INDIRECT("'数据-取费表'!r"&amp;$G$1)</f>
        <v>211.82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ROUND(J14*M22,1)</f>
        <v>9.9</v>
      </c>
      <c r="K22" s="1529" t="s">
        <v>1415</v>
      </c>
      <c r="L22" s="307" t="s">
        <v>1387</v>
      </c>
      <c r="M22" s="333">
        <f ca="1">INDIRECT("'数据-取费表'!Ak"&amp;$G$1)</f>
        <v>0.02</v>
      </c>
    </row>
    <row r="23" spans="1:37" s="1582" customFormat="1" ht="18" customHeight="1">
      <c r="A23" s="1112" t="s">
        <v>1002</v>
      </c>
      <c r="B23" s="307" t="s">
        <v>1416</v>
      </c>
      <c r="C23" s="24">
        <f ca="1">IF('数据-取费表'!B22&lt;=1,ROUND(C19*F24*F23/2,0)+ROUND(C20*F24*F23/2,0),ROUND(C19*(POWER((1+F24),F23/2)-1),0)+ROUND(C20*(POWER((1+F24),F23/2)-1),0))</f>
        <v>17</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ROUND(J13*M23,1)</f>
        <v>0</v>
      </c>
      <c r="K23" s="1529" t="s">
        <v>1419</v>
      </c>
      <c r="L23" s="307" t="s">
        <v>1420</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f ca="1">J5-J16</f>
        <v>-15</v>
      </c>
      <c r="K25" s="1254" t="s">
        <v>1429</v>
      </c>
      <c r="L25" s="1255"/>
      <c r="M25" s="1256"/>
    </row>
    <row r="26" spans="1:37">
      <c r="A26" s="1112" t="s">
        <v>1002</v>
      </c>
      <c r="B26" s="307" t="s">
        <v>1430</v>
      </c>
      <c r="C26" s="24">
        <f ca="1">ROUND((C19+C20)*F26,0)</f>
        <v>73</v>
      </c>
      <c r="D26" s="328" t="s">
        <v>1431</v>
      </c>
      <c r="E26" s="318" t="s">
        <v>1432</v>
      </c>
      <c r="F26" s="317">
        <f ca="1">INDIRECT("'数据-取费表'!q"&amp;$G$1)</f>
        <v>0.2</v>
      </c>
      <c r="G26" s="1569"/>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4.0000000000000001E-3</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493</v>
      </c>
      <c r="D29" s="1251"/>
      <c r="E29" s="1249"/>
      <c r="F29" s="1252"/>
      <c r="G29" s="1581"/>
      <c r="H29" s="339" t="s">
        <v>1001</v>
      </c>
      <c r="I29" s="340" t="s">
        <v>1444</v>
      </c>
      <c r="J29" s="341">
        <f ca="1">ROUND(J26/(1+F40)^F41,0)</f>
        <v>0</v>
      </c>
      <c r="K29" s="342" t="s">
        <v>1445</v>
      </c>
      <c r="L29" s="343"/>
      <c r="M29" s="344">
        <f ca="1">INDIRECT("'数据-取费表'!k"&amp;$G$1)</f>
        <v>735.72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64</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50</v>
      </c>
      <c r="D31" s="1530" t="s">
        <v>1395</v>
      </c>
      <c r="E31" s="1529" t="s">
        <v>1446</v>
      </c>
      <c r="F31" s="2534" t="str">
        <f>IF(项目基本情况!B11="企业","——",IF('数据-取费表'!B10="住宅",IF(F6*F7*F8/12/(1+'数据-取费表'!F30)&gt;100000,4%,2.5%),IF(F6*F7*F8/12/(1+'数据-取费表'!F30)&gt;100000,12%,7%)))</f>
        <v>——</v>
      </c>
      <c r="G31" s="1569"/>
      <c r="H31" s="3036" t="s">
        <v>3054</v>
      </c>
      <c r="I31" s="1583"/>
      <c r="J31" s="1584"/>
      <c r="K31" s="2700"/>
      <c r="L31" s="2924"/>
      <c r="M31" s="2925"/>
    </row>
    <row r="32" spans="1:37" ht="18" customHeight="1">
      <c r="A32" s="1112" t="s">
        <v>1002</v>
      </c>
      <c r="B32" s="307" t="s">
        <v>1398</v>
      </c>
      <c r="C32" s="24">
        <f ca="1">IF(项目基本情况!B11="自然人","——",ROUND(C6*F32/(1+'数据-取费表'!C42),2))</f>
        <v>15.84</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33.94</v>
      </c>
      <c r="D33" s="1555" t="s">
        <v>3100</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f ca="1">IF(项目基本情况!B11="自然人","——",ROUND(F34*F35/10000,2))</f>
        <v>0.64</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211.82</v>
      </c>
      <c r="G35" s="1569"/>
      <c r="H35" s="2923"/>
      <c r="I35" s="1583"/>
      <c r="J35" s="1584"/>
      <c r="K35" s="2927"/>
      <c r="L35" s="2926"/>
      <c r="M35" s="2926"/>
    </row>
    <row r="36" spans="1:18" ht="18" customHeight="1">
      <c r="A36" s="1261" t="s">
        <v>1007</v>
      </c>
      <c r="B36" s="307" t="s">
        <v>1414</v>
      </c>
      <c r="C36" s="24">
        <f ca="1">ROUND(C29*F36,1)</f>
        <v>9.9</v>
      </c>
      <c r="D36" s="1529" t="s">
        <v>1447</v>
      </c>
      <c r="E36" s="307" t="s">
        <v>1387</v>
      </c>
      <c r="F36" s="333">
        <f ca="1">INDIRECT("'数据-取费表'!Ak"&amp;$G$1)</f>
        <v>0.02</v>
      </c>
      <c r="G36" s="1569"/>
      <c r="H36" s="2926"/>
      <c r="I36" s="1583"/>
      <c r="J36" s="1584"/>
      <c r="K36" s="2768"/>
      <c r="L36" s="2926"/>
      <c r="M36" s="2926"/>
    </row>
    <row r="37" spans="1:18" ht="18" customHeight="1">
      <c r="A37" s="1112" t="s">
        <v>1043</v>
      </c>
      <c r="B37" s="307" t="s">
        <v>1418</v>
      </c>
      <c r="C37" s="24">
        <f ca="1">ROUND(C13*F37,1)</f>
        <v>0.6</v>
      </c>
      <c r="D37" s="1529" t="s">
        <v>1419</v>
      </c>
      <c r="E37" s="307" t="s">
        <v>1420</v>
      </c>
      <c r="F37" s="335">
        <f ca="1">INDIRECT("'数据-取费表'!Al"&amp;$G$1)</f>
        <v>1.5E-3</v>
      </c>
      <c r="G37" s="1569"/>
      <c r="H37" s="2926"/>
      <c r="I37" s="1583"/>
      <c r="J37" s="1584"/>
      <c r="K37" s="2768"/>
      <c r="L37" s="2926"/>
      <c r="M37" s="2926"/>
    </row>
    <row r="38" spans="1:18" ht="18" customHeight="1" thickBot="1">
      <c r="A38" s="1248" t="s">
        <v>1358</v>
      </c>
      <c r="B38" s="1249" t="s">
        <v>1404</v>
      </c>
      <c r="C38" s="1250">
        <f ca="1">ROUND(C5*F38,1)</f>
        <v>3</v>
      </c>
      <c r="D38" s="1251" t="s">
        <v>1424</v>
      </c>
      <c r="E38" s="1249" t="s">
        <v>1420</v>
      </c>
      <c r="F38" s="1245">
        <f ca="1">INDIRECT("'数据-取费表'!Am"&amp;$G$1)</f>
        <v>0.01</v>
      </c>
      <c r="G38" s="1569"/>
      <c r="H38" s="2926"/>
      <c r="I38" s="1583"/>
      <c r="J38" s="1584"/>
      <c r="K38" s="2930"/>
      <c r="L38" s="2926"/>
      <c r="M38" s="2926"/>
    </row>
    <row r="39" spans="1:18" ht="24.6" customHeight="1" thickTop="1">
      <c r="A39" s="1238" t="s">
        <v>999</v>
      </c>
      <c r="B39" s="1253" t="s">
        <v>1448</v>
      </c>
      <c r="C39" s="315">
        <f ca="1">C5-C30</f>
        <v>233</v>
      </c>
      <c r="D39" s="1254" t="s">
        <v>1449</v>
      </c>
      <c r="E39" s="1255"/>
      <c r="F39" s="1256"/>
      <c r="G39" s="1569"/>
      <c r="H39" s="2926"/>
      <c r="I39" s="1583"/>
      <c r="J39" s="1584"/>
      <c r="K39" s="2930"/>
      <c r="L39" s="2926"/>
      <c r="M39" s="2926"/>
    </row>
    <row r="40" spans="1:18" ht="18" customHeight="1">
      <c r="A40" s="304" t="s">
        <v>1000</v>
      </c>
      <c r="B40" s="305" t="s">
        <v>1450</v>
      </c>
      <c r="C40" s="306">
        <f ca="1">ROUND(C39*(1-((1+F42)/(1+F40))^F41)/(F40-F42),0)</f>
        <v>5492</v>
      </c>
      <c r="D40" s="329" t="s">
        <v>1434</v>
      </c>
      <c r="E40" s="307" t="s">
        <v>1435</v>
      </c>
      <c r="F40" s="317">
        <f ca="1">INDIRECT("'数据-取费表'!I"&amp;$G$1)</f>
        <v>5.5E-2</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33.31</v>
      </c>
      <c r="G41" s="1569"/>
      <c r="H41" s="1352"/>
      <c r="I41" s="1583"/>
      <c r="J41" s="1584"/>
      <c r="K41" s="2768"/>
      <c r="L41" s="1352"/>
      <c r="M41" s="1352"/>
    </row>
    <row r="42" spans="1:18" ht="18" customHeight="1">
      <c r="A42" s="313"/>
      <c r="B42" s="314"/>
      <c r="C42" s="315"/>
      <c r="D42" s="332"/>
      <c r="E42" s="307" t="s">
        <v>1442</v>
      </c>
      <c r="F42" s="317">
        <f ca="1">INDIRECT("'数据-取费表'!v"&amp;$G$1)</f>
        <v>3.5000000000000003E-2</v>
      </c>
      <c r="G42" s="1569"/>
      <c r="H42" s="1352"/>
      <c r="I42" s="1583"/>
      <c r="J42" s="1584"/>
      <c r="K42" s="2768"/>
      <c r="L42" s="1352"/>
      <c r="M42" s="1352"/>
    </row>
    <row r="43" spans="1:18" ht="18" customHeight="1" thickBot="1">
      <c r="A43" s="339" t="s">
        <v>1001</v>
      </c>
      <c r="B43" s="340" t="s">
        <v>1452</v>
      </c>
      <c r="C43" s="341">
        <f ca="1">ROUND(C40*10000/F43,0)</f>
        <v>74648</v>
      </c>
      <c r="D43" s="342" t="s">
        <v>1453</v>
      </c>
      <c r="E43" s="343" t="s">
        <v>1454</v>
      </c>
      <c r="F43" s="344">
        <f ca="1">INDIRECT("'数据-取费表'!k"&amp;$G$1)</f>
        <v>735.72</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f ca="1">C68-C40</f>
        <v>-6294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3101</v>
      </c>
      <c r="K47" s="1601" t="s">
        <v>1492</v>
      </c>
      <c r="L47" s="1602">
        <f ca="1">INDIRECT("'数据-取费表'!d"&amp;$G$1)</f>
        <v>50</v>
      </c>
      <c r="M47" s="1565" t="str">
        <f>IF(ISNUMBER(FIND("住宅",C1)),"住宅","非住宅")</f>
        <v>非住宅</v>
      </c>
      <c r="O47" s="1603" t="s">
        <v>1008</v>
      </c>
      <c r="P47" s="1604" t="s">
        <v>1493</v>
      </c>
      <c r="Q47" s="1605">
        <f ca="1">C40+J29</f>
        <v>5492</v>
      </c>
      <c r="R47" s="1605" t="s">
        <v>1494</v>
      </c>
    </row>
    <row r="48" spans="1:18" s="1569" customFormat="1" ht="28.5" thickBot="1">
      <c r="A48" s="1269" t="s">
        <v>1103</v>
      </c>
      <c r="B48" s="305" t="s">
        <v>1366</v>
      </c>
      <c r="C48" s="1544">
        <f ca="1">C49+C53+C55</f>
        <v>0</v>
      </c>
      <c r="D48" s="1271"/>
      <c r="E48" s="1272"/>
      <c r="F48" s="1092"/>
      <c r="G48" s="730"/>
      <c r="H48" s="731"/>
      <c r="I48" s="1606" t="s">
        <v>1495</v>
      </c>
      <c r="J48" s="1607" t="s">
        <v>3102</v>
      </c>
      <c r="K48" s="1608" t="s">
        <v>1496</v>
      </c>
      <c r="L48" s="1609">
        <f ca="1">INDIRECT("'数据-取费表'!f"&amp;$G$1)</f>
        <v>33.31</v>
      </c>
      <c r="O48" s="1603" t="s">
        <v>1009</v>
      </c>
      <c r="P48" s="1604" t="s">
        <v>1497</v>
      </c>
      <c r="Q48" s="1605" t="str">
        <f ca="1">J60</f>
        <v>0</v>
      </c>
      <c r="R48" s="1605" t="s">
        <v>1498</v>
      </c>
    </row>
    <row r="49" spans="1:18" s="1569" customFormat="1" ht="13.5" thickBot="1">
      <c r="A49" s="1105" t="s">
        <v>1104</v>
      </c>
      <c r="B49" s="1556" t="s">
        <v>1455</v>
      </c>
      <c r="C49" s="1273">
        <f ca="1">ROUND(F49*F51*F50*(1-F52)/10000,0)</f>
        <v>0</v>
      </c>
      <c r="D49" s="1185" t="s">
        <v>2850</v>
      </c>
      <c r="E49" s="1557" t="s">
        <v>1456</v>
      </c>
      <c r="F49" s="1190"/>
      <c r="G49" s="1610"/>
      <c r="H49" s="731"/>
      <c r="I49" s="1606" t="s">
        <v>1499</v>
      </c>
      <c r="J49" s="1611"/>
      <c r="K49" s="1608" t="s">
        <v>1500</v>
      </c>
      <c r="L49" s="1612"/>
      <c r="O49" s="1613" t="s">
        <v>1010</v>
      </c>
      <c r="P49" s="1604" t="s">
        <v>1501</v>
      </c>
      <c r="Q49" s="1605">
        <f ca="1">C29</f>
        <v>493</v>
      </c>
      <c r="R49" s="1605" t="s">
        <v>1494</v>
      </c>
    </row>
    <row r="50" spans="1:18" s="1569" customFormat="1" ht="13.5" thickBot="1">
      <c r="A50" s="1106"/>
      <c r="B50" s="1109"/>
      <c r="C50" s="1277"/>
      <c r="D50" s="1083"/>
      <c r="E50" s="1186" t="s">
        <v>1371</v>
      </c>
      <c r="F50" s="1187">
        <f ca="1">F7</f>
        <v>735.72</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60</v>
      </c>
      <c r="K51" s="1619" t="s">
        <v>1506</v>
      </c>
      <c r="L51" s="1620">
        <f ca="1">ROUND(-PV(INDIRECT("'数据-取费表'!h"&amp;$G$1),J51,(C39-C13*C76),0),0)</f>
        <v>3736</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33.31</v>
      </c>
      <c r="R52" s="1605" t="s">
        <v>1511</v>
      </c>
    </row>
    <row r="53" spans="1:18" s="1569" customFormat="1" ht="24.75" thickBot="1">
      <c r="A53" s="1313" t="s">
        <v>1105</v>
      </c>
      <c r="B53" s="1558" t="s">
        <v>1374</v>
      </c>
      <c r="C53" s="321">
        <f ca="1">ROUND(IF(F53="押一",C49/12*F11,IF(F53="押二",C49/12*2*F11,IF(F53="押三",C49/12*3*F11,C54*F11))),0)</f>
        <v>0</v>
      </c>
      <c r="D53" s="1551" t="s">
        <v>2856</v>
      </c>
      <c r="E53" s="318" t="s">
        <v>1375</v>
      </c>
      <c r="F53" s="1275"/>
      <c r="I53" s="1624" t="s">
        <v>1512</v>
      </c>
      <c r="J53" s="2387">
        <f ca="1">IF(M47="住宅",IF(D1="——",MAX(J51,L48),MAX(J51,L48-'数据-取费表'!B24)),IF(D1="——",MIN(J51,L48),MIN(J51,L48-'数据-取费表'!B24)))</f>
        <v>33.31</v>
      </c>
      <c r="K53" s="3364" t="s">
        <v>1513</v>
      </c>
      <c r="L53" s="3365"/>
      <c r="O53" s="1603" t="s">
        <v>1014</v>
      </c>
      <c r="P53" s="1604" t="s">
        <v>1514</v>
      </c>
      <c r="Q53" s="1605">
        <f ca="1">Q47+Q48</f>
        <v>5492</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419</v>
      </c>
      <c r="D56" s="1632"/>
      <c r="E56" s="1633"/>
      <c r="F56" s="1625"/>
      <c r="I56" s="1634" t="s">
        <v>1519</v>
      </c>
      <c r="J56" s="1635" t="s">
        <v>3068</v>
      </c>
      <c r="K56" s="1606" t="s">
        <v>1520</v>
      </c>
      <c r="L56" s="1609" t="str">
        <f ca="1">IF(L48&lt;J51,"——",L48-J53)</f>
        <v>——</v>
      </c>
      <c r="O56" s="1603" t="s">
        <v>1008</v>
      </c>
      <c r="P56" s="1604" t="s">
        <v>1493</v>
      </c>
      <c r="Q56" s="1605">
        <f ca="1">C40+J29</f>
        <v>5492</v>
      </c>
      <c r="R56" s="1605" t="s">
        <v>1494</v>
      </c>
    </row>
    <row r="57" spans="1:18" s="1569" customFormat="1" ht="24.75" thickBot="1">
      <c r="A57" s="1636"/>
      <c r="B57" s="1080" t="s">
        <v>1443</v>
      </c>
      <c r="C57" s="243">
        <f ca="1">C29</f>
        <v>493</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53</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42</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IF(项目基本情况!B11="自然人","——",IF(D61="按租金收入计税",ROUND(C48*F61,2),IF(D61="按房产原值计税",ROUND(C57*F61*0.7,2),INDIRECT("'数据-取费表'!Aj"&amp;$G$1))))</f>
        <v>41.41</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1461</v>
      </c>
      <c r="C62" s="25">
        <f ca="1">IF(项目基本情况!B11="自然人","——",ROUND(F62*F63/10000,2))</f>
        <v>0.64</v>
      </c>
      <c r="D62" s="1095" t="s">
        <v>1462</v>
      </c>
      <c r="E62" s="1080" t="s">
        <v>1463</v>
      </c>
      <c r="F62" s="330">
        <f t="shared" si="0"/>
        <v>30</v>
      </c>
      <c r="I62" s="1647" t="s">
        <v>1535</v>
      </c>
      <c r="J62" s="1648" t="s">
        <v>1536</v>
      </c>
      <c r="K62" s="1648" t="s">
        <v>1537</v>
      </c>
      <c r="L62" s="1648" t="s">
        <v>1538</v>
      </c>
      <c r="M62" s="1649" t="s">
        <v>1539</v>
      </c>
      <c r="O62" s="1603" t="s">
        <v>1014</v>
      </c>
      <c r="P62" s="1604" t="s">
        <v>1540</v>
      </c>
      <c r="Q62" s="1605">
        <f ca="1">Q56+Q57</f>
        <v>5492</v>
      </c>
      <c r="R62" s="1605" t="s">
        <v>1015</v>
      </c>
    </row>
    <row r="63" spans="1:18" s="1569" customFormat="1" ht="13.5" thickBot="1">
      <c r="A63" s="331"/>
      <c r="B63" s="1086"/>
      <c r="C63" s="29"/>
      <c r="D63" s="1096"/>
      <c r="E63" s="1080" t="s">
        <v>1464</v>
      </c>
      <c r="F63" s="308">
        <f t="shared" ca="1" si="0"/>
        <v>211.82</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ROUND(C57*F64,1)</f>
        <v>9.9</v>
      </c>
      <c r="D64" s="1094" t="s">
        <v>1467</v>
      </c>
      <c r="E64" s="1080" t="s">
        <v>1459</v>
      </c>
      <c r="F64" s="333">
        <f t="shared" ca="1" si="0"/>
        <v>0.02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0.6</v>
      </c>
      <c r="D65" s="1094" t="s">
        <v>1419</v>
      </c>
      <c r="E65" s="1080" t="s">
        <v>1420</v>
      </c>
      <c r="F65" s="335">
        <f t="shared" ca="1" si="0"/>
        <v>1.5E-3</v>
      </c>
      <c r="I65" s="1647" t="s">
        <v>1544</v>
      </c>
      <c r="J65" s="1648">
        <v>40</v>
      </c>
      <c r="K65" s="1648">
        <v>30</v>
      </c>
      <c r="L65" s="1648">
        <v>50</v>
      </c>
      <c r="M65" s="1650">
        <v>0.02</v>
      </c>
      <c r="O65" s="1603" t="s">
        <v>1008</v>
      </c>
      <c r="P65" s="1604" t="s">
        <v>1545</v>
      </c>
      <c r="Q65" s="1605">
        <f ca="1">C40+J29</f>
        <v>5492</v>
      </c>
      <c r="R65" s="1605" t="s">
        <v>1494</v>
      </c>
    </row>
    <row r="66" spans="1:18" s="1569" customFormat="1" ht="16.5" thickBot="1">
      <c r="A66" s="1112" t="s">
        <v>1469</v>
      </c>
      <c r="B66" s="1080" t="s">
        <v>1404</v>
      </c>
      <c r="C66" s="24">
        <f ca="1">ROUND(C48*F66,1)</f>
        <v>0</v>
      </c>
      <c r="D66" s="1094" t="s">
        <v>1470</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-53</v>
      </c>
      <c r="D67" s="1093" t="s">
        <v>1429</v>
      </c>
      <c r="E67" s="1098"/>
      <c r="F67" s="1099"/>
      <c r="O67" s="1613" t="s">
        <v>1010</v>
      </c>
      <c r="P67" s="1604" t="s">
        <v>1527</v>
      </c>
      <c r="Q67" s="1651">
        <f ca="1">L51</f>
        <v>3736</v>
      </c>
      <c r="R67" s="1605" t="s">
        <v>1547</v>
      </c>
    </row>
    <row r="68" spans="1:18" s="1569" customFormat="1" ht="16.5" thickBot="1">
      <c r="A68" s="1077" t="s">
        <v>1000</v>
      </c>
      <c r="B68" s="1078" t="s">
        <v>1450</v>
      </c>
      <c r="C68" s="306">
        <f ca="1">ROUND(C67*(1-((1+F70)/(1+F68))^F69)/(F68-F70),0)</f>
        <v>-802</v>
      </c>
      <c r="D68" s="1095" t="s">
        <v>1434</v>
      </c>
      <c r="E68" s="1080" t="s">
        <v>1435</v>
      </c>
      <c r="F68" s="317">
        <f ca="1">F40</f>
        <v>5.5E-2</v>
      </c>
      <c r="O68" s="1613" t="s">
        <v>1011</v>
      </c>
      <c r="P68" s="1652" t="s">
        <v>1548</v>
      </c>
      <c r="Q68" s="1605">
        <f ca="1">ROUND(Q69-Q70*Q71,0)</f>
        <v>197</v>
      </c>
      <c r="R68" s="1605" t="s">
        <v>1019</v>
      </c>
    </row>
    <row r="69" spans="1:18" s="1569" customFormat="1" ht="13.5" thickBot="1">
      <c r="A69" s="1081"/>
      <c r="B69" s="1082"/>
      <c r="C69" s="311"/>
      <c r="D69" s="1100" t="s">
        <v>1438</v>
      </c>
      <c r="E69" s="1080" t="s">
        <v>1439</v>
      </c>
      <c r="F69" s="338">
        <f ca="1">F41</f>
        <v>33.31</v>
      </c>
      <c r="O69" s="1613" t="s">
        <v>1016</v>
      </c>
      <c r="P69" s="1652" t="s">
        <v>1549</v>
      </c>
      <c r="Q69" s="1605">
        <f ca="1">C39</f>
        <v>233</v>
      </c>
      <c r="R69" s="1605" t="s">
        <v>1494</v>
      </c>
    </row>
    <row r="70" spans="1:18" s="1569" customFormat="1" ht="13.5" thickBot="1">
      <c r="A70" s="1084"/>
      <c r="B70" s="1085"/>
      <c r="C70" s="315"/>
      <c r="D70" s="1096"/>
      <c r="E70" s="1080" t="s">
        <v>1442</v>
      </c>
      <c r="F70" s="1184"/>
      <c r="O70" s="1613" t="s">
        <v>1017</v>
      </c>
      <c r="P70" s="1652" t="s">
        <v>1550</v>
      </c>
      <c r="Q70" s="1605">
        <f ca="1">C13</f>
        <v>419</v>
      </c>
      <c r="R70" s="1605" t="s">
        <v>1494</v>
      </c>
    </row>
    <row r="71" spans="1:18" s="1569" customFormat="1" ht="13.5" thickBot="1">
      <c r="A71" s="1101" t="s">
        <v>1001</v>
      </c>
      <c r="B71" s="1102" t="s">
        <v>1452</v>
      </c>
      <c r="C71" s="341">
        <f ca="1">ROUND(C68*10000/F71,0)</f>
        <v>-10901</v>
      </c>
      <c r="D71" s="1103" t="s">
        <v>1453</v>
      </c>
      <c r="E71" s="1104" t="s">
        <v>1454</v>
      </c>
      <c r="F71" s="344">
        <f ca="1">F43</f>
        <v>735.72</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36</v>
      </c>
      <c r="D75" s="1569"/>
      <c r="E75" s="1569"/>
      <c r="F75" s="1569"/>
      <c r="K75" s="1587"/>
      <c r="L75" s="1569"/>
      <c r="O75" s="1603" t="s">
        <v>1014</v>
      </c>
      <c r="P75" s="1604" t="s">
        <v>1514</v>
      </c>
      <c r="Q75" s="1605">
        <f ca="1">Q65+Q66</f>
        <v>5492</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0.84499999999999997</v>
      </c>
    </row>
    <row r="80" spans="1:18">
      <c r="B80" s="345" t="s">
        <v>1476</v>
      </c>
      <c r="C80" s="279">
        <f ca="1">ROUND(C75/C39,3)</f>
        <v>0.155</v>
      </c>
    </row>
    <row r="81" spans="2:3">
      <c r="B81" s="275" t="s">
        <v>1477</v>
      </c>
      <c r="C81" s="243"/>
    </row>
    <row r="82" spans="2:3">
      <c r="B82" s="278" t="s">
        <v>1478</v>
      </c>
      <c r="C82" s="280">
        <f ca="1">1-C83</f>
        <v>0.92400000000000004</v>
      </c>
    </row>
    <row r="83" spans="2:3">
      <c r="B83" s="278" t="s">
        <v>1479</v>
      </c>
      <c r="C83" s="279">
        <f ca="1">ROUND(C13/C40,3)</f>
        <v>7.5999999999999998E-2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38" sqref="Y3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372" t="s">
        <v>2826</v>
      </c>
      <c r="D1" s="3373"/>
      <c r="E1" s="3373"/>
      <c r="F1" s="3373"/>
      <c r="G1" s="3373"/>
      <c r="H1" s="3373"/>
      <c r="I1" s="3373"/>
      <c r="J1" s="3373"/>
      <c r="K1" s="3373"/>
      <c r="L1" s="3373"/>
      <c r="M1" s="3373"/>
      <c r="N1" s="3373"/>
      <c r="O1" s="3373"/>
      <c r="P1" s="3373"/>
      <c r="Q1" s="3373"/>
      <c r="R1" s="3373"/>
      <c r="S1" s="3374"/>
      <c r="T1" s="1113" t="s">
        <v>2827</v>
      </c>
    </row>
    <row r="2" spans="1:45" s="662" customFormat="1" ht="38.25">
      <c r="A2" s="1114"/>
      <c r="B2" s="658" t="s">
        <v>2828</v>
      </c>
      <c r="C2" s="659" t="str">
        <f t="shared" ref="C2:L2" si="0">C3&amp;"(含)"&amp;"-"&amp;D3</f>
        <v>0(含)-300</v>
      </c>
      <c r="D2" s="660" t="str">
        <f t="shared" si="0"/>
        <v>300(含)-500</v>
      </c>
      <c r="E2" s="660" t="str">
        <f t="shared" si="0"/>
        <v>500(含)-800</v>
      </c>
      <c r="F2" s="660" t="str">
        <f t="shared" si="0"/>
        <v>800(含)-1500</v>
      </c>
      <c r="G2" s="660" t="str">
        <f t="shared" si="0"/>
        <v>1500(含)-3000</v>
      </c>
      <c r="H2" s="660" t="str">
        <f t="shared" si="0"/>
        <v>3000(含)-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300</v>
      </c>
      <c r="E3" s="665">
        <v>500</v>
      </c>
      <c r="F3" s="1474">
        <v>800</v>
      </c>
      <c r="G3" s="1474">
        <v>1500</v>
      </c>
      <c r="H3" s="1474">
        <v>3000</v>
      </c>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D4-2</f>
        <v>98</v>
      </c>
      <c r="D4" s="1120">
        <v>100</v>
      </c>
      <c r="E4" s="1120">
        <f>D4-2</f>
        <v>98</v>
      </c>
      <c r="F4" s="1120">
        <f t="shared" ref="F4:G4" si="7">E4-2</f>
        <v>96</v>
      </c>
      <c r="G4" s="1120">
        <f t="shared" si="7"/>
        <v>94</v>
      </c>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90" t="s">
        <v>3169</v>
      </c>
      <c r="C5" s="3091" t="s">
        <v>3171</v>
      </c>
      <c r="D5" s="3092" t="s">
        <v>3173</v>
      </c>
      <c r="E5" s="3092" t="s">
        <v>3175</v>
      </c>
      <c r="F5" s="1481"/>
      <c r="G5" s="1481"/>
      <c r="H5" s="1481"/>
      <c r="I5" s="1481"/>
      <c r="J5" s="1481"/>
      <c r="K5" s="1481"/>
      <c r="L5" s="1482"/>
      <c r="M5" s="1483"/>
      <c r="N5" s="1483"/>
      <c r="O5" s="1481"/>
      <c r="P5" s="1481"/>
      <c r="Q5" s="1481"/>
      <c r="R5" s="1481"/>
      <c r="S5" s="1484"/>
      <c r="T5" s="1128">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8">D6-$T5</f>
        <v>96</v>
      </c>
      <c r="F6" s="1485">
        <f t="shared" si="8"/>
        <v>94</v>
      </c>
      <c r="G6" s="1485">
        <f t="shared" si="8"/>
        <v>92</v>
      </c>
      <c r="H6" s="1485">
        <f t="shared" si="8"/>
        <v>90</v>
      </c>
      <c r="I6" s="1485">
        <f t="shared" si="8"/>
        <v>88</v>
      </c>
      <c r="J6" s="1485">
        <f t="shared" si="8"/>
        <v>86</v>
      </c>
      <c r="K6" s="1485">
        <f t="shared" si="8"/>
        <v>84</v>
      </c>
      <c r="L6" s="1485">
        <f t="shared" si="8"/>
        <v>82</v>
      </c>
      <c r="M6" s="1485">
        <f t="shared" si="8"/>
        <v>80</v>
      </c>
      <c r="N6" s="1485">
        <f t="shared" si="8"/>
        <v>78</v>
      </c>
      <c r="O6" s="1485">
        <f t="shared" si="8"/>
        <v>76</v>
      </c>
      <c r="P6" s="1485">
        <f t="shared" si="8"/>
        <v>74</v>
      </c>
      <c r="Q6" s="1485">
        <f t="shared" si="8"/>
        <v>72</v>
      </c>
      <c r="R6" s="1485">
        <f t="shared" si="8"/>
        <v>70</v>
      </c>
      <c r="S6" s="1485">
        <f t="shared" si="8"/>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2829</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9">D8-$T7</f>
        <v>100</v>
      </c>
      <c r="F8" s="1485">
        <f t="shared" si="9"/>
        <v>100</v>
      </c>
      <c r="G8" s="1485">
        <f t="shared" si="9"/>
        <v>100</v>
      </c>
      <c r="H8" s="1485">
        <f t="shared" si="9"/>
        <v>100</v>
      </c>
      <c r="I8" s="1485">
        <f t="shared" si="9"/>
        <v>100</v>
      </c>
      <c r="J8" s="1485">
        <f t="shared" si="9"/>
        <v>100</v>
      </c>
      <c r="K8" s="1485">
        <f t="shared" si="9"/>
        <v>100</v>
      </c>
      <c r="L8" s="1485">
        <f t="shared" si="9"/>
        <v>100</v>
      </c>
      <c r="M8" s="1485">
        <f t="shared" si="9"/>
        <v>100</v>
      </c>
      <c r="N8" s="1485">
        <f t="shared" si="9"/>
        <v>100</v>
      </c>
      <c r="O8" s="1485">
        <f t="shared" si="9"/>
        <v>100</v>
      </c>
      <c r="P8" s="1485">
        <f t="shared" si="9"/>
        <v>100</v>
      </c>
      <c r="Q8" s="1485">
        <f t="shared" si="9"/>
        <v>100</v>
      </c>
      <c r="R8" s="1485">
        <f t="shared" si="9"/>
        <v>100</v>
      </c>
      <c r="S8" s="1485">
        <f t="shared" si="9"/>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2830</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10">D10-$T9</f>
        <v>100</v>
      </c>
      <c r="F10" s="1495">
        <f t="shared" si="10"/>
        <v>100</v>
      </c>
      <c r="G10" s="1495">
        <f t="shared" si="10"/>
        <v>100</v>
      </c>
      <c r="H10" s="1495">
        <f t="shared" si="10"/>
        <v>100</v>
      </c>
      <c r="I10" s="1495">
        <f t="shared" si="10"/>
        <v>100</v>
      </c>
      <c r="J10" s="1495">
        <f t="shared" si="10"/>
        <v>100</v>
      </c>
      <c r="K10" s="1495">
        <f t="shared" si="10"/>
        <v>100</v>
      </c>
      <c r="L10" s="1495">
        <f t="shared" si="10"/>
        <v>100</v>
      </c>
      <c r="M10" s="1495">
        <f t="shared" si="10"/>
        <v>100</v>
      </c>
      <c r="N10" s="1495">
        <f t="shared" si="10"/>
        <v>100</v>
      </c>
      <c r="O10" s="1495">
        <f t="shared" si="10"/>
        <v>100</v>
      </c>
      <c r="P10" s="1495">
        <f t="shared" si="10"/>
        <v>100</v>
      </c>
      <c r="Q10" s="1495">
        <f t="shared" si="10"/>
        <v>100</v>
      </c>
      <c r="R10" s="1495">
        <f t="shared" si="10"/>
        <v>100</v>
      </c>
      <c r="S10" s="1495">
        <f t="shared" si="10"/>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1">D12-$T11</f>
        <v>100</v>
      </c>
      <c r="F12" s="1032">
        <f t="shared" si="11"/>
        <v>100</v>
      </c>
      <c r="G12" s="1032">
        <f t="shared" si="11"/>
        <v>100</v>
      </c>
      <c r="H12" s="1032">
        <f t="shared" si="11"/>
        <v>100</v>
      </c>
      <c r="I12" s="1032">
        <f t="shared" si="11"/>
        <v>100</v>
      </c>
      <c r="J12" s="1032">
        <f t="shared" si="11"/>
        <v>100</v>
      </c>
      <c r="K12" s="1032">
        <f t="shared" si="11"/>
        <v>100</v>
      </c>
      <c r="L12" s="1032">
        <f t="shared" si="11"/>
        <v>100</v>
      </c>
      <c r="M12" s="1032">
        <f t="shared" si="11"/>
        <v>100</v>
      </c>
      <c r="N12" s="1032">
        <f t="shared" si="11"/>
        <v>100</v>
      </c>
      <c r="O12" s="1032">
        <f t="shared" si="11"/>
        <v>100</v>
      </c>
      <c r="P12" s="1032">
        <f t="shared" si="11"/>
        <v>100</v>
      </c>
      <c r="Q12" s="1032">
        <f t="shared" si="11"/>
        <v>100</v>
      </c>
      <c r="R12" s="1032">
        <f>Q12-$T11</f>
        <v>100</v>
      </c>
      <c r="S12" s="1032">
        <f t="shared" si="11"/>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2834</v>
      </c>
      <c r="B17" s="2366"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2836</v>
      </c>
      <c r="E19" s="1525"/>
      <c r="F19" s="1525"/>
      <c r="G19" s="1525"/>
      <c r="H19" s="1189"/>
      <c r="I19" s="163"/>
      <c r="J19" s="163"/>
      <c r="K19" s="163"/>
      <c r="L19" s="163"/>
      <c r="M19" s="163"/>
      <c r="N19" s="163"/>
      <c r="O19" s="163"/>
      <c r="P19" s="163"/>
      <c r="Q19" s="163"/>
      <c r="R19" s="726"/>
      <c r="S19" s="133"/>
    </row>
    <row r="20" spans="1:45" ht="16.5" thickBot="1">
      <c r="A20" s="670" t="s">
        <v>2837</v>
      </c>
      <c r="B20" s="299">
        <f ca="1">IF(D20="——",S22,S22-F20)</f>
        <v>110907</v>
      </c>
      <c r="C20" s="163"/>
      <c r="D20" s="2368" t="s">
        <v>70</v>
      </c>
      <c r="E20" s="1526"/>
      <c r="F20" s="1113" t="e">
        <f ca="1">SUMIF(INDIRECT("'"&amp;H20&amp;"'"&amp;"!A:A"),"承租人权益价值",INDIRECT("'"&amp;H20&amp;"'"&amp;"!c:c"))</f>
        <v>#REF!</v>
      </c>
      <c r="G20" s="1113" t="s">
        <v>2838</v>
      </c>
      <c r="H20" s="2369"/>
      <c r="I20" s="163"/>
      <c r="J20" s="163"/>
      <c r="K20" s="163"/>
      <c r="L20" s="163"/>
      <c r="M20" s="163"/>
      <c r="N20" s="163"/>
      <c r="O20" s="163"/>
      <c r="P20" s="163"/>
      <c r="Q20" s="163"/>
      <c r="R20" s="726"/>
      <c r="S20" s="133"/>
    </row>
    <row r="21" spans="1:45" ht="15.75">
      <c r="A21" s="670" t="s">
        <v>2839</v>
      </c>
      <c r="B21" s="299">
        <f ca="1">ROUND(B20*10000/B22,0)</f>
        <v>72585</v>
      </c>
      <c r="C21" s="163"/>
      <c r="D21" s="163"/>
      <c r="E21" s="163"/>
      <c r="F21" s="163"/>
      <c r="G21" s="163"/>
      <c r="H21" s="163"/>
      <c r="I21" s="163"/>
      <c r="J21" s="163"/>
      <c r="K21" s="163"/>
      <c r="L21" s="163"/>
      <c r="M21" s="163"/>
      <c r="N21" s="163"/>
      <c r="O21" s="163"/>
      <c r="P21" s="163"/>
      <c r="Q21" s="163"/>
      <c r="R21" s="726"/>
      <c r="S21" s="133"/>
    </row>
    <row r="22" spans="1:45">
      <c r="A22" s="321" t="s">
        <v>2840</v>
      </c>
      <c r="B22" s="24">
        <f>SUM(B24:B10000)</f>
        <v>15279.679999999998</v>
      </c>
      <c r="C22" s="3369" t="s">
        <v>33</v>
      </c>
      <c r="D22" s="3370"/>
      <c r="E22" s="3370"/>
      <c r="F22" s="3370"/>
      <c r="G22" s="3370"/>
      <c r="H22" s="3370"/>
      <c r="I22" s="3370"/>
      <c r="J22" s="3370"/>
      <c r="K22" s="3370"/>
      <c r="L22" s="3370"/>
      <c r="M22" s="3370"/>
      <c r="N22" s="3370"/>
      <c r="O22" s="3370"/>
      <c r="P22" s="3370"/>
      <c r="Q22" s="3371"/>
      <c r="R22" s="671">
        <f ca="1">ROUND(S22*10000/B22,0)</f>
        <v>72585</v>
      </c>
      <c r="S22" s="24">
        <f ca="1">SUM(S24:S10000)</f>
        <v>110907</v>
      </c>
    </row>
    <row r="23" spans="1:45" s="12" customFormat="1" ht="24">
      <c r="A23" s="11" t="s">
        <v>2841</v>
      </c>
      <c r="B23" s="11" t="s">
        <v>2842</v>
      </c>
      <c r="C23" s="11" t="s">
        <v>2843</v>
      </c>
      <c r="D23" s="11" t="str">
        <f>B5</f>
        <v>楼层</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面积指标!B14</f>
        <v>10</v>
      </c>
      <c r="B24" s="673">
        <f>面积指标!D14</f>
        <v>735.72</v>
      </c>
      <c r="C24" s="3059">
        <v>1</v>
      </c>
      <c r="D24" s="675" t="s">
        <v>3172</v>
      </c>
      <c r="E24" s="3059">
        <v>1</v>
      </c>
      <c r="F24" s="3060"/>
      <c r="G24" s="3059">
        <v>1</v>
      </c>
      <c r="H24" s="3060"/>
      <c r="I24" s="3059">
        <v>1</v>
      </c>
      <c r="J24" s="3060"/>
      <c r="K24" s="3059">
        <v>1</v>
      </c>
      <c r="L24" s="3060"/>
      <c r="M24" s="3059">
        <v>1</v>
      </c>
      <c r="N24" s="3060"/>
      <c r="O24" s="3059">
        <v>1</v>
      </c>
      <c r="P24" s="3060"/>
      <c r="Q24" s="3059">
        <v>1</v>
      </c>
      <c r="R24" s="676">
        <f ca="1">结果表!G20</f>
        <v>72324</v>
      </c>
      <c r="S24" s="674">
        <f t="shared" ref="S24:S54" ca="1" si="12">ROUND(R24*B24/10000,0)</f>
        <v>5321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面积指标!B2</f>
        <v>1</v>
      </c>
      <c r="B25" s="673">
        <f>面积指标!D2</f>
        <v>334.06</v>
      </c>
      <c r="C25" s="24">
        <f>IF(B25="",1,(LOOKUP(B25,$3:$3,$4:$4)-LOOKUP($B$24,$3:$3,$4:$4)+100)/100)</f>
        <v>1.02</v>
      </c>
      <c r="D25" s="3060" t="s">
        <v>3174</v>
      </c>
      <c r="E25" s="24">
        <f>(SUMIF($5:$5,D25,$6:$6)-SUMIF($5:$5,$D$24,$6:$6)+100)/100</f>
        <v>0.98</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72295</v>
      </c>
      <c r="S25" s="321">
        <f t="shared" ca="1" si="12"/>
        <v>2415</v>
      </c>
    </row>
    <row r="26" spans="1:45">
      <c r="A26" s="673">
        <f>面积指标!B3</f>
        <v>1</v>
      </c>
      <c r="B26" s="673">
        <f>面积指标!D3</f>
        <v>300.45999999999998</v>
      </c>
      <c r="C26" s="24">
        <f t="shared" ref="C26:C89" si="13">IF(B26="",1,(LOOKUP(B26,$3:$3,$4:$4)-LOOKUP($B$24,$3:$3,$4:$4)+100)/100)</f>
        <v>1.02</v>
      </c>
      <c r="D26" s="3060" t="s">
        <v>3174</v>
      </c>
      <c r="E26" s="24">
        <f t="shared" ref="E26:E89" si="14">(SUMIF($5:$5,D26,$6:$6)-SUMIF($5:$5,$D$24,$6:$6)+100)/100</f>
        <v>0.98</v>
      </c>
      <c r="F26" s="675"/>
      <c r="G26" s="24">
        <f t="shared" ref="G26:G89" si="15">(SUMIF($7:$7,F26,$8:$8)-SUMIF($7:$7,$F$24,$8:$8)+100)/100</f>
        <v>1</v>
      </c>
      <c r="H26" s="675"/>
      <c r="I26" s="24">
        <f t="shared" ref="I26:I89" si="16">(SUMIF($9:$9,H26,$10:$10)-SUMIF($9:$9,$H$24,$10:$10)+100)/100</f>
        <v>1</v>
      </c>
      <c r="J26" s="675"/>
      <c r="K26" s="24">
        <f t="shared" ref="K26:K89" si="17">(SUMIF($11:$11,J26,$12:$12)-SUMIF($11:$11,$J$24,$12:$12)+100)/100</f>
        <v>1</v>
      </c>
      <c r="L26" s="675"/>
      <c r="M26" s="24">
        <f t="shared" ref="M26:M89" si="18">(SUMIF($13:$13,L26,$14:$14)-SUMIF($13:$13,$L$24,$14:$14)+100)/100</f>
        <v>1</v>
      </c>
      <c r="N26" s="675"/>
      <c r="O26" s="24">
        <f t="shared" ref="O26:O89" si="19">(SUMIF($15:$15,N26,$16:$16)-SUMIF($15:$15,$N$24,$16:$16)+100)/100</f>
        <v>1</v>
      </c>
      <c r="P26" s="675"/>
      <c r="Q26" s="24">
        <f t="shared" ref="Q26:Q89" si="20">(SUMIF($17:$17,P26,$18:$18)-SUMIF($17:$17,$P$24,$18:$18)+100)/100</f>
        <v>1</v>
      </c>
      <c r="R26" s="671">
        <f t="shared" ref="R26:R89" ca="1" si="21">IF(B26="",0,ROUND($R$24*C26*E26*G26*I26*K26*M26*O26*Q26,0))</f>
        <v>72295</v>
      </c>
      <c r="S26" s="321">
        <f t="shared" ca="1" si="12"/>
        <v>2172</v>
      </c>
    </row>
    <row r="27" spans="1:45">
      <c r="A27" s="673">
        <f>面积指标!B4</f>
        <v>1</v>
      </c>
      <c r="B27" s="673">
        <f>面积指标!D4</f>
        <v>145.61000000000001</v>
      </c>
      <c r="C27" s="24">
        <f t="shared" si="13"/>
        <v>1</v>
      </c>
      <c r="D27" s="3060" t="s">
        <v>3174</v>
      </c>
      <c r="E27" s="24">
        <f t="shared" si="14"/>
        <v>0.98</v>
      </c>
      <c r="F27" s="675"/>
      <c r="G27" s="24">
        <f t="shared" si="15"/>
        <v>1</v>
      </c>
      <c r="H27" s="675"/>
      <c r="I27" s="24">
        <f t="shared" si="16"/>
        <v>1</v>
      </c>
      <c r="J27" s="675"/>
      <c r="K27" s="24">
        <f t="shared" si="17"/>
        <v>1</v>
      </c>
      <c r="L27" s="675"/>
      <c r="M27" s="24">
        <f t="shared" si="18"/>
        <v>1</v>
      </c>
      <c r="N27" s="675"/>
      <c r="O27" s="24">
        <f t="shared" si="19"/>
        <v>1</v>
      </c>
      <c r="P27" s="675"/>
      <c r="Q27" s="24">
        <f t="shared" si="20"/>
        <v>1</v>
      </c>
      <c r="R27" s="671">
        <f t="shared" ca="1" si="21"/>
        <v>70878</v>
      </c>
      <c r="S27" s="321">
        <f t="shared" ca="1" si="12"/>
        <v>1032</v>
      </c>
    </row>
    <row r="28" spans="1:45">
      <c r="A28" s="673">
        <f>面积指标!B5</f>
        <v>1</v>
      </c>
      <c r="B28" s="673">
        <f>面积指标!D5</f>
        <v>260.87</v>
      </c>
      <c r="C28" s="24">
        <f t="shared" si="13"/>
        <v>1</v>
      </c>
      <c r="D28" s="3060" t="s">
        <v>3174</v>
      </c>
      <c r="E28" s="24">
        <f t="shared" si="14"/>
        <v>0.98</v>
      </c>
      <c r="F28" s="675"/>
      <c r="G28" s="24">
        <f t="shared" si="15"/>
        <v>1</v>
      </c>
      <c r="H28" s="675"/>
      <c r="I28" s="24">
        <f t="shared" si="16"/>
        <v>1</v>
      </c>
      <c r="J28" s="675"/>
      <c r="K28" s="24">
        <f t="shared" si="17"/>
        <v>1</v>
      </c>
      <c r="L28" s="675"/>
      <c r="M28" s="24">
        <f t="shared" si="18"/>
        <v>1</v>
      </c>
      <c r="N28" s="675"/>
      <c r="O28" s="24">
        <f t="shared" si="19"/>
        <v>1</v>
      </c>
      <c r="P28" s="675"/>
      <c r="Q28" s="24">
        <f t="shared" si="20"/>
        <v>1</v>
      </c>
      <c r="R28" s="671">
        <f t="shared" ca="1" si="21"/>
        <v>70878</v>
      </c>
      <c r="S28" s="321">
        <f t="shared" ca="1" si="12"/>
        <v>1849</v>
      </c>
    </row>
    <row r="29" spans="1:45">
      <c r="A29" s="673">
        <f>面积指标!B6</f>
        <v>1</v>
      </c>
      <c r="B29" s="673">
        <f>面积指标!D6</f>
        <v>349.41</v>
      </c>
      <c r="C29" s="24">
        <f t="shared" si="13"/>
        <v>1.02</v>
      </c>
      <c r="D29" s="3060" t="s">
        <v>3174</v>
      </c>
      <c r="E29" s="24">
        <f t="shared" si="14"/>
        <v>0.98</v>
      </c>
      <c r="F29" s="675"/>
      <c r="G29" s="24">
        <f t="shared" si="15"/>
        <v>1</v>
      </c>
      <c r="H29" s="675"/>
      <c r="I29" s="24">
        <f t="shared" si="16"/>
        <v>1</v>
      </c>
      <c r="J29" s="675"/>
      <c r="K29" s="24">
        <f t="shared" si="17"/>
        <v>1</v>
      </c>
      <c r="L29" s="675"/>
      <c r="M29" s="24">
        <f t="shared" si="18"/>
        <v>1</v>
      </c>
      <c r="N29" s="675"/>
      <c r="O29" s="24">
        <f t="shared" si="19"/>
        <v>1</v>
      </c>
      <c r="P29" s="675"/>
      <c r="Q29" s="24">
        <f t="shared" si="20"/>
        <v>1</v>
      </c>
      <c r="R29" s="671">
        <f t="shared" ca="1" si="21"/>
        <v>72295</v>
      </c>
      <c r="S29" s="321">
        <f t="shared" ca="1" si="12"/>
        <v>2526</v>
      </c>
    </row>
    <row r="30" spans="1:45">
      <c r="A30" s="673">
        <f>面积指标!B7</f>
        <v>1</v>
      </c>
      <c r="B30" s="673">
        <f>面积指标!D7</f>
        <v>137.94999999999999</v>
      </c>
      <c r="C30" s="24">
        <f t="shared" si="13"/>
        <v>1</v>
      </c>
      <c r="D30" s="3060" t="s">
        <v>3174</v>
      </c>
      <c r="E30" s="24">
        <f t="shared" si="14"/>
        <v>0.98</v>
      </c>
      <c r="F30" s="675"/>
      <c r="G30" s="24">
        <f t="shared" si="15"/>
        <v>1</v>
      </c>
      <c r="H30" s="675"/>
      <c r="I30" s="24">
        <f t="shared" si="16"/>
        <v>1</v>
      </c>
      <c r="J30" s="675"/>
      <c r="K30" s="24">
        <f t="shared" si="17"/>
        <v>1</v>
      </c>
      <c r="L30" s="675"/>
      <c r="M30" s="24">
        <f t="shared" si="18"/>
        <v>1</v>
      </c>
      <c r="N30" s="675"/>
      <c r="O30" s="24">
        <f t="shared" si="19"/>
        <v>1</v>
      </c>
      <c r="P30" s="675"/>
      <c r="Q30" s="24">
        <f t="shared" si="20"/>
        <v>1</v>
      </c>
      <c r="R30" s="671">
        <f t="shared" ca="1" si="21"/>
        <v>70878</v>
      </c>
      <c r="S30" s="321">
        <f t="shared" ca="1" si="12"/>
        <v>978</v>
      </c>
    </row>
    <row r="31" spans="1:45">
      <c r="A31" s="673">
        <f>面积指标!B8</f>
        <v>1</v>
      </c>
      <c r="B31" s="673">
        <f>面积指标!D8</f>
        <v>125.23</v>
      </c>
      <c r="C31" s="24">
        <f t="shared" si="13"/>
        <v>1</v>
      </c>
      <c r="D31" s="3060" t="s">
        <v>3174</v>
      </c>
      <c r="E31" s="24">
        <f t="shared" si="14"/>
        <v>0.98</v>
      </c>
      <c r="F31" s="675"/>
      <c r="G31" s="24">
        <f t="shared" si="15"/>
        <v>1</v>
      </c>
      <c r="H31" s="675"/>
      <c r="I31" s="24">
        <f t="shared" si="16"/>
        <v>1</v>
      </c>
      <c r="J31" s="675"/>
      <c r="K31" s="24">
        <f t="shared" si="17"/>
        <v>1</v>
      </c>
      <c r="L31" s="675"/>
      <c r="M31" s="24">
        <f t="shared" si="18"/>
        <v>1</v>
      </c>
      <c r="N31" s="675"/>
      <c r="O31" s="24">
        <f t="shared" si="19"/>
        <v>1</v>
      </c>
      <c r="P31" s="675"/>
      <c r="Q31" s="24">
        <f t="shared" si="20"/>
        <v>1</v>
      </c>
      <c r="R31" s="671">
        <f t="shared" ca="1" si="21"/>
        <v>70878</v>
      </c>
      <c r="S31" s="321">
        <f t="shared" ca="1" si="12"/>
        <v>888</v>
      </c>
    </row>
    <row r="32" spans="1:45">
      <c r="A32" s="673">
        <f>面积指标!B9</f>
        <v>2</v>
      </c>
      <c r="B32" s="673">
        <f>面积指标!D9</f>
        <v>755.97</v>
      </c>
      <c r="C32" s="24">
        <f t="shared" si="13"/>
        <v>1</v>
      </c>
      <c r="D32" s="3060" t="s">
        <v>3174</v>
      </c>
      <c r="E32" s="24">
        <f t="shared" si="14"/>
        <v>0.98</v>
      </c>
      <c r="F32" s="675"/>
      <c r="G32" s="24">
        <f t="shared" si="15"/>
        <v>1</v>
      </c>
      <c r="H32" s="675"/>
      <c r="I32" s="24">
        <f t="shared" si="16"/>
        <v>1</v>
      </c>
      <c r="J32" s="675"/>
      <c r="K32" s="24">
        <f t="shared" si="17"/>
        <v>1</v>
      </c>
      <c r="L32" s="675"/>
      <c r="M32" s="24">
        <f t="shared" si="18"/>
        <v>1</v>
      </c>
      <c r="N32" s="675"/>
      <c r="O32" s="24">
        <f t="shared" si="19"/>
        <v>1</v>
      </c>
      <c r="P32" s="675"/>
      <c r="Q32" s="24">
        <f t="shared" si="20"/>
        <v>1</v>
      </c>
      <c r="R32" s="671">
        <f t="shared" ca="1" si="21"/>
        <v>70878</v>
      </c>
      <c r="S32" s="321">
        <f t="shared" ca="1" si="12"/>
        <v>5358</v>
      </c>
    </row>
    <row r="33" spans="1:19">
      <c r="A33" s="673">
        <f>面积指标!B10</f>
        <v>2</v>
      </c>
      <c r="B33" s="673">
        <f>面积指标!D10</f>
        <v>328.45</v>
      </c>
      <c r="C33" s="24">
        <f t="shared" si="13"/>
        <v>1.02</v>
      </c>
      <c r="D33" s="3060" t="s">
        <v>3174</v>
      </c>
      <c r="E33" s="24">
        <f t="shared" si="14"/>
        <v>0.98</v>
      </c>
      <c r="F33" s="675"/>
      <c r="G33" s="24">
        <f t="shared" si="15"/>
        <v>1</v>
      </c>
      <c r="H33" s="675"/>
      <c r="I33" s="24">
        <f t="shared" si="16"/>
        <v>1</v>
      </c>
      <c r="J33" s="675"/>
      <c r="K33" s="24">
        <f t="shared" si="17"/>
        <v>1</v>
      </c>
      <c r="L33" s="675"/>
      <c r="M33" s="24">
        <f t="shared" si="18"/>
        <v>1</v>
      </c>
      <c r="N33" s="675"/>
      <c r="O33" s="24">
        <f t="shared" si="19"/>
        <v>1</v>
      </c>
      <c r="P33" s="675"/>
      <c r="Q33" s="24">
        <f t="shared" si="20"/>
        <v>1</v>
      </c>
      <c r="R33" s="671">
        <f t="shared" ca="1" si="21"/>
        <v>72295</v>
      </c>
      <c r="S33" s="321">
        <f t="shared" ca="1" si="12"/>
        <v>2375</v>
      </c>
    </row>
    <row r="34" spans="1:19">
      <c r="A34" s="673">
        <f>面积指标!B11</f>
        <v>2</v>
      </c>
      <c r="B34" s="673">
        <f>面积指标!D11</f>
        <v>570.51</v>
      </c>
      <c r="C34" s="24">
        <f t="shared" si="13"/>
        <v>1</v>
      </c>
      <c r="D34" s="3060" t="s">
        <v>3174</v>
      </c>
      <c r="E34" s="24">
        <f t="shared" si="14"/>
        <v>0.98</v>
      </c>
      <c r="F34" s="675"/>
      <c r="G34" s="24">
        <f t="shared" si="15"/>
        <v>1</v>
      </c>
      <c r="H34" s="675"/>
      <c r="I34" s="24">
        <f t="shared" si="16"/>
        <v>1</v>
      </c>
      <c r="J34" s="675"/>
      <c r="K34" s="24">
        <f t="shared" si="17"/>
        <v>1</v>
      </c>
      <c r="L34" s="675"/>
      <c r="M34" s="24">
        <f t="shared" si="18"/>
        <v>1</v>
      </c>
      <c r="N34" s="675"/>
      <c r="O34" s="24">
        <f t="shared" si="19"/>
        <v>1</v>
      </c>
      <c r="P34" s="675"/>
      <c r="Q34" s="24">
        <f t="shared" si="20"/>
        <v>1</v>
      </c>
      <c r="R34" s="671">
        <f t="shared" ca="1" si="21"/>
        <v>70878</v>
      </c>
      <c r="S34" s="321">
        <f t="shared" ca="1" si="12"/>
        <v>4044</v>
      </c>
    </row>
    <row r="35" spans="1:19">
      <c r="A35" s="673">
        <f>面积指标!B12</f>
        <v>2</v>
      </c>
      <c r="B35" s="673">
        <f>面积指标!D12</f>
        <v>108.82</v>
      </c>
      <c r="C35" s="24">
        <f t="shared" si="13"/>
        <v>1</v>
      </c>
      <c r="D35" s="3060" t="s">
        <v>3174</v>
      </c>
      <c r="E35" s="24">
        <f t="shared" si="14"/>
        <v>0.98</v>
      </c>
      <c r="F35" s="675"/>
      <c r="G35" s="24">
        <f t="shared" si="15"/>
        <v>1</v>
      </c>
      <c r="H35" s="675"/>
      <c r="I35" s="24">
        <f t="shared" si="16"/>
        <v>1</v>
      </c>
      <c r="J35" s="675"/>
      <c r="K35" s="24">
        <f t="shared" si="17"/>
        <v>1</v>
      </c>
      <c r="L35" s="675"/>
      <c r="M35" s="24">
        <f t="shared" si="18"/>
        <v>1</v>
      </c>
      <c r="N35" s="675"/>
      <c r="O35" s="24">
        <f t="shared" si="19"/>
        <v>1</v>
      </c>
      <c r="P35" s="675"/>
      <c r="Q35" s="24">
        <f t="shared" si="20"/>
        <v>1</v>
      </c>
      <c r="R35" s="671">
        <f t="shared" ca="1" si="21"/>
        <v>70878</v>
      </c>
      <c r="S35" s="321">
        <f t="shared" ca="1" si="12"/>
        <v>771</v>
      </c>
    </row>
    <row r="36" spans="1:19">
      <c r="A36" s="673">
        <f>面积指标!B13</f>
        <v>2</v>
      </c>
      <c r="B36" s="673">
        <f>面积指标!D13</f>
        <v>117.86</v>
      </c>
      <c r="C36" s="24">
        <f t="shared" si="13"/>
        <v>1</v>
      </c>
      <c r="D36" s="3060" t="s">
        <v>3174</v>
      </c>
      <c r="E36" s="24">
        <f t="shared" si="14"/>
        <v>0.98</v>
      </c>
      <c r="F36" s="675"/>
      <c r="G36" s="24">
        <f t="shared" si="15"/>
        <v>1</v>
      </c>
      <c r="H36" s="675"/>
      <c r="I36" s="24">
        <f t="shared" si="16"/>
        <v>1</v>
      </c>
      <c r="J36" s="675"/>
      <c r="K36" s="24">
        <f t="shared" si="17"/>
        <v>1</v>
      </c>
      <c r="L36" s="675"/>
      <c r="M36" s="24">
        <f t="shared" si="18"/>
        <v>1</v>
      </c>
      <c r="N36" s="675"/>
      <c r="O36" s="24">
        <f t="shared" si="19"/>
        <v>1</v>
      </c>
      <c r="P36" s="675"/>
      <c r="Q36" s="24">
        <f t="shared" si="20"/>
        <v>1</v>
      </c>
      <c r="R36" s="671">
        <f t="shared" ca="1" si="21"/>
        <v>70878</v>
      </c>
      <c r="S36" s="321">
        <f t="shared" ca="1" si="12"/>
        <v>835</v>
      </c>
    </row>
    <row r="37" spans="1:19">
      <c r="A37" s="673">
        <f>面积指标!B15</f>
        <v>10</v>
      </c>
      <c r="B37" s="673">
        <f>面积指标!D15</f>
        <v>222.94</v>
      </c>
      <c r="C37" s="24">
        <f t="shared" si="13"/>
        <v>1</v>
      </c>
      <c r="D37" s="675" t="s">
        <v>3172</v>
      </c>
      <c r="E37" s="24">
        <f t="shared" si="14"/>
        <v>1</v>
      </c>
      <c r="F37" s="675"/>
      <c r="G37" s="24">
        <f t="shared" si="15"/>
        <v>1</v>
      </c>
      <c r="H37" s="675"/>
      <c r="I37" s="24">
        <f t="shared" si="16"/>
        <v>1</v>
      </c>
      <c r="J37" s="675"/>
      <c r="K37" s="24">
        <f t="shared" si="17"/>
        <v>1</v>
      </c>
      <c r="L37" s="675"/>
      <c r="M37" s="24">
        <f t="shared" si="18"/>
        <v>1</v>
      </c>
      <c r="N37" s="675"/>
      <c r="O37" s="24">
        <f t="shared" si="19"/>
        <v>1</v>
      </c>
      <c r="P37" s="675"/>
      <c r="Q37" s="24">
        <f t="shared" si="20"/>
        <v>1</v>
      </c>
      <c r="R37" s="671">
        <f t="shared" ca="1" si="21"/>
        <v>72324</v>
      </c>
      <c r="S37" s="321">
        <f t="shared" ca="1" si="12"/>
        <v>1612</v>
      </c>
    </row>
    <row r="38" spans="1:19">
      <c r="A38" s="673">
        <f>面积指标!B16</f>
        <v>10</v>
      </c>
      <c r="B38" s="673">
        <f>面积指标!D16</f>
        <v>96.58</v>
      </c>
      <c r="C38" s="24">
        <f t="shared" si="13"/>
        <v>1</v>
      </c>
      <c r="D38" s="675" t="s">
        <v>3172</v>
      </c>
      <c r="E38" s="24">
        <f t="shared" si="14"/>
        <v>1</v>
      </c>
      <c r="F38" s="675"/>
      <c r="G38" s="24">
        <f t="shared" si="15"/>
        <v>1</v>
      </c>
      <c r="H38" s="675"/>
      <c r="I38" s="24">
        <f t="shared" si="16"/>
        <v>1</v>
      </c>
      <c r="J38" s="675"/>
      <c r="K38" s="24">
        <f t="shared" si="17"/>
        <v>1</v>
      </c>
      <c r="L38" s="675"/>
      <c r="M38" s="24">
        <f t="shared" si="18"/>
        <v>1</v>
      </c>
      <c r="N38" s="675"/>
      <c r="O38" s="24">
        <f t="shared" si="19"/>
        <v>1</v>
      </c>
      <c r="P38" s="675"/>
      <c r="Q38" s="24">
        <f t="shared" si="20"/>
        <v>1</v>
      </c>
      <c r="R38" s="671">
        <f t="shared" ca="1" si="21"/>
        <v>72324</v>
      </c>
      <c r="S38" s="321">
        <f t="shared" ca="1" si="12"/>
        <v>699</v>
      </c>
    </row>
    <row r="39" spans="1:19">
      <c r="A39" s="673">
        <f>面积指标!B17</f>
        <v>10</v>
      </c>
      <c r="B39" s="673">
        <f>面积指标!D17</f>
        <v>639.46</v>
      </c>
      <c r="C39" s="24">
        <f t="shared" si="13"/>
        <v>1</v>
      </c>
      <c r="D39" s="675" t="s">
        <v>3172</v>
      </c>
      <c r="E39" s="24">
        <f t="shared" si="14"/>
        <v>1</v>
      </c>
      <c r="F39" s="675"/>
      <c r="G39" s="24">
        <f t="shared" si="15"/>
        <v>1</v>
      </c>
      <c r="H39" s="675"/>
      <c r="I39" s="24">
        <f t="shared" si="16"/>
        <v>1</v>
      </c>
      <c r="J39" s="675"/>
      <c r="K39" s="24">
        <f t="shared" si="17"/>
        <v>1</v>
      </c>
      <c r="L39" s="675"/>
      <c r="M39" s="24">
        <f t="shared" si="18"/>
        <v>1</v>
      </c>
      <c r="N39" s="675"/>
      <c r="O39" s="24">
        <f t="shared" si="19"/>
        <v>1</v>
      </c>
      <c r="P39" s="675"/>
      <c r="Q39" s="24">
        <f t="shared" si="20"/>
        <v>1</v>
      </c>
      <c r="R39" s="671">
        <f t="shared" ca="1" si="21"/>
        <v>72324</v>
      </c>
      <c r="S39" s="321">
        <f t="shared" ca="1" si="12"/>
        <v>4625</v>
      </c>
    </row>
    <row r="40" spans="1:19">
      <c r="A40" s="673">
        <f>面积指标!B18</f>
        <v>10</v>
      </c>
      <c r="B40" s="673">
        <f>面积指标!D18</f>
        <v>222.94</v>
      </c>
      <c r="C40" s="24">
        <f t="shared" si="13"/>
        <v>1</v>
      </c>
      <c r="D40" s="675" t="s">
        <v>3172</v>
      </c>
      <c r="E40" s="24">
        <f t="shared" si="14"/>
        <v>1</v>
      </c>
      <c r="F40" s="675"/>
      <c r="G40" s="24">
        <f t="shared" si="15"/>
        <v>1</v>
      </c>
      <c r="H40" s="675"/>
      <c r="I40" s="24">
        <f t="shared" si="16"/>
        <v>1</v>
      </c>
      <c r="J40" s="675"/>
      <c r="K40" s="24">
        <f t="shared" si="17"/>
        <v>1</v>
      </c>
      <c r="L40" s="675"/>
      <c r="M40" s="24">
        <f t="shared" si="18"/>
        <v>1</v>
      </c>
      <c r="N40" s="675"/>
      <c r="O40" s="24">
        <f t="shared" si="19"/>
        <v>1</v>
      </c>
      <c r="P40" s="675"/>
      <c r="Q40" s="24">
        <f t="shared" si="20"/>
        <v>1</v>
      </c>
      <c r="R40" s="671">
        <f t="shared" ca="1" si="21"/>
        <v>72324</v>
      </c>
      <c r="S40" s="321">
        <f t="shared" ca="1" si="12"/>
        <v>1612</v>
      </c>
    </row>
    <row r="41" spans="1:19">
      <c r="A41" s="673">
        <f>面积指标!B19</f>
        <v>10</v>
      </c>
      <c r="B41" s="673">
        <f>面积指标!D19</f>
        <v>222.94</v>
      </c>
      <c r="C41" s="24">
        <f t="shared" si="13"/>
        <v>1</v>
      </c>
      <c r="D41" s="675" t="s">
        <v>3172</v>
      </c>
      <c r="E41" s="24">
        <f t="shared" si="14"/>
        <v>1</v>
      </c>
      <c r="F41" s="675"/>
      <c r="G41" s="24">
        <f t="shared" si="15"/>
        <v>1</v>
      </c>
      <c r="H41" s="675"/>
      <c r="I41" s="24">
        <f t="shared" si="16"/>
        <v>1</v>
      </c>
      <c r="J41" s="675"/>
      <c r="K41" s="24">
        <f t="shared" si="17"/>
        <v>1</v>
      </c>
      <c r="L41" s="675"/>
      <c r="M41" s="24">
        <f t="shared" si="18"/>
        <v>1</v>
      </c>
      <c r="N41" s="675"/>
      <c r="O41" s="24">
        <f t="shared" si="19"/>
        <v>1</v>
      </c>
      <c r="P41" s="675"/>
      <c r="Q41" s="24">
        <f t="shared" si="20"/>
        <v>1</v>
      </c>
      <c r="R41" s="671">
        <f t="shared" ca="1" si="21"/>
        <v>72324</v>
      </c>
      <c r="S41" s="321">
        <f t="shared" ca="1" si="12"/>
        <v>1612</v>
      </c>
    </row>
    <row r="42" spans="1:19">
      <c r="A42" s="673">
        <f>面积指标!B20</f>
        <v>10</v>
      </c>
      <c r="B42" s="673">
        <f>面积指标!D20</f>
        <v>80.22</v>
      </c>
      <c r="C42" s="24">
        <f t="shared" si="13"/>
        <v>1</v>
      </c>
      <c r="D42" s="675" t="s">
        <v>3172</v>
      </c>
      <c r="E42" s="24">
        <f t="shared" si="14"/>
        <v>1</v>
      </c>
      <c r="F42" s="675"/>
      <c r="G42" s="24">
        <f t="shared" si="15"/>
        <v>1</v>
      </c>
      <c r="H42" s="675"/>
      <c r="I42" s="24">
        <f t="shared" si="16"/>
        <v>1</v>
      </c>
      <c r="J42" s="675"/>
      <c r="K42" s="24">
        <f t="shared" si="17"/>
        <v>1</v>
      </c>
      <c r="L42" s="675"/>
      <c r="M42" s="24">
        <f t="shared" si="18"/>
        <v>1</v>
      </c>
      <c r="N42" s="675"/>
      <c r="O42" s="24">
        <f t="shared" si="19"/>
        <v>1</v>
      </c>
      <c r="P42" s="675"/>
      <c r="Q42" s="24">
        <f t="shared" si="20"/>
        <v>1</v>
      </c>
      <c r="R42" s="671">
        <f t="shared" ca="1" si="21"/>
        <v>72324</v>
      </c>
      <c r="S42" s="321">
        <f t="shared" ca="1" si="12"/>
        <v>580</v>
      </c>
    </row>
    <row r="43" spans="1:19">
      <c r="A43" s="673">
        <f>面积指标!B21</f>
        <v>10</v>
      </c>
      <c r="B43" s="673">
        <f>面积指标!D21</f>
        <v>80.22</v>
      </c>
      <c r="C43" s="24">
        <f t="shared" si="13"/>
        <v>1</v>
      </c>
      <c r="D43" s="675" t="s">
        <v>3172</v>
      </c>
      <c r="E43" s="24">
        <f t="shared" si="14"/>
        <v>1</v>
      </c>
      <c r="F43" s="675"/>
      <c r="G43" s="24">
        <f t="shared" si="15"/>
        <v>1</v>
      </c>
      <c r="H43" s="675"/>
      <c r="I43" s="24">
        <f t="shared" si="16"/>
        <v>1</v>
      </c>
      <c r="J43" s="675"/>
      <c r="K43" s="24">
        <f t="shared" si="17"/>
        <v>1</v>
      </c>
      <c r="L43" s="675"/>
      <c r="M43" s="24">
        <f t="shared" si="18"/>
        <v>1</v>
      </c>
      <c r="N43" s="675"/>
      <c r="O43" s="24">
        <f t="shared" si="19"/>
        <v>1</v>
      </c>
      <c r="P43" s="675"/>
      <c r="Q43" s="24">
        <f t="shared" si="20"/>
        <v>1</v>
      </c>
      <c r="R43" s="671">
        <f t="shared" ca="1" si="21"/>
        <v>72324</v>
      </c>
      <c r="S43" s="321">
        <f t="shared" ca="1" si="12"/>
        <v>580</v>
      </c>
    </row>
    <row r="44" spans="1:19">
      <c r="A44" s="673">
        <f>面积指标!B22</f>
        <v>13</v>
      </c>
      <c r="B44" s="673">
        <f>面积指标!D22</f>
        <v>733.77</v>
      </c>
      <c r="C44" s="24">
        <f t="shared" si="13"/>
        <v>1</v>
      </c>
      <c r="D44" s="675" t="s">
        <v>3170</v>
      </c>
      <c r="E44" s="24">
        <f t="shared" si="14"/>
        <v>1.02</v>
      </c>
      <c r="F44" s="675"/>
      <c r="G44" s="24">
        <f t="shared" si="15"/>
        <v>1</v>
      </c>
      <c r="H44" s="675"/>
      <c r="I44" s="24">
        <f t="shared" si="16"/>
        <v>1</v>
      </c>
      <c r="J44" s="675"/>
      <c r="K44" s="24">
        <f t="shared" si="17"/>
        <v>1</v>
      </c>
      <c r="L44" s="675"/>
      <c r="M44" s="24">
        <f t="shared" si="18"/>
        <v>1</v>
      </c>
      <c r="N44" s="675"/>
      <c r="O44" s="24">
        <f t="shared" si="19"/>
        <v>1</v>
      </c>
      <c r="P44" s="675"/>
      <c r="Q44" s="24">
        <f t="shared" si="20"/>
        <v>1</v>
      </c>
      <c r="R44" s="671">
        <f t="shared" ca="1" si="21"/>
        <v>73770</v>
      </c>
      <c r="S44" s="321">
        <f t="shared" ca="1" si="12"/>
        <v>5413</v>
      </c>
    </row>
    <row r="45" spans="1:19">
      <c r="A45" s="673">
        <f>面积指标!B23</f>
        <v>13</v>
      </c>
      <c r="B45" s="673">
        <f>面积指标!D23</f>
        <v>222.94</v>
      </c>
      <c r="C45" s="24">
        <f t="shared" si="13"/>
        <v>1</v>
      </c>
      <c r="D45" s="675" t="s">
        <v>3170</v>
      </c>
      <c r="E45" s="24">
        <f t="shared" si="14"/>
        <v>1.02</v>
      </c>
      <c r="F45" s="675"/>
      <c r="G45" s="24">
        <f t="shared" si="15"/>
        <v>1</v>
      </c>
      <c r="H45" s="675"/>
      <c r="I45" s="24">
        <f t="shared" si="16"/>
        <v>1</v>
      </c>
      <c r="J45" s="675"/>
      <c r="K45" s="24">
        <f t="shared" si="17"/>
        <v>1</v>
      </c>
      <c r="L45" s="675"/>
      <c r="M45" s="24">
        <f t="shared" si="18"/>
        <v>1</v>
      </c>
      <c r="N45" s="675"/>
      <c r="O45" s="24">
        <f t="shared" si="19"/>
        <v>1</v>
      </c>
      <c r="P45" s="675"/>
      <c r="Q45" s="24">
        <f t="shared" si="20"/>
        <v>1</v>
      </c>
      <c r="R45" s="671">
        <f t="shared" ca="1" si="21"/>
        <v>73770</v>
      </c>
      <c r="S45" s="321">
        <f t="shared" ca="1" si="12"/>
        <v>1645</v>
      </c>
    </row>
    <row r="46" spans="1:19">
      <c r="A46" s="673">
        <f>面积指标!B24</f>
        <v>13</v>
      </c>
      <c r="B46" s="673">
        <f>面积指标!D24</f>
        <v>94.41</v>
      </c>
      <c r="C46" s="24">
        <f t="shared" si="13"/>
        <v>1</v>
      </c>
      <c r="D46" s="675" t="s">
        <v>3170</v>
      </c>
      <c r="E46" s="24">
        <f t="shared" si="14"/>
        <v>1.02</v>
      </c>
      <c r="F46" s="675"/>
      <c r="G46" s="24">
        <f t="shared" si="15"/>
        <v>1</v>
      </c>
      <c r="H46" s="675"/>
      <c r="I46" s="24">
        <f t="shared" si="16"/>
        <v>1</v>
      </c>
      <c r="J46" s="675"/>
      <c r="K46" s="24">
        <f t="shared" si="17"/>
        <v>1</v>
      </c>
      <c r="L46" s="675"/>
      <c r="M46" s="24">
        <f t="shared" si="18"/>
        <v>1</v>
      </c>
      <c r="N46" s="675"/>
      <c r="O46" s="24">
        <f t="shared" si="19"/>
        <v>1</v>
      </c>
      <c r="P46" s="675"/>
      <c r="Q46" s="24">
        <f t="shared" si="20"/>
        <v>1</v>
      </c>
      <c r="R46" s="671">
        <f t="shared" ca="1" si="21"/>
        <v>73770</v>
      </c>
      <c r="S46" s="321">
        <f t="shared" ca="1" si="12"/>
        <v>696</v>
      </c>
    </row>
    <row r="47" spans="1:19">
      <c r="A47" s="673">
        <f>面积指标!B25</f>
        <v>13</v>
      </c>
      <c r="B47" s="673">
        <f>面积指标!D25</f>
        <v>703.89</v>
      </c>
      <c r="C47" s="24">
        <f t="shared" si="13"/>
        <v>1</v>
      </c>
      <c r="D47" s="675" t="s">
        <v>3170</v>
      </c>
      <c r="E47" s="24">
        <f t="shared" si="14"/>
        <v>1.02</v>
      </c>
      <c r="F47" s="675"/>
      <c r="G47" s="24">
        <f t="shared" si="15"/>
        <v>1</v>
      </c>
      <c r="H47" s="675"/>
      <c r="I47" s="24">
        <f t="shared" si="16"/>
        <v>1</v>
      </c>
      <c r="J47" s="675"/>
      <c r="K47" s="24">
        <f t="shared" si="17"/>
        <v>1</v>
      </c>
      <c r="L47" s="675"/>
      <c r="M47" s="24">
        <f t="shared" si="18"/>
        <v>1</v>
      </c>
      <c r="N47" s="675"/>
      <c r="O47" s="24">
        <f t="shared" si="19"/>
        <v>1</v>
      </c>
      <c r="P47" s="675"/>
      <c r="Q47" s="24">
        <f t="shared" si="20"/>
        <v>1</v>
      </c>
      <c r="R47" s="671">
        <f t="shared" ca="1" si="21"/>
        <v>73770</v>
      </c>
      <c r="S47" s="321">
        <f t="shared" ca="1" si="12"/>
        <v>5193</v>
      </c>
    </row>
    <row r="48" spans="1:19">
      <c r="A48" s="673">
        <f>面积指标!B26</f>
        <v>13</v>
      </c>
      <c r="B48" s="673">
        <f>面积指标!D26</f>
        <v>222.94</v>
      </c>
      <c r="C48" s="24">
        <f t="shared" si="13"/>
        <v>1</v>
      </c>
      <c r="D48" s="675" t="s">
        <v>3170</v>
      </c>
      <c r="E48" s="24">
        <f t="shared" si="14"/>
        <v>1.02</v>
      </c>
      <c r="F48" s="675"/>
      <c r="G48" s="24">
        <f t="shared" si="15"/>
        <v>1</v>
      </c>
      <c r="H48" s="675"/>
      <c r="I48" s="24">
        <f t="shared" si="16"/>
        <v>1</v>
      </c>
      <c r="J48" s="675"/>
      <c r="K48" s="24">
        <f t="shared" si="17"/>
        <v>1</v>
      </c>
      <c r="L48" s="675"/>
      <c r="M48" s="24">
        <f t="shared" si="18"/>
        <v>1</v>
      </c>
      <c r="N48" s="675"/>
      <c r="O48" s="24">
        <f t="shared" si="19"/>
        <v>1</v>
      </c>
      <c r="P48" s="675"/>
      <c r="Q48" s="24">
        <f t="shared" si="20"/>
        <v>1</v>
      </c>
      <c r="R48" s="671">
        <f t="shared" ca="1" si="21"/>
        <v>73770</v>
      </c>
      <c r="S48" s="321">
        <f t="shared" ca="1" si="12"/>
        <v>1645</v>
      </c>
    </row>
    <row r="49" spans="1:19">
      <c r="A49" s="673">
        <f>面积指标!B27</f>
        <v>13</v>
      </c>
      <c r="B49" s="673">
        <f>面积指标!D27</f>
        <v>222.94</v>
      </c>
      <c r="C49" s="24">
        <f t="shared" si="13"/>
        <v>1</v>
      </c>
      <c r="D49" s="675" t="s">
        <v>3170</v>
      </c>
      <c r="E49" s="24">
        <f t="shared" si="14"/>
        <v>1.02</v>
      </c>
      <c r="F49" s="675"/>
      <c r="G49" s="24">
        <f t="shared" si="15"/>
        <v>1</v>
      </c>
      <c r="H49" s="675"/>
      <c r="I49" s="24">
        <f t="shared" si="16"/>
        <v>1</v>
      </c>
      <c r="J49" s="675"/>
      <c r="K49" s="24">
        <f t="shared" si="17"/>
        <v>1</v>
      </c>
      <c r="L49" s="675"/>
      <c r="M49" s="24">
        <f t="shared" si="18"/>
        <v>1</v>
      </c>
      <c r="N49" s="675"/>
      <c r="O49" s="24">
        <f t="shared" si="19"/>
        <v>1</v>
      </c>
      <c r="P49" s="675"/>
      <c r="Q49" s="24">
        <f t="shared" si="20"/>
        <v>1</v>
      </c>
      <c r="R49" s="671">
        <f t="shared" ca="1" si="21"/>
        <v>73770</v>
      </c>
      <c r="S49" s="321">
        <f t="shared" ca="1" si="12"/>
        <v>1645</v>
      </c>
    </row>
    <row r="50" spans="1:19">
      <c r="A50" s="673">
        <f>面积指标!B28</f>
        <v>13</v>
      </c>
      <c r="B50" s="673">
        <f>面积指标!D28</f>
        <v>81.58</v>
      </c>
      <c r="C50" s="24">
        <f t="shared" si="13"/>
        <v>1</v>
      </c>
      <c r="D50" s="675" t="s">
        <v>3170</v>
      </c>
      <c r="E50" s="24">
        <f t="shared" si="14"/>
        <v>1.02</v>
      </c>
      <c r="F50" s="675"/>
      <c r="G50" s="24">
        <f t="shared" si="15"/>
        <v>1</v>
      </c>
      <c r="H50" s="675"/>
      <c r="I50" s="24">
        <f t="shared" si="16"/>
        <v>1</v>
      </c>
      <c r="J50" s="675"/>
      <c r="K50" s="24">
        <f t="shared" si="17"/>
        <v>1</v>
      </c>
      <c r="L50" s="675"/>
      <c r="M50" s="24">
        <f t="shared" si="18"/>
        <v>1</v>
      </c>
      <c r="N50" s="675"/>
      <c r="O50" s="24">
        <f t="shared" si="19"/>
        <v>1</v>
      </c>
      <c r="P50" s="675"/>
      <c r="Q50" s="24">
        <f t="shared" si="20"/>
        <v>1</v>
      </c>
      <c r="R50" s="671">
        <f t="shared" ca="1" si="21"/>
        <v>73770</v>
      </c>
      <c r="S50" s="321">
        <f t="shared" ca="1" si="12"/>
        <v>602</v>
      </c>
    </row>
    <row r="51" spans="1:19">
      <c r="A51" s="673">
        <f>面积指标!B29</f>
        <v>13</v>
      </c>
      <c r="B51" s="673">
        <f>面积指标!D29</f>
        <v>81.58</v>
      </c>
      <c r="C51" s="24">
        <f t="shared" si="13"/>
        <v>1</v>
      </c>
      <c r="D51" s="675" t="s">
        <v>3170</v>
      </c>
      <c r="E51" s="24">
        <f t="shared" si="14"/>
        <v>1.02</v>
      </c>
      <c r="F51" s="675"/>
      <c r="G51" s="24">
        <f t="shared" si="15"/>
        <v>1</v>
      </c>
      <c r="H51" s="675"/>
      <c r="I51" s="24">
        <f t="shared" si="16"/>
        <v>1</v>
      </c>
      <c r="J51" s="675"/>
      <c r="K51" s="24">
        <f t="shared" si="17"/>
        <v>1</v>
      </c>
      <c r="L51" s="675"/>
      <c r="M51" s="24">
        <f t="shared" si="18"/>
        <v>1</v>
      </c>
      <c r="N51" s="675"/>
      <c r="O51" s="24">
        <f t="shared" si="19"/>
        <v>1</v>
      </c>
      <c r="P51" s="675"/>
      <c r="Q51" s="24">
        <f t="shared" si="20"/>
        <v>1</v>
      </c>
      <c r="R51" s="671">
        <f t="shared" ca="1" si="21"/>
        <v>73770</v>
      </c>
      <c r="S51" s="321">
        <f t="shared" ca="1" si="12"/>
        <v>602</v>
      </c>
    </row>
    <row r="52" spans="1:19">
      <c r="A52" s="673">
        <f>面积指标!B30</f>
        <v>15</v>
      </c>
      <c r="B52" s="673">
        <f>面积指标!D30</f>
        <v>733.77</v>
      </c>
      <c r="C52" s="24">
        <f t="shared" si="13"/>
        <v>1</v>
      </c>
      <c r="D52" s="675" t="s">
        <v>3170</v>
      </c>
      <c r="E52" s="24">
        <f t="shared" si="14"/>
        <v>1.02</v>
      </c>
      <c r="F52" s="675"/>
      <c r="G52" s="24">
        <f t="shared" si="15"/>
        <v>1</v>
      </c>
      <c r="H52" s="675"/>
      <c r="I52" s="24">
        <f t="shared" si="16"/>
        <v>1</v>
      </c>
      <c r="J52" s="675"/>
      <c r="K52" s="24">
        <f t="shared" si="17"/>
        <v>1</v>
      </c>
      <c r="L52" s="675"/>
      <c r="M52" s="24">
        <f t="shared" si="18"/>
        <v>1</v>
      </c>
      <c r="N52" s="675"/>
      <c r="O52" s="24">
        <f t="shared" si="19"/>
        <v>1</v>
      </c>
      <c r="P52" s="675"/>
      <c r="Q52" s="24">
        <f t="shared" si="20"/>
        <v>1</v>
      </c>
      <c r="R52" s="671">
        <f t="shared" ca="1" si="21"/>
        <v>73770</v>
      </c>
      <c r="S52" s="321">
        <f t="shared" ca="1" si="12"/>
        <v>5413</v>
      </c>
    </row>
    <row r="53" spans="1:19">
      <c r="A53" s="673">
        <f>面积指标!B31</f>
        <v>15</v>
      </c>
      <c r="B53" s="673">
        <f>面积指标!D31</f>
        <v>222.94</v>
      </c>
      <c r="C53" s="24">
        <f t="shared" si="13"/>
        <v>1</v>
      </c>
      <c r="D53" s="675" t="s">
        <v>3170</v>
      </c>
      <c r="E53" s="24">
        <f t="shared" si="14"/>
        <v>1.02</v>
      </c>
      <c r="F53" s="675"/>
      <c r="G53" s="24">
        <f t="shared" si="15"/>
        <v>1</v>
      </c>
      <c r="H53" s="675"/>
      <c r="I53" s="24">
        <f t="shared" si="16"/>
        <v>1</v>
      </c>
      <c r="J53" s="675"/>
      <c r="K53" s="24">
        <f t="shared" si="17"/>
        <v>1</v>
      </c>
      <c r="L53" s="675"/>
      <c r="M53" s="24">
        <f t="shared" si="18"/>
        <v>1</v>
      </c>
      <c r="N53" s="675"/>
      <c r="O53" s="24">
        <f t="shared" si="19"/>
        <v>1</v>
      </c>
      <c r="P53" s="675"/>
      <c r="Q53" s="24">
        <f t="shared" si="20"/>
        <v>1</v>
      </c>
      <c r="R53" s="671">
        <f t="shared" ca="1" si="21"/>
        <v>73770</v>
      </c>
      <c r="S53" s="321">
        <f t="shared" ca="1" si="12"/>
        <v>1645</v>
      </c>
    </row>
    <row r="54" spans="1:19">
      <c r="A54" s="673">
        <f>面积指标!B32</f>
        <v>15</v>
      </c>
      <c r="B54" s="673">
        <f>面积指标!D32</f>
        <v>94.41</v>
      </c>
      <c r="C54" s="24">
        <f t="shared" si="13"/>
        <v>1</v>
      </c>
      <c r="D54" s="675" t="s">
        <v>3170</v>
      </c>
      <c r="E54" s="24">
        <f t="shared" si="14"/>
        <v>1.02</v>
      </c>
      <c r="F54" s="675"/>
      <c r="G54" s="24">
        <f t="shared" si="15"/>
        <v>1</v>
      </c>
      <c r="H54" s="675"/>
      <c r="I54" s="24">
        <f t="shared" si="16"/>
        <v>1</v>
      </c>
      <c r="J54" s="675"/>
      <c r="K54" s="24">
        <f t="shared" si="17"/>
        <v>1</v>
      </c>
      <c r="L54" s="675"/>
      <c r="M54" s="24">
        <f t="shared" si="18"/>
        <v>1</v>
      </c>
      <c r="N54" s="675"/>
      <c r="O54" s="24">
        <f t="shared" si="19"/>
        <v>1</v>
      </c>
      <c r="P54" s="675"/>
      <c r="Q54" s="24">
        <f t="shared" si="20"/>
        <v>1</v>
      </c>
      <c r="R54" s="671">
        <f t="shared" ca="1" si="21"/>
        <v>73770</v>
      </c>
      <c r="S54" s="321">
        <f t="shared" ca="1" si="12"/>
        <v>696</v>
      </c>
    </row>
    <row r="55" spans="1:19">
      <c r="A55" s="673">
        <f>面积指标!B33</f>
        <v>15</v>
      </c>
      <c r="B55" s="673">
        <f>面积指标!D33</f>
        <v>703.89</v>
      </c>
      <c r="C55" s="24">
        <f t="shared" si="13"/>
        <v>1</v>
      </c>
      <c r="D55" s="675" t="s">
        <v>3170</v>
      </c>
      <c r="E55" s="24">
        <f t="shared" si="14"/>
        <v>1.02</v>
      </c>
      <c r="F55" s="675"/>
      <c r="G55" s="24">
        <f t="shared" si="15"/>
        <v>1</v>
      </c>
      <c r="H55" s="675"/>
      <c r="I55" s="24">
        <f t="shared" si="16"/>
        <v>1</v>
      </c>
      <c r="J55" s="675"/>
      <c r="K55" s="24">
        <f t="shared" si="17"/>
        <v>1</v>
      </c>
      <c r="L55" s="675"/>
      <c r="M55" s="24">
        <f t="shared" si="18"/>
        <v>1</v>
      </c>
      <c r="N55" s="675"/>
      <c r="O55" s="24">
        <f t="shared" si="19"/>
        <v>1</v>
      </c>
      <c r="P55" s="675"/>
      <c r="Q55" s="24">
        <f t="shared" si="20"/>
        <v>1</v>
      </c>
      <c r="R55" s="671">
        <f t="shared" ca="1" si="21"/>
        <v>73770</v>
      </c>
      <c r="S55" s="321">
        <f t="shared" ref="S55:S77" ca="1" si="22">ROUND(R55*B55/10000,0)</f>
        <v>5193</v>
      </c>
    </row>
    <row r="56" spans="1:19">
      <c r="A56" s="673">
        <f>面积指标!B34</f>
        <v>15</v>
      </c>
      <c r="B56" s="673">
        <f>面积指标!D34</f>
        <v>222.94</v>
      </c>
      <c r="C56" s="24">
        <f t="shared" si="13"/>
        <v>1</v>
      </c>
      <c r="D56" s="675" t="s">
        <v>3170</v>
      </c>
      <c r="E56" s="24">
        <f t="shared" si="14"/>
        <v>1.02</v>
      </c>
      <c r="F56" s="675"/>
      <c r="G56" s="24">
        <f t="shared" si="15"/>
        <v>1</v>
      </c>
      <c r="H56" s="675"/>
      <c r="I56" s="24">
        <f t="shared" si="16"/>
        <v>1</v>
      </c>
      <c r="J56" s="675"/>
      <c r="K56" s="24">
        <f t="shared" si="17"/>
        <v>1</v>
      </c>
      <c r="L56" s="675"/>
      <c r="M56" s="24">
        <f t="shared" si="18"/>
        <v>1</v>
      </c>
      <c r="N56" s="675"/>
      <c r="O56" s="24">
        <f t="shared" si="19"/>
        <v>1</v>
      </c>
      <c r="P56" s="675"/>
      <c r="Q56" s="24">
        <f t="shared" si="20"/>
        <v>1</v>
      </c>
      <c r="R56" s="671">
        <f t="shared" ca="1" si="21"/>
        <v>73770</v>
      </c>
      <c r="S56" s="321">
        <f t="shared" ca="1" si="22"/>
        <v>1645</v>
      </c>
    </row>
    <row r="57" spans="1:19">
      <c r="A57" s="673">
        <f>面积指标!B35</f>
        <v>15</v>
      </c>
      <c r="B57" s="673">
        <f>面积指标!D35</f>
        <v>222.94</v>
      </c>
      <c r="C57" s="24">
        <f t="shared" si="13"/>
        <v>1</v>
      </c>
      <c r="D57" s="675" t="s">
        <v>3170</v>
      </c>
      <c r="E57" s="24">
        <f t="shared" si="14"/>
        <v>1.02</v>
      </c>
      <c r="F57" s="675"/>
      <c r="G57" s="24">
        <f t="shared" si="15"/>
        <v>1</v>
      </c>
      <c r="H57" s="675"/>
      <c r="I57" s="24">
        <f t="shared" si="16"/>
        <v>1</v>
      </c>
      <c r="J57" s="675"/>
      <c r="K57" s="24">
        <f t="shared" si="17"/>
        <v>1</v>
      </c>
      <c r="L57" s="675"/>
      <c r="M57" s="24">
        <f t="shared" si="18"/>
        <v>1</v>
      </c>
      <c r="N57" s="675"/>
      <c r="O57" s="24">
        <f t="shared" si="19"/>
        <v>1</v>
      </c>
      <c r="P57" s="675"/>
      <c r="Q57" s="24">
        <f t="shared" si="20"/>
        <v>1</v>
      </c>
      <c r="R57" s="671">
        <f t="shared" ca="1" si="21"/>
        <v>73770</v>
      </c>
      <c r="S57" s="321">
        <f t="shared" ca="1" si="22"/>
        <v>1645</v>
      </c>
    </row>
    <row r="58" spans="1:19">
      <c r="A58" s="673">
        <f>面积指标!B36</f>
        <v>15</v>
      </c>
      <c r="B58" s="673">
        <f>面积指标!D36</f>
        <v>81.58</v>
      </c>
      <c r="C58" s="24">
        <f t="shared" si="13"/>
        <v>1</v>
      </c>
      <c r="D58" s="675" t="s">
        <v>3170</v>
      </c>
      <c r="E58" s="24">
        <f t="shared" si="14"/>
        <v>1.02</v>
      </c>
      <c r="F58" s="675"/>
      <c r="G58" s="24">
        <f t="shared" si="15"/>
        <v>1</v>
      </c>
      <c r="H58" s="675"/>
      <c r="I58" s="24">
        <f t="shared" si="16"/>
        <v>1</v>
      </c>
      <c r="J58" s="675"/>
      <c r="K58" s="24">
        <f t="shared" si="17"/>
        <v>1</v>
      </c>
      <c r="L58" s="675"/>
      <c r="M58" s="24">
        <f t="shared" si="18"/>
        <v>1</v>
      </c>
      <c r="N58" s="675"/>
      <c r="O58" s="24">
        <f t="shared" si="19"/>
        <v>1</v>
      </c>
      <c r="P58" s="675"/>
      <c r="Q58" s="24">
        <f t="shared" si="20"/>
        <v>1</v>
      </c>
      <c r="R58" s="671">
        <f t="shared" ca="1" si="21"/>
        <v>73770</v>
      </c>
      <c r="S58" s="321">
        <f t="shared" ca="1" si="22"/>
        <v>602</v>
      </c>
    </row>
    <row r="59" spans="1:19">
      <c r="A59" s="673">
        <f>面积指标!B37</f>
        <v>15</v>
      </c>
      <c r="B59" s="673">
        <f>面积指标!D37</f>
        <v>81.58</v>
      </c>
      <c r="C59" s="24">
        <f t="shared" si="13"/>
        <v>1</v>
      </c>
      <c r="D59" s="675" t="s">
        <v>3170</v>
      </c>
      <c r="E59" s="24">
        <f t="shared" si="14"/>
        <v>1.02</v>
      </c>
      <c r="F59" s="675"/>
      <c r="G59" s="24">
        <f t="shared" si="15"/>
        <v>1</v>
      </c>
      <c r="H59" s="675"/>
      <c r="I59" s="24">
        <f t="shared" si="16"/>
        <v>1</v>
      </c>
      <c r="J59" s="675"/>
      <c r="K59" s="24">
        <f t="shared" si="17"/>
        <v>1</v>
      </c>
      <c r="L59" s="675"/>
      <c r="M59" s="24">
        <f t="shared" si="18"/>
        <v>1</v>
      </c>
      <c r="N59" s="675"/>
      <c r="O59" s="24">
        <f t="shared" si="19"/>
        <v>1</v>
      </c>
      <c r="P59" s="675"/>
      <c r="Q59" s="24">
        <f t="shared" si="20"/>
        <v>1</v>
      </c>
      <c r="R59" s="671">
        <f t="shared" ca="1" si="21"/>
        <v>73770</v>
      </c>
      <c r="S59" s="321">
        <f t="shared" ca="1" si="22"/>
        <v>602</v>
      </c>
    </row>
    <row r="60" spans="1:19">
      <c r="A60" s="673">
        <f>面积指标!B38</f>
        <v>16</v>
      </c>
      <c r="B60" s="673">
        <f>面积指标!D38</f>
        <v>733.77</v>
      </c>
      <c r="C60" s="24">
        <f t="shared" si="13"/>
        <v>1</v>
      </c>
      <c r="D60" s="675" t="s">
        <v>3170</v>
      </c>
      <c r="E60" s="24">
        <f t="shared" si="14"/>
        <v>1.02</v>
      </c>
      <c r="F60" s="675"/>
      <c r="G60" s="24">
        <f t="shared" si="15"/>
        <v>1</v>
      </c>
      <c r="H60" s="675"/>
      <c r="I60" s="24">
        <f t="shared" si="16"/>
        <v>1</v>
      </c>
      <c r="J60" s="675"/>
      <c r="K60" s="24">
        <f t="shared" si="17"/>
        <v>1</v>
      </c>
      <c r="L60" s="675"/>
      <c r="M60" s="24">
        <f t="shared" si="18"/>
        <v>1</v>
      </c>
      <c r="N60" s="675"/>
      <c r="O60" s="24">
        <f t="shared" si="19"/>
        <v>1</v>
      </c>
      <c r="P60" s="675"/>
      <c r="Q60" s="24">
        <f t="shared" si="20"/>
        <v>1</v>
      </c>
      <c r="R60" s="671">
        <f t="shared" ca="1" si="21"/>
        <v>73770</v>
      </c>
      <c r="S60" s="321">
        <f t="shared" ca="1" si="22"/>
        <v>5413</v>
      </c>
    </row>
    <row r="61" spans="1:19">
      <c r="A61" s="673">
        <f>面积指标!B39</f>
        <v>16</v>
      </c>
      <c r="B61" s="673">
        <f>面积指标!D39</f>
        <v>222.94</v>
      </c>
      <c r="C61" s="24">
        <f t="shared" si="13"/>
        <v>1</v>
      </c>
      <c r="D61" s="675" t="s">
        <v>3170</v>
      </c>
      <c r="E61" s="24">
        <f t="shared" si="14"/>
        <v>1.02</v>
      </c>
      <c r="F61" s="675"/>
      <c r="G61" s="24">
        <f t="shared" si="15"/>
        <v>1</v>
      </c>
      <c r="H61" s="675"/>
      <c r="I61" s="24">
        <f t="shared" si="16"/>
        <v>1</v>
      </c>
      <c r="J61" s="675"/>
      <c r="K61" s="24">
        <f t="shared" si="17"/>
        <v>1</v>
      </c>
      <c r="L61" s="675"/>
      <c r="M61" s="24">
        <f t="shared" si="18"/>
        <v>1</v>
      </c>
      <c r="N61" s="675"/>
      <c r="O61" s="24">
        <f t="shared" si="19"/>
        <v>1</v>
      </c>
      <c r="P61" s="675"/>
      <c r="Q61" s="24">
        <f t="shared" si="20"/>
        <v>1</v>
      </c>
      <c r="R61" s="671">
        <f t="shared" ca="1" si="21"/>
        <v>73770</v>
      </c>
      <c r="S61" s="321">
        <f t="shared" ca="1" si="22"/>
        <v>1645</v>
      </c>
    </row>
    <row r="62" spans="1:19">
      <c r="A62" s="673">
        <f>面积指标!B40</f>
        <v>16</v>
      </c>
      <c r="B62" s="673">
        <f>面积指标!D40</f>
        <v>94.41</v>
      </c>
      <c r="C62" s="24">
        <f t="shared" si="13"/>
        <v>1</v>
      </c>
      <c r="D62" s="675" t="s">
        <v>3170</v>
      </c>
      <c r="E62" s="24">
        <f t="shared" si="14"/>
        <v>1.02</v>
      </c>
      <c r="F62" s="675"/>
      <c r="G62" s="24">
        <f t="shared" si="15"/>
        <v>1</v>
      </c>
      <c r="H62" s="675"/>
      <c r="I62" s="24">
        <f t="shared" si="16"/>
        <v>1</v>
      </c>
      <c r="J62" s="675"/>
      <c r="K62" s="24">
        <f t="shared" si="17"/>
        <v>1</v>
      </c>
      <c r="L62" s="675"/>
      <c r="M62" s="24">
        <f t="shared" si="18"/>
        <v>1</v>
      </c>
      <c r="N62" s="675"/>
      <c r="O62" s="24">
        <f t="shared" si="19"/>
        <v>1</v>
      </c>
      <c r="P62" s="675"/>
      <c r="Q62" s="24">
        <f t="shared" si="20"/>
        <v>1</v>
      </c>
      <c r="R62" s="671">
        <f t="shared" ca="1" si="21"/>
        <v>73770</v>
      </c>
      <c r="S62" s="321">
        <f t="shared" ca="1" si="22"/>
        <v>696</v>
      </c>
    </row>
    <row r="63" spans="1:19">
      <c r="A63" s="673">
        <f>面积指标!B41</f>
        <v>16</v>
      </c>
      <c r="B63" s="673">
        <f>面积指标!D41</f>
        <v>703.89</v>
      </c>
      <c r="C63" s="24">
        <f t="shared" si="13"/>
        <v>1</v>
      </c>
      <c r="D63" s="675" t="s">
        <v>3170</v>
      </c>
      <c r="E63" s="24">
        <f t="shared" si="14"/>
        <v>1.02</v>
      </c>
      <c r="F63" s="675"/>
      <c r="G63" s="24">
        <f t="shared" si="15"/>
        <v>1</v>
      </c>
      <c r="H63" s="675"/>
      <c r="I63" s="24">
        <f t="shared" si="16"/>
        <v>1</v>
      </c>
      <c r="J63" s="675"/>
      <c r="K63" s="24">
        <f t="shared" si="17"/>
        <v>1</v>
      </c>
      <c r="L63" s="675"/>
      <c r="M63" s="24">
        <f t="shared" si="18"/>
        <v>1</v>
      </c>
      <c r="N63" s="675"/>
      <c r="O63" s="24">
        <f t="shared" si="19"/>
        <v>1</v>
      </c>
      <c r="P63" s="675"/>
      <c r="Q63" s="24">
        <f t="shared" si="20"/>
        <v>1</v>
      </c>
      <c r="R63" s="671">
        <f t="shared" ca="1" si="21"/>
        <v>73770</v>
      </c>
      <c r="S63" s="321">
        <f t="shared" ca="1" si="22"/>
        <v>5193</v>
      </c>
    </row>
    <row r="64" spans="1:19">
      <c r="A64" s="673">
        <f>面积指标!B42</f>
        <v>16</v>
      </c>
      <c r="B64" s="673">
        <f>面积指标!D42</f>
        <v>222.94</v>
      </c>
      <c r="C64" s="24">
        <f t="shared" si="13"/>
        <v>1</v>
      </c>
      <c r="D64" s="675" t="s">
        <v>3170</v>
      </c>
      <c r="E64" s="24">
        <f t="shared" si="14"/>
        <v>1.02</v>
      </c>
      <c r="F64" s="675"/>
      <c r="G64" s="24">
        <f t="shared" si="15"/>
        <v>1</v>
      </c>
      <c r="H64" s="675"/>
      <c r="I64" s="24">
        <f t="shared" si="16"/>
        <v>1</v>
      </c>
      <c r="J64" s="675"/>
      <c r="K64" s="24">
        <f t="shared" si="17"/>
        <v>1</v>
      </c>
      <c r="L64" s="675"/>
      <c r="M64" s="24">
        <f t="shared" si="18"/>
        <v>1</v>
      </c>
      <c r="N64" s="675"/>
      <c r="O64" s="24">
        <f t="shared" si="19"/>
        <v>1</v>
      </c>
      <c r="P64" s="675"/>
      <c r="Q64" s="24">
        <f t="shared" si="20"/>
        <v>1</v>
      </c>
      <c r="R64" s="671">
        <f t="shared" ca="1" si="21"/>
        <v>73770</v>
      </c>
      <c r="S64" s="321">
        <f t="shared" ca="1" si="22"/>
        <v>1645</v>
      </c>
    </row>
    <row r="65" spans="1:19">
      <c r="A65" s="673">
        <f>面积指标!B43</f>
        <v>16</v>
      </c>
      <c r="B65" s="673">
        <f>面积指标!D43</f>
        <v>222.94</v>
      </c>
      <c r="C65" s="24">
        <f t="shared" si="13"/>
        <v>1</v>
      </c>
      <c r="D65" s="675" t="s">
        <v>3170</v>
      </c>
      <c r="E65" s="24">
        <f t="shared" si="14"/>
        <v>1.02</v>
      </c>
      <c r="F65" s="675"/>
      <c r="G65" s="24">
        <f t="shared" si="15"/>
        <v>1</v>
      </c>
      <c r="H65" s="675"/>
      <c r="I65" s="24">
        <f t="shared" si="16"/>
        <v>1</v>
      </c>
      <c r="J65" s="675"/>
      <c r="K65" s="24">
        <f t="shared" si="17"/>
        <v>1</v>
      </c>
      <c r="L65" s="675"/>
      <c r="M65" s="24">
        <f t="shared" si="18"/>
        <v>1</v>
      </c>
      <c r="N65" s="675"/>
      <c r="O65" s="24">
        <f t="shared" si="19"/>
        <v>1</v>
      </c>
      <c r="P65" s="675"/>
      <c r="Q65" s="24">
        <f t="shared" si="20"/>
        <v>1</v>
      </c>
      <c r="R65" s="671">
        <f t="shared" ca="1" si="21"/>
        <v>73770</v>
      </c>
      <c r="S65" s="321">
        <f t="shared" ca="1" si="22"/>
        <v>1645</v>
      </c>
    </row>
    <row r="66" spans="1:19">
      <c r="A66" s="673">
        <f>面积指标!B44</f>
        <v>16</v>
      </c>
      <c r="B66" s="673">
        <f>面积指标!D44</f>
        <v>81.58</v>
      </c>
      <c r="C66" s="24">
        <f t="shared" si="13"/>
        <v>1</v>
      </c>
      <c r="D66" s="675" t="s">
        <v>3170</v>
      </c>
      <c r="E66" s="24">
        <f t="shared" si="14"/>
        <v>1.02</v>
      </c>
      <c r="F66" s="675"/>
      <c r="G66" s="24">
        <f t="shared" si="15"/>
        <v>1</v>
      </c>
      <c r="H66" s="675"/>
      <c r="I66" s="24">
        <f t="shared" si="16"/>
        <v>1</v>
      </c>
      <c r="J66" s="675"/>
      <c r="K66" s="24">
        <f t="shared" si="17"/>
        <v>1</v>
      </c>
      <c r="L66" s="675"/>
      <c r="M66" s="24">
        <f t="shared" si="18"/>
        <v>1</v>
      </c>
      <c r="N66" s="675"/>
      <c r="O66" s="24">
        <f t="shared" si="19"/>
        <v>1</v>
      </c>
      <c r="P66" s="675"/>
      <c r="Q66" s="24">
        <f t="shared" si="20"/>
        <v>1</v>
      </c>
      <c r="R66" s="671">
        <f t="shared" ca="1" si="21"/>
        <v>73770</v>
      </c>
      <c r="S66" s="321">
        <f t="shared" ca="1" si="22"/>
        <v>602</v>
      </c>
    </row>
    <row r="67" spans="1:19">
      <c r="A67" s="673">
        <f>面积指标!B45</f>
        <v>16</v>
      </c>
      <c r="B67" s="673">
        <f>面积指标!D45</f>
        <v>81.58</v>
      </c>
      <c r="C67" s="24">
        <f t="shared" si="13"/>
        <v>1</v>
      </c>
      <c r="D67" s="675" t="s">
        <v>3170</v>
      </c>
      <c r="E67" s="24">
        <f t="shared" si="14"/>
        <v>1.02</v>
      </c>
      <c r="F67" s="675"/>
      <c r="G67" s="24">
        <f t="shared" si="15"/>
        <v>1</v>
      </c>
      <c r="H67" s="675"/>
      <c r="I67" s="24">
        <f t="shared" si="16"/>
        <v>1</v>
      </c>
      <c r="J67" s="675"/>
      <c r="K67" s="24">
        <f t="shared" si="17"/>
        <v>1</v>
      </c>
      <c r="L67" s="675"/>
      <c r="M67" s="24">
        <f t="shared" si="18"/>
        <v>1</v>
      </c>
      <c r="N67" s="675"/>
      <c r="O67" s="24">
        <f t="shared" si="19"/>
        <v>1</v>
      </c>
      <c r="P67" s="675"/>
      <c r="Q67" s="24">
        <f t="shared" si="20"/>
        <v>1</v>
      </c>
      <c r="R67" s="671">
        <f t="shared" ca="1" si="21"/>
        <v>73770</v>
      </c>
      <c r="S67" s="321">
        <f t="shared" ca="1" si="22"/>
        <v>602</v>
      </c>
    </row>
    <row r="68" spans="1:19">
      <c r="A68" s="673">
        <f>面积指标!B46</f>
        <v>19</v>
      </c>
      <c r="B68" s="673">
        <f>面积指标!D46</f>
        <v>2188.15</v>
      </c>
      <c r="C68" s="24">
        <f t="shared" si="13"/>
        <v>0.96</v>
      </c>
      <c r="D68" s="675" t="s">
        <v>3170</v>
      </c>
      <c r="E68" s="24">
        <f t="shared" si="14"/>
        <v>1.02</v>
      </c>
      <c r="F68" s="675"/>
      <c r="G68" s="24">
        <f t="shared" si="15"/>
        <v>1</v>
      </c>
      <c r="H68" s="675"/>
      <c r="I68" s="24">
        <f t="shared" si="16"/>
        <v>1</v>
      </c>
      <c r="J68" s="675"/>
      <c r="K68" s="24">
        <f t="shared" si="17"/>
        <v>1</v>
      </c>
      <c r="L68" s="675"/>
      <c r="M68" s="24">
        <f t="shared" si="18"/>
        <v>1</v>
      </c>
      <c r="N68" s="675"/>
      <c r="O68" s="24">
        <f t="shared" si="19"/>
        <v>1</v>
      </c>
      <c r="P68" s="675"/>
      <c r="Q68" s="24">
        <f t="shared" si="20"/>
        <v>1</v>
      </c>
      <c r="R68" s="671">
        <f t="shared" ca="1" si="21"/>
        <v>70820</v>
      </c>
      <c r="S68" s="321">
        <f t="shared" ca="1" si="22"/>
        <v>15496</v>
      </c>
    </row>
    <row r="69" spans="1:19">
      <c r="A69" s="673">
        <f>面积指标!B47</f>
        <v>19</v>
      </c>
      <c r="B69" s="673">
        <f>面积指标!D47</f>
        <v>81.58</v>
      </c>
      <c r="C69" s="24">
        <f t="shared" si="13"/>
        <v>1</v>
      </c>
      <c r="D69" s="675" t="s">
        <v>3170</v>
      </c>
      <c r="E69" s="24">
        <f t="shared" si="14"/>
        <v>1.02</v>
      </c>
      <c r="F69" s="675"/>
      <c r="G69" s="24">
        <f t="shared" si="15"/>
        <v>1</v>
      </c>
      <c r="H69" s="675"/>
      <c r="I69" s="24">
        <f t="shared" si="16"/>
        <v>1</v>
      </c>
      <c r="J69" s="675"/>
      <c r="K69" s="24">
        <f t="shared" si="17"/>
        <v>1</v>
      </c>
      <c r="L69" s="675"/>
      <c r="M69" s="24">
        <f t="shared" si="18"/>
        <v>1</v>
      </c>
      <c r="N69" s="675"/>
      <c r="O69" s="24">
        <f t="shared" si="19"/>
        <v>1</v>
      </c>
      <c r="P69" s="675"/>
      <c r="Q69" s="24">
        <f t="shared" si="20"/>
        <v>1</v>
      </c>
      <c r="R69" s="671">
        <f t="shared" ca="1" si="21"/>
        <v>73770</v>
      </c>
      <c r="S69" s="321">
        <f t="shared" ca="1" si="22"/>
        <v>602</v>
      </c>
    </row>
    <row r="70" spans="1:19">
      <c r="A70" s="673">
        <f>面积指标!B48</f>
        <v>19</v>
      </c>
      <c r="B70" s="673">
        <f>面积指标!D48</f>
        <v>81.58</v>
      </c>
      <c r="C70" s="24">
        <f t="shared" si="13"/>
        <v>1</v>
      </c>
      <c r="D70" s="675" t="s">
        <v>3170</v>
      </c>
      <c r="E70" s="24">
        <f t="shared" si="14"/>
        <v>1.02</v>
      </c>
      <c r="F70" s="675"/>
      <c r="G70" s="24">
        <f t="shared" si="15"/>
        <v>1</v>
      </c>
      <c r="H70" s="675"/>
      <c r="I70" s="24">
        <f t="shared" si="16"/>
        <v>1</v>
      </c>
      <c r="J70" s="675"/>
      <c r="K70" s="24">
        <f t="shared" si="17"/>
        <v>1</v>
      </c>
      <c r="L70" s="675"/>
      <c r="M70" s="24">
        <f t="shared" si="18"/>
        <v>1</v>
      </c>
      <c r="N70" s="675"/>
      <c r="O70" s="24">
        <f t="shared" si="19"/>
        <v>1</v>
      </c>
      <c r="P70" s="675"/>
      <c r="Q70" s="24">
        <f t="shared" si="20"/>
        <v>1</v>
      </c>
      <c r="R70" s="671">
        <f t="shared" ca="1" si="21"/>
        <v>73770</v>
      </c>
      <c r="S70" s="321">
        <f t="shared" ca="1" si="22"/>
        <v>602</v>
      </c>
    </row>
    <row r="71" spans="1:19">
      <c r="A71" s="154"/>
      <c r="B71" s="673"/>
      <c r="C71" s="24">
        <f t="shared" si="13"/>
        <v>1</v>
      </c>
      <c r="D71" s="675"/>
      <c r="E71" s="24">
        <f t="shared" si="14"/>
        <v>0.02</v>
      </c>
      <c r="F71" s="675"/>
      <c r="G71" s="24">
        <f t="shared" si="15"/>
        <v>1</v>
      </c>
      <c r="H71" s="675"/>
      <c r="I71" s="24">
        <f t="shared" si="16"/>
        <v>1</v>
      </c>
      <c r="J71" s="675"/>
      <c r="K71" s="24">
        <f t="shared" si="17"/>
        <v>1</v>
      </c>
      <c r="L71" s="675"/>
      <c r="M71" s="24">
        <f t="shared" si="18"/>
        <v>1</v>
      </c>
      <c r="N71" s="675"/>
      <c r="O71" s="24">
        <f t="shared" si="19"/>
        <v>1</v>
      </c>
      <c r="P71" s="675"/>
      <c r="Q71" s="24">
        <f t="shared" si="20"/>
        <v>1</v>
      </c>
      <c r="R71" s="671">
        <f t="shared" si="21"/>
        <v>0</v>
      </c>
      <c r="S71" s="321">
        <f t="shared" si="22"/>
        <v>0</v>
      </c>
    </row>
    <row r="72" spans="1:19">
      <c r="A72" s="154"/>
      <c r="B72" s="673"/>
      <c r="C72" s="24">
        <f t="shared" si="13"/>
        <v>1</v>
      </c>
      <c r="D72" s="675"/>
      <c r="E72" s="24">
        <f t="shared" si="14"/>
        <v>0.02</v>
      </c>
      <c r="F72" s="675"/>
      <c r="G72" s="24">
        <f t="shared" si="15"/>
        <v>1</v>
      </c>
      <c r="H72" s="675"/>
      <c r="I72" s="24">
        <f t="shared" si="16"/>
        <v>1</v>
      </c>
      <c r="J72" s="675"/>
      <c r="K72" s="24">
        <f t="shared" si="17"/>
        <v>1</v>
      </c>
      <c r="L72" s="675"/>
      <c r="M72" s="24">
        <f t="shared" si="18"/>
        <v>1</v>
      </c>
      <c r="N72" s="675"/>
      <c r="O72" s="24">
        <f t="shared" si="19"/>
        <v>1</v>
      </c>
      <c r="P72" s="675"/>
      <c r="Q72" s="24">
        <f t="shared" si="20"/>
        <v>1</v>
      </c>
      <c r="R72" s="671">
        <f t="shared" si="21"/>
        <v>0</v>
      </c>
      <c r="S72" s="321">
        <f t="shared" si="22"/>
        <v>0</v>
      </c>
    </row>
    <row r="73" spans="1:19">
      <c r="A73" s="154"/>
      <c r="B73" s="673"/>
      <c r="C73" s="24">
        <f t="shared" si="13"/>
        <v>1</v>
      </c>
      <c r="D73" s="675"/>
      <c r="E73" s="24">
        <f t="shared" si="14"/>
        <v>0.02</v>
      </c>
      <c r="F73" s="675"/>
      <c r="G73" s="24">
        <f t="shared" si="15"/>
        <v>1</v>
      </c>
      <c r="H73" s="675"/>
      <c r="I73" s="24">
        <f t="shared" si="16"/>
        <v>1</v>
      </c>
      <c r="J73" s="675"/>
      <c r="K73" s="24">
        <f t="shared" si="17"/>
        <v>1</v>
      </c>
      <c r="L73" s="675"/>
      <c r="M73" s="24">
        <f t="shared" si="18"/>
        <v>1</v>
      </c>
      <c r="N73" s="675"/>
      <c r="O73" s="24">
        <f t="shared" si="19"/>
        <v>1</v>
      </c>
      <c r="P73" s="675"/>
      <c r="Q73" s="24">
        <f t="shared" si="20"/>
        <v>1</v>
      </c>
      <c r="R73" s="671">
        <f t="shared" si="21"/>
        <v>0</v>
      </c>
      <c r="S73" s="321">
        <f t="shared" si="22"/>
        <v>0</v>
      </c>
    </row>
    <row r="74" spans="1:19">
      <c r="A74" s="154"/>
      <c r="B74" s="673"/>
      <c r="C74" s="24">
        <f t="shared" si="13"/>
        <v>1</v>
      </c>
      <c r="D74" s="675"/>
      <c r="E74" s="24">
        <f t="shared" si="14"/>
        <v>0.02</v>
      </c>
      <c r="F74" s="675"/>
      <c r="G74" s="24">
        <f t="shared" si="15"/>
        <v>1</v>
      </c>
      <c r="H74" s="675"/>
      <c r="I74" s="24">
        <f t="shared" si="16"/>
        <v>1</v>
      </c>
      <c r="J74" s="675"/>
      <c r="K74" s="24">
        <f t="shared" si="17"/>
        <v>1</v>
      </c>
      <c r="L74" s="675"/>
      <c r="M74" s="24">
        <f t="shared" si="18"/>
        <v>1</v>
      </c>
      <c r="N74" s="675"/>
      <c r="O74" s="24">
        <f t="shared" si="19"/>
        <v>1</v>
      </c>
      <c r="P74" s="675"/>
      <c r="Q74" s="24">
        <f t="shared" si="20"/>
        <v>1</v>
      </c>
      <c r="R74" s="671">
        <f t="shared" si="21"/>
        <v>0</v>
      </c>
      <c r="S74" s="321">
        <f t="shared" si="22"/>
        <v>0</v>
      </c>
    </row>
    <row r="75" spans="1:19">
      <c r="A75" s="154"/>
      <c r="B75" s="673"/>
      <c r="C75" s="24">
        <f t="shared" si="13"/>
        <v>1</v>
      </c>
      <c r="D75" s="675"/>
      <c r="E75" s="24">
        <f t="shared" si="14"/>
        <v>0.02</v>
      </c>
      <c r="F75" s="675"/>
      <c r="G75" s="24">
        <f t="shared" si="15"/>
        <v>1</v>
      </c>
      <c r="H75" s="675"/>
      <c r="I75" s="24">
        <f t="shared" si="16"/>
        <v>1</v>
      </c>
      <c r="J75" s="675"/>
      <c r="K75" s="24">
        <f t="shared" si="17"/>
        <v>1</v>
      </c>
      <c r="L75" s="675"/>
      <c r="M75" s="24">
        <f t="shared" si="18"/>
        <v>1</v>
      </c>
      <c r="N75" s="675"/>
      <c r="O75" s="24">
        <f t="shared" si="19"/>
        <v>1</v>
      </c>
      <c r="P75" s="675"/>
      <c r="Q75" s="24">
        <f t="shared" si="20"/>
        <v>1</v>
      </c>
      <c r="R75" s="671">
        <f t="shared" si="21"/>
        <v>0</v>
      </c>
      <c r="S75" s="321">
        <f t="shared" si="22"/>
        <v>0</v>
      </c>
    </row>
    <row r="76" spans="1:19">
      <c r="A76" s="154"/>
      <c r="B76" s="673"/>
      <c r="C76" s="24">
        <f t="shared" si="13"/>
        <v>1</v>
      </c>
      <c r="D76" s="675"/>
      <c r="E76" s="24">
        <f t="shared" si="14"/>
        <v>0.02</v>
      </c>
      <c r="F76" s="675"/>
      <c r="G76" s="24">
        <f t="shared" si="15"/>
        <v>1</v>
      </c>
      <c r="H76" s="675"/>
      <c r="I76" s="24">
        <f t="shared" si="16"/>
        <v>1</v>
      </c>
      <c r="J76" s="675"/>
      <c r="K76" s="24">
        <f t="shared" si="17"/>
        <v>1</v>
      </c>
      <c r="L76" s="675"/>
      <c r="M76" s="24">
        <f t="shared" si="18"/>
        <v>1</v>
      </c>
      <c r="N76" s="675"/>
      <c r="O76" s="24">
        <f t="shared" si="19"/>
        <v>1</v>
      </c>
      <c r="P76" s="675"/>
      <c r="Q76" s="24">
        <f t="shared" si="20"/>
        <v>1</v>
      </c>
      <c r="R76" s="671">
        <f t="shared" si="21"/>
        <v>0</v>
      </c>
      <c r="S76" s="321">
        <f t="shared" si="22"/>
        <v>0</v>
      </c>
    </row>
    <row r="77" spans="1:19">
      <c r="A77" s="154"/>
      <c r="B77" s="673"/>
      <c r="C77" s="24">
        <f t="shared" si="13"/>
        <v>1</v>
      </c>
      <c r="D77" s="675"/>
      <c r="E77" s="24">
        <f t="shared" si="14"/>
        <v>0.02</v>
      </c>
      <c r="F77" s="675"/>
      <c r="G77" s="24">
        <f t="shared" si="15"/>
        <v>1</v>
      </c>
      <c r="H77" s="675"/>
      <c r="I77" s="24">
        <f t="shared" si="16"/>
        <v>1</v>
      </c>
      <c r="J77" s="675"/>
      <c r="K77" s="24">
        <f t="shared" si="17"/>
        <v>1</v>
      </c>
      <c r="L77" s="675"/>
      <c r="M77" s="24">
        <f t="shared" si="18"/>
        <v>1</v>
      </c>
      <c r="N77" s="675"/>
      <c r="O77" s="24">
        <f t="shared" si="19"/>
        <v>1</v>
      </c>
      <c r="P77" s="675"/>
      <c r="Q77" s="24">
        <f t="shared" si="20"/>
        <v>1</v>
      </c>
      <c r="R77" s="671">
        <f t="shared" si="21"/>
        <v>0</v>
      </c>
      <c r="S77" s="321">
        <f t="shared" si="22"/>
        <v>0</v>
      </c>
    </row>
    <row r="78" spans="1:19">
      <c r="A78" s="154"/>
      <c r="B78" s="673"/>
      <c r="C78" s="24">
        <f t="shared" si="13"/>
        <v>1</v>
      </c>
      <c r="D78" s="675"/>
      <c r="E78" s="24">
        <f t="shared" si="14"/>
        <v>0.02</v>
      </c>
      <c r="F78" s="675"/>
      <c r="G78" s="24">
        <f t="shared" si="15"/>
        <v>1</v>
      </c>
      <c r="H78" s="675"/>
      <c r="I78" s="24">
        <f t="shared" si="16"/>
        <v>1</v>
      </c>
      <c r="J78" s="675"/>
      <c r="K78" s="24">
        <f t="shared" si="17"/>
        <v>1</v>
      </c>
      <c r="L78" s="675"/>
      <c r="M78" s="24">
        <f t="shared" si="18"/>
        <v>1</v>
      </c>
      <c r="N78" s="675"/>
      <c r="O78" s="24">
        <f t="shared" si="19"/>
        <v>1</v>
      </c>
      <c r="P78" s="675"/>
      <c r="Q78" s="24">
        <f t="shared" si="20"/>
        <v>1</v>
      </c>
      <c r="R78" s="671">
        <f t="shared" si="21"/>
        <v>0</v>
      </c>
      <c r="S78" s="321">
        <f t="shared" ref="S78:S122" si="23">ROUND(R78*B78/10000,0)</f>
        <v>0</v>
      </c>
    </row>
    <row r="79" spans="1:19">
      <c r="A79" s="154"/>
      <c r="B79" s="57"/>
      <c r="C79" s="24">
        <f t="shared" si="13"/>
        <v>1</v>
      </c>
      <c r="D79" s="675"/>
      <c r="E79" s="24">
        <f t="shared" si="14"/>
        <v>0.02</v>
      </c>
      <c r="F79" s="675"/>
      <c r="G79" s="24">
        <f t="shared" si="15"/>
        <v>1</v>
      </c>
      <c r="H79" s="675"/>
      <c r="I79" s="24">
        <f t="shared" si="16"/>
        <v>1</v>
      </c>
      <c r="J79" s="675"/>
      <c r="K79" s="24">
        <f t="shared" si="17"/>
        <v>1</v>
      </c>
      <c r="L79" s="675"/>
      <c r="M79" s="24">
        <f t="shared" si="18"/>
        <v>1</v>
      </c>
      <c r="N79" s="675"/>
      <c r="O79" s="24">
        <f t="shared" si="19"/>
        <v>1</v>
      </c>
      <c r="P79" s="675"/>
      <c r="Q79" s="24">
        <f t="shared" si="20"/>
        <v>1</v>
      </c>
      <c r="R79" s="671">
        <f t="shared" si="21"/>
        <v>0</v>
      </c>
      <c r="S79" s="321">
        <f t="shared" si="23"/>
        <v>0</v>
      </c>
    </row>
    <row r="80" spans="1:19">
      <c r="A80" s="154"/>
      <c r="B80" s="57"/>
      <c r="C80" s="24">
        <f t="shared" si="13"/>
        <v>1</v>
      </c>
      <c r="D80" s="675"/>
      <c r="E80" s="24">
        <f t="shared" si="14"/>
        <v>0.02</v>
      </c>
      <c r="F80" s="675"/>
      <c r="G80" s="24">
        <f t="shared" si="15"/>
        <v>1</v>
      </c>
      <c r="H80" s="675"/>
      <c r="I80" s="24">
        <f t="shared" si="16"/>
        <v>1</v>
      </c>
      <c r="J80" s="675"/>
      <c r="K80" s="24">
        <f t="shared" si="17"/>
        <v>1</v>
      </c>
      <c r="L80" s="675"/>
      <c r="M80" s="24">
        <f t="shared" si="18"/>
        <v>1</v>
      </c>
      <c r="N80" s="675"/>
      <c r="O80" s="24">
        <f t="shared" si="19"/>
        <v>1</v>
      </c>
      <c r="P80" s="675"/>
      <c r="Q80" s="24">
        <f t="shared" si="20"/>
        <v>1</v>
      </c>
      <c r="R80" s="671">
        <f t="shared" si="21"/>
        <v>0</v>
      </c>
      <c r="S80" s="321">
        <f t="shared" si="23"/>
        <v>0</v>
      </c>
    </row>
    <row r="81" spans="1:19">
      <c r="A81" s="154"/>
      <c r="B81" s="57"/>
      <c r="C81" s="24">
        <f t="shared" si="13"/>
        <v>1</v>
      </c>
      <c r="D81" s="675"/>
      <c r="E81" s="24">
        <f t="shared" si="14"/>
        <v>0.02</v>
      </c>
      <c r="F81" s="675"/>
      <c r="G81" s="24">
        <f t="shared" si="15"/>
        <v>1</v>
      </c>
      <c r="H81" s="675"/>
      <c r="I81" s="24">
        <f t="shared" si="16"/>
        <v>1</v>
      </c>
      <c r="J81" s="675"/>
      <c r="K81" s="24">
        <f t="shared" si="17"/>
        <v>1</v>
      </c>
      <c r="L81" s="675"/>
      <c r="M81" s="24">
        <f t="shared" si="18"/>
        <v>1</v>
      </c>
      <c r="N81" s="675"/>
      <c r="O81" s="24">
        <f t="shared" si="19"/>
        <v>1</v>
      </c>
      <c r="P81" s="675"/>
      <c r="Q81" s="24">
        <f t="shared" si="20"/>
        <v>1</v>
      </c>
      <c r="R81" s="671">
        <f t="shared" si="21"/>
        <v>0</v>
      </c>
      <c r="S81" s="321">
        <f t="shared" si="23"/>
        <v>0</v>
      </c>
    </row>
    <row r="82" spans="1:19">
      <c r="A82" s="154"/>
      <c r="B82" s="57"/>
      <c r="C82" s="24">
        <f t="shared" si="13"/>
        <v>1</v>
      </c>
      <c r="D82" s="675"/>
      <c r="E82" s="24">
        <f t="shared" si="14"/>
        <v>0.02</v>
      </c>
      <c r="F82" s="675"/>
      <c r="G82" s="24">
        <f t="shared" si="15"/>
        <v>1</v>
      </c>
      <c r="H82" s="675"/>
      <c r="I82" s="24">
        <f t="shared" si="16"/>
        <v>1</v>
      </c>
      <c r="J82" s="675"/>
      <c r="K82" s="24">
        <f t="shared" si="17"/>
        <v>1</v>
      </c>
      <c r="L82" s="675"/>
      <c r="M82" s="24">
        <f t="shared" si="18"/>
        <v>1</v>
      </c>
      <c r="N82" s="675"/>
      <c r="O82" s="24">
        <f t="shared" si="19"/>
        <v>1</v>
      </c>
      <c r="P82" s="675"/>
      <c r="Q82" s="24">
        <f t="shared" si="20"/>
        <v>1</v>
      </c>
      <c r="R82" s="671">
        <f t="shared" si="21"/>
        <v>0</v>
      </c>
      <c r="S82" s="321">
        <f t="shared" si="23"/>
        <v>0</v>
      </c>
    </row>
    <row r="83" spans="1:19">
      <c r="A83" s="154"/>
      <c r="B83" s="57"/>
      <c r="C83" s="24">
        <f t="shared" si="13"/>
        <v>1</v>
      </c>
      <c r="D83" s="675"/>
      <c r="E83" s="24">
        <f t="shared" si="14"/>
        <v>0.02</v>
      </c>
      <c r="F83" s="675"/>
      <c r="G83" s="24">
        <f t="shared" si="15"/>
        <v>1</v>
      </c>
      <c r="H83" s="675"/>
      <c r="I83" s="24">
        <f t="shared" si="16"/>
        <v>1</v>
      </c>
      <c r="J83" s="675"/>
      <c r="K83" s="24">
        <f t="shared" si="17"/>
        <v>1</v>
      </c>
      <c r="L83" s="675"/>
      <c r="M83" s="24">
        <f t="shared" si="18"/>
        <v>1</v>
      </c>
      <c r="N83" s="675"/>
      <c r="O83" s="24">
        <f t="shared" si="19"/>
        <v>1</v>
      </c>
      <c r="P83" s="675"/>
      <c r="Q83" s="24">
        <f t="shared" si="20"/>
        <v>1</v>
      </c>
      <c r="R83" s="671">
        <f t="shared" si="21"/>
        <v>0</v>
      </c>
      <c r="S83" s="321">
        <f t="shared" si="23"/>
        <v>0</v>
      </c>
    </row>
    <row r="84" spans="1:19">
      <c r="A84" s="154"/>
      <c r="B84" s="57"/>
      <c r="C84" s="24">
        <f t="shared" si="13"/>
        <v>1</v>
      </c>
      <c r="D84" s="675"/>
      <c r="E84" s="24">
        <f t="shared" si="14"/>
        <v>0.02</v>
      </c>
      <c r="F84" s="675"/>
      <c r="G84" s="24">
        <f t="shared" si="15"/>
        <v>1</v>
      </c>
      <c r="H84" s="675"/>
      <c r="I84" s="24">
        <f t="shared" si="16"/>
        <v>1</v>
      </c>
      <c r="J84" s="675"/>
      <c r="K84" s="24">
        <f t="shared" si="17"/>
        <v>1</v>
      </c>
      <c r="L84" s="675"/>
      <c r="M84" s="24">
        <f t="shared" si="18"/>
        <v>1</v>
      </c>
      <c r="N84" s="675"/>
      <c r="O84" s="24">
        <f t="shared" si="19"/>
        <v>1</v>
      </c>
      <c r="P84" s="675"/>
      <c r="Q84" s="24">
        <f t="shared" si="20"/>
        <v>1</v>
      </c>
      <c r="R84" s="671">
        <f t="shared" si="21"/>
        <v>0</v>
      </c>
      <c r="S84" s="321">
        <f t="shared" si="23"/>
        <v>0</v>
      </c>
    </row>
    <row r="85" spans="1:19">
      <c r="A85" s="154"/>
      <c r="B85" s="57"/>
      <c r="C85" s="24">
        <f t="shared" si="13"/>
        <v>1</v>
      </c>
      <c r="D85" s="675"/>
      <c r="E85" s="24">
        <f t="shared" si="14"/>
        <v>0.02</v>
      </c>
      <c r="F85" s="675"/>
      <c r="G85" s="24">
        <f t="shared" si="15"/>
        <v>1</v>
      </c>
      <c r="H85" s="675"/>
      <c r="I85" s="24">
        <f t="shared" si="16"/>
        <v>1</v>
      </c>
      <c r="J85" s="675"/>
      <c r="K85" s="24">
        <f t="shared" si="17"/>
        <v>1</v>
      </c>
      <c r="L85" s="675"/>
      <c r="M85" s="24">
        <f t="shared" si="18"/>
        <v>1</v>
      </c>
      <c r="N85" s="675"/>
      <c r="O85" s="24">
        <f t="shared" si="19"/>
        <v>1</v>
      </c>
      <c r="P85" s="675"/>
      <c r="Q85" s="24">
        <f t="shared" si="20"/>
        <v>1</v>
      </c>
      <c r="R85" s="671">
        <f t="shared" si="21"/>
        <v>0</v>
      </c>
      <c r="S85" s="321">
        <f t="shared" si="23"/>
        <v>0</v>
      </c>
    </row>
    <row r="86" spans="1:19">
      <c r="A86" s="154"/>
      <c r="B86" s="57"/>
      <c r="C86" s="24">
        <f t="shared" si="13"/>
        <v>1</v>
      </c>
      <c r="D86" s="675"/>
      <c r="E86" s="24">
        <f t="shared" si="14"/>
        <v>0.02</v>
      </c>
      <c r="F86" s="675"/>
      <c r="G86" s="24">
        <f t="shared" si="15"/>
        <v>1</v>
      </c>
      <c r="H86" s="675"/>
      <c r="I86" s="24">
        <f t="shared" si="16"/>
        <v>1</v>
      </c>
      <c r="J86" s="675"/>
      <c r="K86" s="24">
        <f t="shared" si="17"/>
        <v>1</v>
      </c>
      <c r="L86" s="675"/>
      <c r="M86" s="24">
        <f t="shared" si="18"/>
        <v>1</v>
      </c>
      <c r="N86" s="675"/>
      <c r="O86" s="24">
        <f t="shared" si="19"/>
        <v>1</v>
      </c>
      <c r="P86" s="675"/>
      <c r="Q86" s="24">
        <f t="shared" si="20"/>
        <v>1</v>
      </c>
      <c r="R86" s="671">
        <f t="shared" si="21"/>
        <v>0</v>
      </c>
      <c r="S86" s="321">
        <f t="shared" si="23"/>
        <v>0</v>
      </c>
    </row>
    <row r="87" spans="1:19">
      <c r="A87" s="154"/>
      <c r="B87" s="57"/>
      <c r="C87" s="24">
        <f t="shared" si="13"/>
        <v>1</v>
      </c>
      <c r="D87" s="675"/>
      <c r="E87" s="24">
        <f t="shared" si="14"/>
        <v>0.02</v>
      </c>
      <c r="F87" s="675"/>
      <c r="G87" s="24">
        <f t="shared" si="15"/>
        <v>1</v>
      </c>
      <c r="H87" s="675"/>
      <c r="I87" s="24">
        <f t="shared" si="16"/>
        <v>1</v>
      </c>
      <c r="J87" s="675"/>
      <c r="K87" s="24">
        <f t="shared" si="17"/>
        <v>1</v>
      </c>
      <c r="L87" s="675"/>
      <c r="M87" s="24">
        <f t="shared" si="18"/>
        <v>1</v>
      </c>
      <c r="N87" s="675"/>
      <c r="O87" s="24">
        <f t="shared" si="19"/>
        <v>1</v>
      </c>
      <c r="P87" s="675"/>
      <c r="Q87" s="24">
        <f t="shared" si="20"/>
        <v>1</v>
      </c>
      <c r="R87" s="671">
        <f t="shared" si="21"/>
        <v>0</v>
      </c>
      <c r="S87" s="321">
        <f t="shared" si="23"/>
        <v>0</v>
      </c>
    </row>
    <row r="88" spans="1:19">
      <c r="A88" s="154"/>
      <c r="B88" s="57"/>
      <c r="C88" s="24">
        <f t="shared" si="13"/>
        <v>1</v>
      </c>
      <c r="D88" s="675"/>
      <c r="E88" s="24">
        <f t="shared" si="14"/>
        <v>0.02</v>
      </c>
      <c r="F88" s="675"/>
      <c r="G88" s="24">
        <f t="shared" si="15"/>
        <v>1</v>
      </c>
      <c r="H88" s="675"/>
      <c r="I88" s="24">
        <f t="shared" si="16"/>
        <v>1</v>
      </c>
      <c r="J88" s="675"/>
      <c r="K88" s="24">
        <f t="shared" si="17"/>
        <v>1</v>
      </c>
      <c r="L88" s="675"/>
      <c r="M88" s="24">
        <f t="shared" si="18"/>
        <v>1</v>
      </c>
      <c r="N88" s="675"/>
      <c r="O88" s="24">
        <f t="shared" si="19"/>
        <v>1</v>
      </c>
      <c r="P88" s="675"/>
      <c r="Q88" s="24">
        <f t="shared" si="20"/>
        <v>1</v>
      </c>
      <c r="R88" s="671">
        <f t="shared" si="21"/>
        <v>0</v>
      </c>
      <c r="S88" s="321">
        <f t="shared" si="23"/>
        <v>0</v>
      </c>
    </row>
    <row r="89" spans="1:19">
      <c r="A89" s="154"/>
      <c r="B89" s="57"/>
      <c r="C89" s="24">
        <f t="shared" si="13"/>
        <v>1</v>
      </c>
      <c r="D89" s="675"/>
      <c r="E89" s="24">
        <f t="shared" si="14"/>
        <v>0.02</v>
      </c>
      <c r="F89" s="675"/>
      <c r="G89" s="24">
        <f t="shared" si="15"/>
        <v>1</v>
      </c>
      <c r="H89" s="675"/>
      <c r="I89" s="24">
        <f t="shared" si="16"/>
        <v>1</v>
      </c>
      <c r="J89" s="675"/>
      <c r="K89" s="24">
        <f t="shared" si="17"/>
        <v>1</v>
      </c>
      <c r="L89" s="675"/>
      <c r="M89" s="24">
        <f t="shared" si="18"/>
        <v>1</v>
      </c>
      <c r="N89" s="675"/>
      <c r="O89" s="24">
        <f t="shared" si="19"/>
        <v>1</v>
      </c>
      <c r="P89" s="675"/>
      <c r="Q89" s="24">
        <f t="shared" si="20"/>
        <v>1</v>
      </c>
      <c r="R89" s="671">
        <f t="shared" si="21"/>
        <v>0</v>
      </c>
      <c r="S89" s="321">
        <f t="shared" si="23"/>
        <v>0</v>
      </c>
    </row>
    <row r="90" spans="1:19">
      <c r="A90" s="154"/>
      <c r="B90" s="57"/>
      <c r="C90" s="24">
        <f t="shared" ref="C90:C153" si="24">IF(B90="",1,(LOOKUP(B90,$3:$3,$4:$4)-LOOKUP($B$24,$3:$3,$4:$4)+100)/100)</f>
        <v>1</v>
      </c>
      <c r="D90" s="675"/>
      <c r="E90" s="24">
        <f t="shared" ref="E90:E153" si="25">(SUMIF($5:$5,D90,$6:$6)-SUMIF($5:$5,$D$24,$6:$6)+100)/100</f>
        <v>0.02</v>
      </c>
      <c r="F90" s="675"/>
      <c r="G90" s="24">
        <f t="shared" ref="G90:G153" si="26">(SUMIF($7:$7,F90,$8:$8)-SUMIF($7:$7,$F$24,$8:$8)+100)/100</f>
        <v>1</v>
      </c>
      <c r="H90" s="675"/>
      <c r="I90" s="24">
        <f t="shared" ref="I90:I153" si="27">(SUMIF($9:$9,H90,$10:$10)-SUMIF($9:$9,$H$24,$10:$10)+100)/100</f>
        <v>1</v>
      </c>
      <c r="J90" s="675"/>
      <c r="K90" s="24">
        <f t="shared" ref="K90:K153" si="28">(SUMIF($11:$11,J90,$12:$12)-SUMIF($11:$11,$J$24,$12:$12)+100)/100</f>
        <v>1</v>
      </c>
      <c r="L90" s="675"/>
      <c r="M90" s="24">
        <f t="shared" ref="M90:M153" si="29">(SUMIF($13:$13,L90,$14:$14)-SUMIF($13:$13,$L$24,$14:$14)+100)/100</f>
        <v>1</v>
      </c>
      <c r="N90" s="675"/>
      <c r="O90" s="24">
        <f t="shared" ref="O90:O153" si="30">(SUMIF($15:$15,N90,$16:$16)-SUMIF($15:$15,$N$24,$16:$16)+100)/100</f>
        <v>1</v>
      </c>
      <c r="P90" s="675"/>
      <c r="Q90" s="24">
        <f t="shared" ref="Q90:Q153" si="31">(SUMIF($17:$17,P90,$18:$18)-SUMIF($17:$17,$P$24,$18:$18)+100)/100</f>
        <v>1</v>
      </c>
      <c r="R90" s="671">
        <f t="shared" ref="R90:R153" si="32">IF(B90="",0,ROUND($R$24*C90*E90*G90*I90*K90*M90*O90*Q90,0))</f>
        <v>0</v>
      </c>
      <c r="S90" s="321">
        <f t="shared" si="23"/>
        <v>0</v>
      </c>
    </row>
    <row r="91" spans="1:19">
      <c r="A91" s="154"/>
      <c r="B91" s="57"/>
      <c r="C91" s="24">
        <f t="shared" si="24"/>
        <v>1</v>
      </c>
      <c r="D91" s="675"/>
      <c r="E91" s="24">
        <f t="shared" si="25"/>
        <v>0.02</v>
      </c>
      <c r="F91" s="675"/>
      <c r="G91" s="24">
        <f t="shared" si="26"/>
        <v>1</v>
      </c>
      <c r="H91" s="675"/>
      <c r="I91" s="24">
        <f t="shared" si="27"/>
        <v>1</v>
      </c>
      <c r="J91" s="675"/>
      <c r="K91" s="24">
        <f t="shared" si="28"/>
        <v>1</v>
      </c>
      <c r="L91" s="675"/>
      <c r="M91" s="24">
        <f t="shared" si="29"/>
        <v>1</v>
      </c>
      <c r="N91" s="675"/>
      <c r="O91" s="24">
        <f t="shared" si="30"/>
        <v>1</v>
      </c>
      <c r="P91" s="675"/>
      <c r="Q91" s="24">
        <f t="shared" si="31"/>
        <v>1</v>
      </c>
      <c r="R91" s="671">
        <f t="shared" si="32"/>
        <v>0</v>
      </c>
      <c r="S91" s="321">
        <f t="shared" si="23"/>
        <v>0</v>
      </c>
    </row>
    <row r="92" spans="1:19">
      <c r="A92" s="154"/>
      <c r="B92" s="57"/>
      <c r="C92" s="24">
        <f t="shared" si="24"/>
        <v>1</v>
      </c>
      <c r="D92" s="675"/>
      <c r="E92" s="24">
        <f t="shared" si="25"/>
        <v>0.02</v>
      </c>
      <c r="F92" s="675"/>
      <c r="G92" s="24">
        <f t="shared" si="26"/>
        <v>1</v>
      </c>
      <c r="H92" s="675"/>
      <c r="I92" s="24">
        <f t="shared" si="27"/>
        <v>1</v>
      </c>
      <c r="J92" s="675"/>
      <c r="K92" s="24">
        <f t="shared" si="28"/>
        <v>1</v>
      </c>
      <c r="L92" s="675"/>
      <c r="M92" s="24">
        <f t="shared" si="29"/>
        <v>1</v>
      </c>
      <c r="N92" s="675"/>
      <c r="O92" s="24">
        <f t="shared" si="30"/>
        <v>1</v>
      </c>
      <c r="P92" s="675"/>
      <c r="Q92" s="24">
        <f t="shared" si="31"/>
        <v>1</v>
      </c>
      <c r="R92" s="671">
        <f t="shared" si="32"/>
        <v>0</v>
      </c>
      <c r="S92" s="321">
        <f t="shared" si="23"/>
        <v>0</v>
      </c>
    </row>
    <row r="93" spans="1:19">
      <c r="A93" s="154"/>
      <c r="B93" s="57"/>
      <c r="C93" s="24">
        <f t="shared" si="24"/>
        <v>1</v>
      </c>
      <c r="D93" s="675"/>
      <c r="E93" s="24">
        <f t="shared" si="25"/>
        <v>0.02</v>
      </c>
      <c r="F93" s="675"/>
      <c r="G93" s="24">
        <f t="shared" si="26"/>
        <v>1</v>
      </c>
      <c r="H93" s="675"/>
      <c r="I93" s="24">
        <f t="shared" si="27"/>
        <v>1</v>
      </c>
      <c r="J93" s="675"/>
      <c r="K93" s="24">
        <f t="shared" si="28"/>
        <v>1</v>
      </c>
      <c r="L93" s="675"/>
      <c r="M93" s="24">
        <f t="shared" si="29"/>
        <v>1</v>
      </c>
      <c r="N93" s="675"/>
      <c r="O93" s="24">
        <f t="shared" si="30"/>
        <v>1</v>
      </c>
      <c r="P93" s="675"/>
      <c r="Q93" s="24">
        <f t="shared" si="31"/>
        <v>1</v>
      </c>
      <c r="R93" s="671">
        <f t="shared" si="32"/>
        <v>0</v>
      </c>
      <c r="S93" s="321">
        <f t="shared" si="23"/>
        <v>0</v>
      </c>
    </row>
    <row r="94" spans="1:19">
      <c r="A94" s="154"/>
      <c r="B94" s="57"/>
      <c r="C94" s="24">
        <f t="shared" si="24"/>
        <v>1</v>
      </c>
      <c r="D94" s="675"/>
      <c r="E94" s="24">
        <f t="shared" si="25"/>
        <v>0.02</v>
      </c>
      <c r="F94" s="675"/>
      <c r="G94" s="24">
        <f t="shared" si="26"/>
        <v>1</v>
      </c>
      <c r="H94" s="675"/>
      <c r="I94" s="24">
        <f t="shared" si="27"/>
        <v>1</v>
      </c>
      <c r="J94" s="675"/>
      <c r="K94" s="24">
        <f t="shared" si="28"/>
        <v>1</v>
      </c>
      <c r="L94" s="675"/>
      <c r="M94" s="24">
        <f t="shared" si="29"/>
        <v>1</v>
      </c>
      <c r="N94" s="675"/>
      <c r="O94" s="24">
        <f t="shared" si="30"/>
        <v>1</v>
      </c>
      <c r="P94" s="675"/>
      <c r="Q94" s="24">
        <f t="shared" si="31"/>
        <v>1</v>
      </c>
      <c r="R94" s="671">
        <f t="shared" si="32"/>
        <v>0</v>
      </c>
      <c r="S94" s="321">
        <f t="shared" si="23"/>
        <v>0</v>
      </c>
    </row>
    <row r="95" spans="1:19">
      <c r="A95" s="154"/>
      <c r="B95" s="57"/>
      <c r="C95" s="24">
        <f t="shared" si="24"/>
        <v>1</v>
      </c>
      <c r="D95" s="675"/>
      <c r="E95" s="24">
        <f t="shared" si="25"/>
        <v>0.02</v>
      </c>
      <c r="F95" s="675"/>
      <c r="G95" s="24">
        <f t="shared" si="26"/>
        <v>1</v>
      </c>
      <c r="H95" s="675"/>
      <c r="I95" s="24">
        <f t="shared" si="27"/>
        <v>1</v>
      </c>
      <c r="J95" s="675"/>
      <c r="K95" s="24">
        <f t="shared" si="28"/>
        <v>1</v>
      </c>
      <c r="L95" s="675"/>
      <c r="M95" s="24">
        <f t="shared" si="29"/>
        <v>1</v>
      </c>
      <c r="N95" s="675"/>
      <c r="O95" s="24">
        <f t="shared" si="30"/>
        <v>1</v>
      </c>
      <c r="P95" s="675"/>
      <c r="Q95" s="24">
        <f t="shared" si="31"/>
        <v>1</v>
      </c>
      <c r="R95" s="671">
        <f t="shared" si="32"/>
        <v>0</v>
      </c>
      <c r="S95" s="321">
        <f t="shared" si="23"/>
        <v>0</v>
      </c>
    </row>
    <row r="96" spans="1:19">
      <c r="A96" s="154"/>
      <c r="B96" s="57"/>
      <c r="C96" s="24">
        <f t="shared" si="24"/>
        <v>1</v>
      </c>
      <c r="D96" s="675"/>
      <c r="E96" s="24">
        <f t="shared" si="25"/>
        <v>0.02</v>
      </c>
      <c r="F96" s="675"/>
      <c r="G96" s="24">
        <f t="shared" si="26"/>
        <v>1</v>
      </c>
      <c r="H96" s="675"/>
      <c r="I96" s="24">
        <f t="shared" si="27"/>
        <v>1</v>
      </c>
      <c r="J96" s="675"/>
      <c r="K96" s="24">
        <f t="shared" si="28"/>
        <v>1</v>
      </c>
      <c r="L96" s="675"/>
      <c r="M96" s="24">
        <f t="shared" si="29"/>
        <v>1</v>
      </c>
      <c r="N96" s="675"/>
      <c r="O96" s="24">
        <f t="shared" si="30"/>
        <v>1</v>
      </c>
      <c r="P96" s="675"/>
      <c r="Q96" s="24">
        <f t="shared" si="31"/>
        <v>1</v>
      </c>
      <c r="R96" s="671">
        <f t="shared" si="32"/>
        <v>0</v>
      </c>
      <c r="S96" s="321">
        <f t="shared" si="23"/>
        <v>0</v>
      </c>
    </row>
    <row r="97" spans="1:19">
      <c r="A97" s="154"/>
      <c r="B97" s="57"/>
      <c r="C97" s="24">
        <f t="shared" si="24"/>
        <v>1</v>
      </c>
      <c r="D97" s="675"/>
      <c r="E97" s="24">
        <f t="shared" si="25"/>
        <v>0.02</v>
      </c>
      <c r="F97" s="675"/>
      <c r="G97" s="24">
        <f t="shared" si="26"/>
        <v>1</v>
      </c>
      <c r="H97" s="675"/>
      <c r="I97" s="24">
        <f t="shared" si="27"/>
        <v>1</v>
      </c>
      <c r="J97" s="675"/>
      <c r="K97" s="24">
        <f t="shared" si="28"/>
        <v>1</v>
      </c>
      <c r="L97" s="675"/>
      <c r="M97" s="24">
        <f t="shared" si="29"/>
        <v>1</v>
      </c>
      <c r="N97" s="675"/>
      <c r="O97" s="24">
        <f t="shared" si="30"/>
        <v>1</v>
      </c>
      <c r="P97" s="675"/>
      <c r="Q97" s="24">
        <f t="shared" si="31"/>
        <v>1</v>
      </c>
      <c r="R97" s="671">
        <f t="shared" si="32"/>
        <v>0</v>
      </c>
      <c r="S97" s="321">
        <f t="shared" si="23"/>
        <v>0</v>
      </c>
    </row>
    <row r="98" spans="1:19">
      <c r="A98" s="154"/>
      <c r="B98" s="57"/>
      <c r="C98" s="24">
        <f t="shared" si="24"/>
        <v>1</v>
      </c>
      <c r="D98" s="675"/>
      <c r="E98" s="24">
        <f t="shared" si="25"/>
        <v>0.02</v>
      </c>
      <c r="F98" s="675"/>
      <c r="G98" s="24">
        <f t="shared" si="26"/>
        <v>1</v>
      </c>
      <c r="H98" s="675"/>
      <c r="I98" s="24">
        <f t="shared" si="27"/>
        <v>1</v>
      </c>
      <c r="J98" s="675"/>
      <c r="K98" s="24">
        <f t="shared" si="28"/>
        <v>1</v>
      </c>
      <c r="L98" s="675"/>
      <c r="M98" s="24">
        <f t="shared" si="29"/>
        <v>1</v>
      </c>
      <c r="N98" s="675"/>
      <c r="O98" s="24">
        <f t="shared" si="30"/>
        <v>1</v>
      </c>
      <c r="P98" s="675"/>
      <c r="Q98" s="24">
        <f t="shared" si="31"/>
        <v>1</v>
      </c>
      <c r="R98" s="671">
        <f t="shared" si="32"/>
        <v>0</v>
      </c>
      <c r="S98" s="321">
        <f t="shared" si="23"/>
        <v>0</v>
      </c>
    </row>
    <row r="99" spans="1:19">
      <c r="A99" s="154"/>
      <c r="B99" s="57"/>
      <c r="C99" s="24">
        <f t="shared" si="24"/>
        <v>1</v>
      </c>
      <c r="D99" s="675"/>
      <c r="E99" s="24">
        <f t="shared" si="25"/>
        <v>0.02</v>
      </c>
      <c r="F99" s="675"/>
      <c r="G99" s="24">
        <f t="shared" si="26"/>
        <v>1</v>
      </c>
      <c r="H99" s="675"/>
      <c r="I99" s="24">
        <f t="shared" si="27"/>
        <v>1</v>
      </c>
      <c r="J99" s="675"/>
      <c r="K99" s="24">
        <f t="shared" si="28"/>
        <v>1</v>
      </c>
      <c r="L99" s="675"/>
      <c r="M99" s="24">
        <f t="shared" si="29"/>
        <v>1</v>
      </c>
      <c r="N99" s="675"/>
      <c r="O99" s="24">
        <f t="shared" si="30"/>
        <v>1</v>
      </c>
      <c r="P99" s="675"/>
      <c r="Q99" s="24">
        <f t="shared" si="31"/>
        <v>1</v>
      </c>
      <c r="R99" s="671">
        <f t="shared" si="32"/>
        <v>0</v>
      </c>
      <c r="S99" s="321">
        <f t="shared" si="23"/>
        <v>0</v>
      </c>
    </row>
    <row r="100" spans="1:19">
      <c r="A100" s="154"/>
      <c r="B100" s="57"/>
      <c r="C100" s="24">
        <f t="shared" si="24"/>
        <v>1</v>
      </c>
      <c r="D100" s="675"/>
      <c r="E100" s="24">
        <f t="shared" si="25"/>
        <v>0.02</v>
      </c>
      <c r="F100" s="675"/>
      <c r="G100" s="24">
        <f t="shared" si="26"/>
        <v>1</v>
      </c>
      <c r="H100" s="675"/>
      <c r="I100" s="24">
        <f t="shared" si="27"/>
        <v>1</v>
      </c>
      <c r="J100" s="675"/>
      <c r="K100" s="24">
        <f t="shared" si="28"/>
        <v>1</v>
      </c>
      <c r="L100" s="675"/>
      <c r="M100" s="24">
        <f t="shared" si="29"/>
        <v>1</v>
      </c>
      <c r="N100" s="675"/>
      <c r="O100" s="24">
        <f t="shared" si="30"/>
        <v>1</v>
      </c>
      <c r="P100" s="675"/>
      <c r="Q100" s="24">
        <f t="shared" si="31"/>
        <v>1</v>
      </c>
      <c r="R100" s="671">
        <f t="shared" si="32"/>
        <v>0</v>
      </c>
      <c r="S100" s="321">
        <f t="shared" si="23"/>
        <v>0</v>
      </c>
    </row>
    <row r="101" spans="1:19">
      <c r="A101" s="154"/>
      <c r="B101" s="57"/>
      <c r="C101" s="24">
        <f t="shared" si="24"/>
        <v>1</v>
      </c>
      <c r="D101" s="675"/>
      <c r="E101" s="24">
        <f t="shared" si="25"/>
        <v>0.02</v>
      </c>
      <c r="F101" s="675"/>
      <c r="G101" s="24">
        <f t="shared" si="26"/>
        <v>1</v>
      </c>
      <c r="H101" s="675"/>
      <c r="I101" s="24">
        <f t="shared" si="27"/>
        <v>1</v>
      </c>
      <c r="J101" s="675"/>
      <c r="K101" s="24">
        <f t="shared" si="28"/>
        <v>1</v>
      </c>
      <c r="L101" s="675"/>
      <c r="M101" s="24">
        <f t="shared" si="29"/>
        <v>1</v>
      </c>
      <c r="N101" s="675"/>
      <c r="O101" s="24">
        <f t="shared" si="30"/>
        <v>1</v>
      </c>
      <c r="P101" s="675"/>
      <c r="Q101" s="24">
        <f t="shared" si="31"/>
        <v>1</v>
      </c>
      <c r="R101" s="671">
        <f t="shared" si="32"/>
        <v>0</v>
      </c>
      <c r="S101" s="321">
        <f t="shared" si="23"/>
        <v>0</v>
      </c>
    </row>
    <row r="102" spans="1:19">
      <c r="A102" s="154"/>
      <c r="B102" s="57"/>
      <c r="C102" s="24">
        <f t="shared" si="24"/>
        <v>1</v>
      </c>
      <c r="D102" s="675"/>
      <c r="E102" s="24">
        <f t="shared" si="25"/>
        <v>0.02</v>
      </c>
      <c r="F102" s="675"/>
      <c r="G102" s="24">
        <f t="shared" si="26"/>
        <v>1</v>
      </c>
      <c r="H102" s="675"/>
      <c r="I102" s="24">
        <f t="shared" si="27"/>
        <v>1</v>
      </c>
      <c r="J102" s="675"/>
      <c r="K102" s="24">
        <f t="shared" si="28"/>
        <v>1</v>
      </c>
      <c r="L102" s="675"/>
      <c r="M102" s="24">
        <f t="shared" si="29"/>
        <v>1</v>
      </c>
      <c r="N102" s="675"/>
      <c r="O102" s="24">
        <f t="shared" si="30"/>
        <v>1</v>
      </c>
      <c r="P102" s="675"/>
      <c r="Q102" s="24">
        <f t="shared" si="31"/>
        <v>1</v>
      </c>
      <c r="R102" s="671">
        <f t="shared" si="32"/>
        <v>0</v>
      </c>
      <c r="S102" s="321">
        <f t="shared" si="23"/>
        <v>0</v>
      </c>
    </row>
    <row r="103" spans="1:19">
      <c r="A103" s="154"/>
      <c r="B103" s="57"/>
      <c r="C103" s="24">
        <f t="shared" si="24"/>
        <v>1</v>
      </c>
      <c r="D103" s="675"/>
      <c r="E103" s="24">
        <f t="shared" si="25"/>
        <v>0.02</v>
      </c>
      <c r="F103" s="675"/>
      <c r="G103" s="24">
        <f t="shared" si="26"/>
        <v>1</v>
      </c>
      <c r="H103" s="675"/>
      <c r="I103" s="24">
        <f t="shared" si="27"/>
        <v>1</v>
      </c>
      <c r="J103" s="675"/>
      <c r="K103" s="24">
        <f t="shared" si="28"/>
        <v>1</v>
      </c>
      <c r="L103" s="675"/>
      <c r="M103" s="24">
        <f t="shared" si="29"/>
        <v>1</v>
      </c>
      <c r="N103" s="675"/>
      <c r="O103" s="24">
        <f t="shared" si="30"/>
        <v>1</v>
      </c>
      <c r="P103" s="675"/>
      <c r="Q103" s="24">
        <f t="shared" si="31"/>
        <v>1</v>
      </c>
      <c r="R103" s="671">
        <f t="shared" si="32"/>
        <v>0</v>
      </c>
      <c r="S103" s="321">
        <f t="shared" si="23"/>
        <v>0</v>
      </c>
    </row>
    <row r="104" spans="1:19">
      <c r="A104" s="154"/>
      <c r="B104" s="57"/>
      <c r="C104" s="24">
        <f t="shared" si="24"/>
        <v>1</v>
      </c>
      <c r="D104" s="675"/>
      <c r="E104" s="24">
        <f t="shared" si="25"/>
        <v>0.02</v>
      </c>
      <c r="F104" s="675"/>
      <c r="G104" s="24">
        <f t="shared" si="26"/>
        <v>1</v>
      </c>
      <c r="H104" s="675"/>
      <c r="I104" s="24">
        <f t="shared" si="27"/>
        <v>1</v>
      </c>
      <c r="J104" s="675"/>
      <c r="K104" s="24">
        <f t="shared" si="28"/>
        <v>1</v>
      </c>
      <c r="L104" s="675"/>
      <c r="M104" s="24">
        <f t="shared" si="29"/>
        <v>1</v>
      </c>
      <c r="N104" s="675"/>
      <c r="O104" s="24">
        <f t="shared" si="30"/>
        <v>1</v>
      </c>
      <c r="P104" s="675"/>
      <c r="Q104" s="24">
        <f t="shared" si="31"/>
        <v>1</v>
      </c>
      <c r="R104" s="671">
        <f t="shared" si="32"/>
        <v>0</v>
      </c>
      <c r="S104" s="321">
        <f t="shared" si="23"/>
        <v>0</v>
      </c>
    </row>
    <row r="105" spans="1:19">
      <c r="A105" s="154"/>
      <c r="B105" s="57"/>
      <c r="C105" s="24">
        <f t="shared" si="24"/>
        <v>1</v>
      </c>
      <c r="D105" s="675"/>
      <c r="E105" s="24">
        <f t="shared" si="25"/>
        <v>0.02</v>
      </c>
      <c r="F105" s="675"/>
      <c r="G105" s="24">
        <f t="shared" si="26"/>
        <v>1</v>
      </c>
      <c r="H105" s="675"/>
      <c r="I105" s="24">
        <f t="shared" si="27"/>
        <v>1</v>
      </c>
      <c r="J105" s="675"/>
      <c r="K105" s="24">
        <f t="shared" si="28"/>
        <v>1</v>
      </c>
      <c r="L105" s="675"/>
      <c r="M105" s="24">
        <f t="shared" si="29"/>
        <v>1</v>
      </c>
      <c r="N105" s="675"/>
      <c r="O105" s="24">
        <f t="shared" si="30"/>
        <v>1</v>
      </c>
      <c r="P105" s="675"/>
      <c r="Q105" s="24">
        <f t="shared" si="31"/>
        <v>1</v>
      </c>
      <c r="R105" s="671">
        <f t="shared" si="32"/>
        <v>0</v>
      </c>
      <c r="S105" s="321">
        <f t="shared" si="23"/>
        <v>0</v>
      </c>
    </row>
    <row r="106" spans="1:19">
      <c r="A106" s="154"/>
      <c r="B106" s="57"/>
      <c r="C106" s="24">
        <f t="shared" si="24"/>
        <v>1</v>
      </c>
      <c r="D106" s="675"/>
      <c r="E106" s="24">
        <f t="shared" si="25"/>
        <v>0.02</v>
      </c>
      <c r="F106" s="675"/>
      <c r="G106" s="24">
        <f t="shared" si="26"/>
        <v>1</v>
      </c>
      <c r="H106" s="675"/>
      <c r="I106" s="24">
        <f t="shared" si="27"/>
        <v>1</v>
      </c>
      <c r="J106" s="675"/>
      <c r="K106" s="24">
        <f t="shared" si="28"/>
        <v>1</v>
      </c>
      <c r="L106" s="675"/>
      <c r="M106" s="24">
        <f t="shared" si="29"/>
        <v>1</v>
      </c>
      <c r="N106" s="675"/>
      <c r="O106" s="24">
        <f t="shared" si="30"/>
        <v>1</v>
      </c>
      <c r="P106" s="675"/>
      <c r="Q106" s="24">
        <f t="shared" si="31"/>
        <v>1</v>
      </c>
      <c r="R106" s="671">
        <f t="shared" si="32"/>
        <v>0</v>
      </c>
      <c r="S106" s="321">
        <f t="shared" si="23"/>
        <v>0</v>
      </c>
    </row>
    <row r="107" spans="1:19">
      <c r="A107" s="154"/>
      <c r="B107" s="57"/>
      <c r="C107" s="24">
        <f t="shared" si="24"/>
        <v>1</v>
      </c>
      <c r="D107" s="675"/>
      <c r="E107" s="24">
        <f t="shared" si="25"/>
        <v>0.02</v>
      </c>
      <c r="F107" s="675"/>
      <c r="G107" s="24">
        <f t="shared" si="26"/>
        <v>1</v>
      </c>
      <c r="H107" s="675"/>
      <c r="I107" s="24">
        <f t="shared" si="27"/>
        <v>1</v>
      </c>
      <c r="J107" s="675"/>
      <c r="K107" s="24">
        <f t="shared" si="28"/>
        <v>1</v>
      </c>
      <c r="L107" s="675"/>
      <c r="M107" s="24">
        <f t="shared" si="29"/>
        <v>1</v>
      </c>
      <c r="N107" s="675"/>
      <c r="O107" s="24">
        <f t="shared" si="30"/>
        <v>1</v>
      </c>
      <c r="P107" s="675"/>
      <c r="Q107" s="24">
        <f t="shared" si="31"/>
        <v>1</v>
      </c>
      <c r="R107" s="671">
        <f t="shared" si="32"/>
        <v>0</v>
      </c>
      <c r="S107" s="321">
        <f t="shared" si="23"/>
        <v>0</v>
      </c>
    </row>
    <row r="108" spans="1:19">
      <c r="A108" s="154"/>
      <c r="B108" s="57"/>
      <c r="C108" s="24">
        <f t="shared" si="24"/>
        <v>1</v>
      </c>
      <c r="D108" s="675"/>
      <c r="E108" s="24">
        <f t="shared" si="25"/>
        <v>0.02</v>
      </c>
      <c r="F108" s="675"/>
      <c r="G108" s="24">
        <f t="shared" si="26"/>
        <v>1</v>
      </c>
      <c r="H108" s="675"/>
      <c r="I108" s="24">
        <f t="shared" si="27"/>
        <v>1</v>
      </c>
      <c r="J108" s="675"/>
      <c r="K108" s="24">
        <f t="shared" si="28"/>
        <v>1</v>
      </c>
      <c r="L108" s="675"/>
      <c r="M108" s="24">
        <f t="shared" si="29"/>
        <v>1</v>
      </c>
      <c r="N108" s="675"/>
      <c r="O108" s="24">
        <f t="shared" si="30"/>
        <v>1</v>
      </c>
      <c r="P108" s="675"/>
      <c r="Q108" s="24">
        <f t="shared" si="31"/>
        <v>1</v>
      </c>
      <c r="R108" s="671">
        <f t="shared" si="32"/>
        <v>0</v>
      </c>
      <c r="S108" s="321">
        <f t="shared" si="23"/>
        <v>0</v>
      </c>
    </row>
    <row r="109" spans="1:19">
      <c r="A109" s="154"/>
      <c r="B109" s="57"/>
      <c r="C109" s="24">
        <f t="shared" si="24"/>
        <v>1</v>
      </c>
      <c r="D109" s="675"/>
      <c r="E109" s="24">
        <f t="shared" si="25"/>
        <v>0.02</v>
      </c>
      <c r="F109" s="675"/>
      <c r="G109" s="24">
        <f t="shared" si="26"/>
        <v>1</v>
      </c>
      <c r="H109" s="675"/>
      <c r="I109" s="24">
        <f t="shared" si="27"/>
        <v>1</v>
      </c>
      <c r="J109" s="675"/>
      <c r="K109" s="24">
        <f t="shared" si="28"/>
        <v>1</v>
      </c>
      <c r="L109" s="675"/>
      <c r="M109" s="24">
        <f t="shared" si="29"/>
        <v>1</v>
      </c>
      <c r="N109" s="675"/>
      <c r="O109" s="24">
        <f t="shared" si="30"/>
        <v>1</v>
      </c>
      <c r="P109" s="675"/>
      <c r="Q109" s="24">
        <f t="shared" si="31"/>
        <v>1</v>
      </c>
      <c r="R109" s="671">
        <f t="shared" si="32"/>
        <v>0</v>
      </c>
      <c r="S109" s="321">
        <f t="shared" si="23"/>
        <v>0</v>
      </c>
    </row>
    <row r="110" spans="1:19">
      <c r="A110" s="154"/>
      <c r="B110" s="57"/>
      <c r="C110" s="24">
        <f t="shared" si="24"/>
        <v>1</v>
      </c>
      <c r="D110" s="675"/>
      <c r="E110" s="24">
        <f t="shared" si="25"/>
        <v>0.02</v>
      </c>
      <c r="F110" s="675"/>
      <c r="G110" s="24">
        <f t="shared" si="26"/>
        <v>1</v>
      </c>
      <c r="H110" s="675"/>
      <c r="I110" s="24">
        <f t="shared" si="27"/>
        <v>1</v>
      </c>
      <c r="J110" s="675"/>
      <c r="K110" s="24">
        <f t="shared" si="28"/>
        <v>1</v>
      </c>
      <c r="L110" s="675"/>
      <c r="M110" s="24">
        <f t="shared" si="29"/>
        <v>1</v>
      </c>
      <c r="N110" s="675"/>
      <c r="O110" s="24">
        <f t="shared" si="30"/>
        <v>1</v>
      </c>
      <c r="P110" s="675"/>
      <c r="Q110" s="24">
        <f t="shared" si="31"/>
        <v>1</v>
      </c>
      <c r="R110" s="671">
        <f t="shared" si="32"/>
        <v>0</v>
      </c>
      <c r="S110" s="321">
        <f t="shared" si="23"/>
        <v>0</v>
      </c>
    </row>
    <row r="111" spans="1:19">
      <c r="A111" s="154"/>
      <c r="B111" s="57"/>
      <c r="C111" s="24">
        <f t="shared" si="24"/>
        <v>1</v>
      </c>
      <c r="D111" s="675"/>
      <c r="E111" s="24">
        <f t="shared" si="25"/>
        <v>0.02</v>
      </c>
      <c r="F111" s="675"/>
      <c r="G111" s="24">
        <f t="shared" si="26"/>
        <v>1</v>
      </c>
      <c r="H111" s="675"/>
      <c r="I111" s="24">
        <f t="shared" si="27"/>
        <v>1</v>
      </c>
      <c r="J111" s="675"/>
      <c r="K111" s="24">
        <f t="shared" si="28"/>
        <v>1</v>
      </c>
      <c r="L111" s="675"/>
      <c r="M111" s="24">
        <f t="shared" si="29"/>
        <v>1</v>
      </c>
      <c r="N111" s="675"/>
      <c r="O111" s="24">
        <f t="shared" si="30"/>
        <v>1</v>
      </c>
      <c r="P111" s="675"/>
      <c r="Q111" s="24">
        <f t="shared" si="31"/>
        <v>1</v>
      </c>
      <c r="R111" s="671">
        <f t="shared" si="32"/>
        <v>0</v>
      </c>
      <c r="S111" s="321">
        <f t="shared" si="23"/>
        <v>0</v>
      </c>
    </row>
    <row r="112" spans="1:19">
      <c r="A112" s="154"/>
      <c r="B112" s="57"/>
      <c r="C112" s="24">
        <f t="shared" si="24"/>
        <v>1</v>
      </c>
      <c r="D112" s="675"/>
      <c r="E112" s="24">
        <f t="shared" si="25"/>
        <v>0.02</v>
      </c>
      <c r="F112" s="675"/>
      <c r="G112" s="24">
        <f t="shared" si="26"/>
        <v>1</v>
      </c>
      <c r="H112" s="675"/>
      <c r="I112" s="24">
        <f t="shared" si="27"/>
        <v>1</v>
      </c>
      <c r="J112" s="675"/>
      <c r="K112" s="24">
        <f t="shared" si="28"/>
        <v>1</v>
      </c>
      <c r="L112" s="675"/>
      <c r="M112" s="24">
        <f t="shared" si="29"/>
        <v>1</v>
      </c>
      <c r="N112" s="675"/>
      <c r="O112" s="24">
        <f t="shared" si="30"/>
        <v>1</v>
      </c>
      <c r="P112" s="675"/>
      <c r="Q112" s="24">
        <f t="shared" si="31"/>
        <v>1</v>
      </c>
      <c r="R112" s="671">
        <f t="shared" si="32"/>
        <v>0</v>
      </c>
      <c r="S112" s="321">
        <f t="shared" si="23"/>
        <v>0</v>
      </c>
    </row>
    <row r="113" spans="1:19">
      <c r="A113" s="154"/>
      <c r="B113" s="57"/>
      <c r="C113" s="24">
        <f t="shared" si="24"/>
        <v>1</v>
      </c>
      <c r="D113" s="675"/>
      <c r="E113" s="24">
        <f t="shared" si="25"/>
        <v>0.02</v>
      </c>
      <c r="F113" s="675"/>
      <c r="G113" s="24">
        <f t="shared" si="26"/>
        <v>1</v>
      </c>
      <c r="H113" s="675"/>
      <c r="I113" s="24">
        <f t="shared" si="27"/>
        <v>1</v>
      </c>
      <c r="J113" s="675"/>
      <c r="K113" s="24">
        <f t="shared" si="28"/>
        <v>1</v>
      </c>
      <c r="L113" s="675"/>
      <c r="M113" s="24">
        <f t="shared" si="29"/>
        <v>1</v>
      </c>
      <c r="N113" s="675"/>
      <c r="O113" s="24">
        <f t="shared" si="30"/>
        <v>1</v>
      </c>
      <c r="P113" s="675"/>
      <c r="Q113" s="24">
        <f t="shared" si="31"/>
        <v>1</v>
      </c>
      <c r="R113" s="671">
        <f t="shared" si="32"/>
        <v>0</v>
      </c>
      <c r="S113" s="321">
        <f t="shared" si="23"/>
        <v>0</v>
      </c>
    </row>
    <row r="114" spans="1:19">
      <c r="A114" s="154"/>
      <c r="B114" s="57"/>
      <c r="C114" s="24">
        <f t="shared" si="24"/>
        <v>1</v>
      </c>
      <c r="D114" s="675"/>
      <c r="E114" s="24">
        <f t="shared" si="25"/>
        <v>0.02</v>
      </c>
      <c r="F114" s="675"/>
      <c r="G114" s="24">
        <f t="shared" si="26"/>
        <v>1</v>
      </c>
      <c r="H114" s="675"/>
      <c r="I114" s="24">
        <f t="shared" si="27"/>
        <v>1</v>
      </c>
      <c r="J114" s="675"/>
      <c r="K114" s="24">
        <f t="shared" si="28"/>
        <v>1</v>
      </c>
      <c r="L114" s="675"/>
      <c r="M114" s="24">
        <f t="shared" si="29"/>
        <v>1</v>
      </c>
      <c r="N114" s="675"/>
      <c r="O114" s="24">
        <f t="shared" si="30"/>
        <v>1</v>
      </c>
      <c r="P114" s="675"/>
      <c r="Q114" s="24">
        <f t="shared" si="31"/>
        <v>1</v>
      </c>
      <c r="R114" s="671">
        <f t="shared" si="32"/>
        <v>0</v>
      </c>
      <c r="S114" s="321">
        <f t="shared" si="23"/>
        <v>0</v>
      </c>
    </row>
    <row r="115" spans="1:19">
      <c r="A115" s="154"/>
      <c r="B115" s="57"/>
      <c r="C115" s="24">
        <f t="shared" si="24"/>
        <v>1</v>
      </c>
      <c r="D115" s="675"/>
      <c r="E115" s="24">
        <f t="shared" si="25"/>
        <v>0.02</v>
      </c>
      <c r="F115" s="675"/>
      <c r="G115" s="24">
        <f t="shared" si="26"/>
        <v>1</v>
      </c>
      <c r="H115" s="675"/>
      <c r="I115" s="24">
        <f t="shared" si="27"/>
        <v>1</v>
      </c>
      <c r="J115" s="675"/>
      <c r="K115" s="24">
        <f t="shared" si="28"/>
        <v>1</v>
      </c>
      <c r="L115" s="675"/>
      <c r="M115" s="24">
        <f t="shared" si="29"/>
        <v>1</v>
      </c>
      <c r="N115" s="675"/>
      <c r="O115" s="24">
        <f t="shared" si="30"/>
        <v>1</v>
      </c>
      <c r="P115" s="675"/>
      <c r="Q115" s="24">
        <f t="shared" si="31"/>
        <v>1</v>
      </c>
      <c r="R115" s="671">
        <f t="shared" si="32"/>
        <v>0</v>
      </c>
      <c r="S115" s="321">
        <f t="shared" si="23"/>
        <v>0</v>
      </c>
    </row>
    <row r="116" spans="1:19">
      <c r="A116" s="154"/>
      <c r="B116" s="57"/>
      <c r="C116" s="24">
        <f t="shared" si="24"/>
        <v>1</v>
      </c>
      <c r="D116" s="675"/>
      <c r="E116" s="24">
        <f t="shared" si="25"/>
        <v>0.02</v>
      </c>
      <c r="F116" s="675"/>
      <c r="G116" s="24">
        <f t="shared" si="26"/>
        <v>1</v>
      </c>
      <c r="H116" s="675"/>
      <c r="I116" s="24">
        <f t="shared" si="27"/>
        <v>1</v>
      </c>
      <c r="J116" s="675"/>
      <c r="K116" s="24">
        <f t="shared" si="28"/>
        <v>1</v>
      </c>
      <c r="L116" s="675"/>
      <c r="M116" s="24">
        <f t="shared" si="29"/>
        <v>1</v>
      </c>
      <c r="N116" s="675"/>
      <c r="O116" s="24">
        <f t="shared" si="30"/>
        <v>1</v>
      </c>
      <c r="P116" s="675"/>
      <c r="Q116" s="24">
        <f t="shared" si="31"/>
        <v>1</v>
      </c>
      <c r="R116" s="671">
        <f t="shared" si="32"/>
        <v>0</v>
      </c>
      <c r="S116" s="321">
        <f t="shared" si="23"/>
        <v>0</v>
      </c>
    </row>
    <row r="117" spans="1:19">
      <c r="A117" s="154"/>
      <c r="B117" s="57"/>
      <c r="C117" s="24">
        <f t="shared" si="24"/>
        <v>1</v>
      </c>
      <c r="D117" s="675"/>
      <c r="E117" s="24">
        <f t="shared" si="25"/>
        <v>0.02</v>
      </c>
      <c r="F117" s="675"/>
      <c r="G117" s="24">
        <f t="shared" si="26"/>
        <v>1</v>
      </c>
      <c r="H117" s="675"/>
      <c r="I117" s="24">
        <f t="shared" si="27"/>
        <v>1</v>
      </c>
      <c r="J117" s="675"/>
      <c r="K117" s="24">
        <f t="shared" si="28"/>
        <v>1</v>
      </c>
      <c r="L117" s="675"/>
      <c r="M117" s="24">
        <f t="shared" si="29"/>
        <v>1</v>
      </c>
      <c r="N117" s="675"/>
      <c r="O117" s="24">
        <f t="shared" si="30"/>
        <v>1</v>
      </c>
      <c r="P117" s="675"/>
      <c r="Q117" s="24">
        <f t="shared" si="31"/>
        <v>1</v>
      </c>
      <c r="R117" s="671">
        <f t="shared" si="32"/>
        <v>0</v>
      </c>
      <c r="S117" s="321">
        <f t="shared" si="23"/>
        <v>0</v>
      </c>
    </row>
    <row r="118" spans="1:19">
      <c r="A118" s="154"/>
      <c r="B118" s="57"/>
      <c r="C118" s="24">
        <f t="shared" si="24"/>
        <v>1</v>
      </c>
      <c r="D118" s="675"/>
      <c r="E118" s="24">
        <f t="shared" si="25"/>
        <v>0.02</v>
      </c>
      <c r="F118" s="675"/>
      <c r="G118" s="24">
        <f t="shared" si="26"/>
        <v>1</v>
      </c>
      <c r="H118" s="675"/>
      <c r="I118" s="24">
        <f t="shared" si="27"/>
        <v>1</v>
      </c>
      <c r="J118" s="675"/>
      <c r="K118" s="24">
        <f t="shared" si="28"/>
        <v>1</v>
      </c>
      <c r="L118" s="675"/>
      <c r="M118" s="24">
        <f t="shared" si="29"/>
        <v>1</v>
      </c>
      <c r="N118" s="675"/>
      <c r="O118" s="24">
        <f t="shared" si="30"/>
        <v>1</v>
      </c>
      <c r="P118" s="675"/>
      <c r="Q118" s="24">
        <f t="shared" si="31"/>
        <v>1</v>
      </c>
      <c r="R118" s="671">
        <f t="shared" si="32"/>
        <v>0</v>
      </c>
      <c r="S118" s="321">
        <f t="shared" si="23"/>
        <v>0</v>
      </c>
    </row>
    <row r="119" spans="1:19">
      <c r="A119" s="154"/>
      <c r="B119" s="57"/>
      <c r="C119" s="24">
        <f t="shared" si="24"/>
        <v>1</v>
      </c>
      <c r="D119" s="675"/>
      <c r="E119" s="24">
        <f t="shared" si="25"/>
        <v>0.02</v>
      </c>
      <c r="F119" s="675"/>
      <c r="G119" s="24">
        <f t="shared" si="26"/>
        <v>1</v>
      </c>
      <c r="H119" s="675"/>
      <c r="I119" s="24">
        <f t="shared" si="27"/>
        <v>1</v>
      </c>
      <c r="J119" s="675"/>
      <c r="K119" s="24">
        <f t="shared" si="28"/>
        <v>1</v>
      </c>
      <c r="L119" s="675"/>
      <c r="M119" s="24">
        <f t="shared" si="29"/>
        <v>1</v>
      </c>
      <c r="N119" s="675"/>
      <c r="O119" s="24">
        <f t="shared" si="30"/>
        <v>1</v>
      </c>
      <c r="P119" s="675"/>
      <c r="Q119" s="24">
        <f t="shared" si="31"/>
        <v>1</v>
      </c>
      <c r="R119" s="671">
        <f t="shared" si="32"/>
        <v>0</v>
      </c>
      <c r="S119" s="321">
        <f t="shared" si="23"/>
        <v>0</v>
      </c>
    </row>
    <row r="120" spans="1:19">
      <c r="A120" s="154"/>
      <c r="B120" s="57"/>
      <c r="C120" s="24">
        <f t="shared" si="24"/>
        <v>1</v>
      </c>
      <c r="D120" s="675"/>
      <c r="E120" s="24">
        <f t="shared" si="25"/>
        <v>0.02</v>
      </c>
      <c r="F120" s="675"/>
      <c r="G120" s="24">
        <f t="shared" si="26"/>
        <v>1</v>
      </c>
      <c r="H120" s="675"/>
      <c r="I120" s="24">
        <f t="shared" si="27"/>
        <v>1</v>
      </c>
      <c r="J120" s="675"/>
      <c r="K120" s="24">
        <f t="shared" si="28"/>
        <v>1</v>
      </c>
      <c r="L120" s="675"/>
      <c r="M120" s="24">
        <f t="shared" si="29"/>
        <v>1</v>
      </c>
      <c r="N120" s="675"/>
      <c r="O120" s="24">
        <f t="shared" si="30"/>
        <v>1</v>
      </c>
      <c r="P120" s="675"/>
      <c r="Q120" s="24">
        <f t="shared" si="31"/>
        <v>1</v>
      </c>
      <c r="R120" s="671">
        <f t="shared" si="32"/>
        <v>0</v>
      </c>
      <c r="S120" s="321">
        <f t="shared" si="23"/>
        <v>0</v>
      </c>
    </row>
    <row r="121" spans="1:19">
      <c r="A121" s="154"/>
      <c r="B121" s="57"/>
      <c r="C121" s="24">
        <f t="shared" si="24"/>
        <v>1</v>
      </c>
      <c r="D121" s="675"/>
      <c r="E121" s="24">
        <f t="shared" si="25"/>
        <v>0.02</v>
      </c>
      <c r="F121" s="675"/>
      <c r="G121" s="24">
        <f t="shared" si="26"/>
        <v>1</v>
      </c>
      <c r="H121" s="675"/>
      <c r="I121" s="24">
        <f t="shared" si="27"/>
        <v>1</v>
      </c>
      <c r="J121" s="675"/>
      <c r="K121" s="24">
        <f t="shared" si="28"/>
        <v>1</v>
      </c>
      <c r="L121" s="675"/>
      <c r="M121" s="24">
        <f t="shared" si="29"/>
        <v>1</v>
      </c>
      <c r="N121" s="675"/>
      <c r="O121" s="24">
        <f t="shared" si="30"/>
        <v>1</v>
      </c>
      <c r="P121" s="675"/>
      <c r="Q121" s="24">
        <f t="shared" si="31"/>
        <v>1</v>
      </c>
      <c r="R121" s="671">
        <f t="shared" si="32"/>
        <v>0</v>
      </c>
      <c r="S121" s="321">
        <f t="shared" si="23"/>
        <v>0</v>
      </c>
    </row>
    <row r="122" spans="1:19">
      <c r="A122" s="154"/>
      <c r="B122" s="57"/>
      <c r="C122" s="24">
        <f t="shared" si="24"/>
        <v>1</v>
      </c>
      <c r="D122" s="675"/>
      <c r="E122" s="24">
        <f t="shared" si="25"/>
        <v>0.02</v>
      </c>
      <c r="F122" s="675"/>
      <c r="G122" s="24">
        <f t="shared" si="26"/>
        <v>1</v>
      </c>
      <c r="H122" s="675"/>
      <c r="I122" s="24">
        <f t="shared" si="27"/>
        <v>1</v>
      </c>
      <c r="J122" s="675"/>
      <c r="K122" s="24">
        <f t="shared" si="28"/>
        <v>1</v>
      </c>
      <c r="L122" s="675"/>
      <c r="M122" s="24">
        <f t="shared" si="29"/>
        <v>1</v>
      </c>
      <c r="N122" s="675"/>
      <c r="O122" s="24">
        <f t="shared" si="30"/>
        <v>1</v>
      </c>
      <c r="P122" s="675"/>
      <c r="Q122" s="24">
        <f t="shared" si="31"/>
        <v>1</v>
      </c>
      <c r="R122" s="671">
        <f t="shared" si="32"/>
        <v>0</v>
      </c>
      <c r="S122" s="321">
        <f t="shared" si="23"/>
        <v>0</v>
      </c>
    </row>
    <row r="123" spans="1:19">
      <c r="A123" s="154"/>
      <c r="B123" s="57"/>
      <c r="C123" s="24">
        <f t="shared" si="24"/>
        <v>1</v>
      </c>
      <c r="D123" s="675"/>
      <c r="E123" s="24">
        <f t="shared" si="25"/>
        <v>0.02</v>
      </c>
      <c r="F123" s="675"/>
      <c r="G123" s="24">
        <f t="shared" si="26"/>
        <v>1</v>
      </c>
      <c r="H123" s="675"/>
      <c r="I123" s="24">
        <f t="shared" si="27"/>
        <v>1</v>
      </c>
      <c r="J123" s="675"/>
      <c r="K123" s="24">
        <f t="shared" si="28"/>
        <v>1</v>
      </c>
      <c r="L123" s="675"/>
      <c r="M123" s="24">
        <f t="shared" si="29"/>
        <v>1</v>
      </c>
      <c r="N123" s="675"/>
      <c r="O123" s="24">
        <f t="shared" si="30"/>
        <v>1</v>
      </c>
      <c r="P123" s="675"/>
      <c r="Q123" s="24">
        <f t="shared" si="31"/>
        <v>1</v>
      </c>
      <c r="R123" s="671">
        <f t="shared" si="32"/>
        <v>0</v>
      </c>
      <c r="S123" s="321">
        <f t="shared" ref="S123:S186" si="33">ROUND(R123*B123/10000,0)</f>
        <v>0</v>
      </c>
    </row>
    <row r="124" spans="1:19">
      <c r="A124" s="154"/>
      <c r="B124" s="57"/>
      <c r="C124" s="24">
        <f t="shared" si="24"/>
        <v>1</v>
      </c>
      <c r="D124" s="675"/>
      <c r="E124" s="24">
        <f t="shared" si="25"/>
        <v>0.02</v>
      </c>
      <c r="F124" s="675"/>
      <c r="G124" s="24">
        <f t="shared" si="26"/>
        <v>1</v>
      </c>
      <c r="H124" s="675"/>
      <c r="I124" s="24">
        <f t="shared" si="27"/>
        <v>1</v>
      </c>
      <c r="J124" s="675"/>
      <c r="K124" s="24">
        <f t="shared" si="28"/>
        <v>1</v>
      </c>
      <c r="L124" s="675"/>
      <c r="M124" s="24">
        <f t="shared" si="29"/>
        <v>1</v>
      </c>
      <c r="N124" s="675"/>
      <c r="O124" s="24">
        <f t="shared" si="30"/>
        <v>1</v>
      </c>
      <c r="P124" s="675"/>
      <c r="Q124" s="24">
        <f t="shared" si="31"/>
        <v>1</v>
      </c>
      <c r="R124" s="671">
        <f t="shared" si="32"/>
        <v>0</v>
      </c>
      <c r="S124" s="321">
        <f t="shared" si="33"/>
        <v>0</v>
      </c>
    </row>
    <row r="125" spans="1:19">
      <c r="A125" s="154"/>
      <c r="B125" s="57"/>
      <c r="C125" s="24">
        <f t="shared" si="24"/>
        <v>1</v>
      </c>
      <c r="D125" s="675"/>
      <c r="E125" s="24">
        <f t="shared" si="25"/>
        <v>0.02</v>
      </c>
      <c r="F125" s="675"/>
      <c r="G125" s="24">
        <f t="shared" si="26"/>
        <v>1</v>
      </c>
      <c r="H125" s="675"/>
      <c r="I125" s="24">
        <f t="shared" si="27"/>
        <v>1</v>
      </c>
      <c r="J125" s="675"/>
      <c r="K125" s="24">
        <f t="shared" si="28"/>
        <v>1</v>
      </c>
      <c r="L125" s="675"/>
      <c r="M125" s="24">
        <f t="shared" si="29"/>
        <v>1</v>
      </c>
      <c r="N125" s="675"/>
      <c r="O125" s="24">
        <f t="shared" si="30"/>
        <v>1</v>
      </c>
      <c r="P125" s="675"/>
      <c r="Q125" s="24">
        <f t="shared" si="31"/>
        <v>1</v>
      </c>
      <c r="R125" s="671">
        <f t="shared" si="32"/>
        <v>0</v>
      </c>
      <c r="S125" s="321">
        <f t="shared" si="33"/>
        <v>0</v>
      </c>
    </row>
    <row r="126" spans="1:19">
      <c r="A126" s="154"/>
      <c r="B126" s="57"/>
      <c r="C126" s="24">
        <f t="shared" si="24"/>
        <v>1</v>
      </c>
      <c r="D126" s="675"/>
      <c r="E126" s="24">
        <f t="shared" si="25"/>
        <v>0.02</v>
      </c>
      <c r="F126" s="675"/>
      <c r="G126" s="24">
        <f t="shared" si="26"/>
        <v>1</v>
      </c>
      <c r="H126" s="675"/>
      <c r="I126" s="24">
        <f t="shared" si="27"/>
        <v>1</v>
      </c>
      <c r="J126" s="675"/>
      <c r="K126" s="24">
        <f t="shared" si="28"/>
        <v>1</v>
      </c>
      <c r="L126" s="675"/>
      <c r="M126" s="24">
        <f t="shared" si="29"/>
        <v>1</v>
      </c>
      <c r="N126" s="675"/>
      <c r="O126" s="24">
        <f t="shared" si="30"/>
        <v>1</v>
      </c>
      <c r="P126" s="675"/>
      <c r="Q126" s="24">
        <f t="shared" si="31"/>
        <v>1</v>
      </c>
      <c r="R126" s="671">
        <f t="shared" si="32"/>
        <v>0</v>
      </c>
      <c r="S126" s="321">
        <f t="shared" si="33"/>
        <v>0</v>
      </c>
    </row>
    <row r="127" spans="1:19">
      <c r="A127" s="154"/>
      <c r="B127" s="57"/>
      <c r="C127" s="24">
        <f t="shared" si="24"/>
        <v>1</v>
      </c>
      <c r="D127" s="675"/>
      <c r="E127" s="24">
        <f t="shared" si="25"/>
        <v>0.02</v>
      </c>
      <c r="F127" s="675"/>
      <c r="G127" s="24">
        <f t="shared" si="26"/>
        <v>1</v>
      </c>
      <c r="H127" s="675"/>
      <c r="I127" s="24">
        <f t="shared" si="27"/>
        <v>1</v>
      </c>
      <c r="J127" s="675"/>
      <c r="K127" s="24">
        <f t="shared" si="28"/>
        <v>1</v>
      </c>
      <c r="L127" s="675"/>
      <c r="M127" s="24">
        <f t="shared" si="29"/>
        <v>1</v>
      </c>
      <c r="N127" s="675"/>
      <c r="O127" s="24">
        <f t="shared" si="30"/>
        <v>1</v>
      </c>
      <c r="P127" s="675"/>
      <c r="Q127" s="24">
        <f t="shared" si="31"/>
        <v>1</v>
      </c>
      <c r="R127" s="671">
        <f t="shared" si="32"/>
        <v>0</v>
      </c>
      <c r="S127" s="321">
        <f t="shared" si="33"/>
        <v>0</v>
      </c>
    </row>
    <row r="128" spans="1:19">
      <c r="A128" s="154"/>
      <c r="B128" s="57"/>
      <c r="C128" s="24">
        <f t="shared" si="24"/>
        <v>1</v>
      </c>
      <c r="D128" s="675"/>
      <c r="E128" s="24">
        <f t="shared" si="25"/>
        <v>0.02</v>
      </c>
      <c r="F128" s="675"/>
      <c r="G128" s="24">
        <f t="shared" si="26"/>
        <v>1</v>
      </c>
      <c r="H128" s="675"/>
      <c r="I128" s="24">
        <f t="shared" si="27"/>
        <v>1</v>
      </c>
      <c r="J128" s="675"/>
      <c r="K128" s="24">
        <f t="shared" si="28"/>
        <v>1</v>
      </c>
      <c r="L128" s="675"/>
      <c r="M128" s="24">
        <f t="shared" si="29"/>
        <v>1</v>
      </c>
      <c r="N128" s="675"/>
      <c r="O128" s="24">
        <f t="shared" si="30"/>
        <v>1</v>
      </c>
      <c r="P128" s="675"/>
      <c r="Q128" s="24">
        <f t="shared" si="31"/>
        <v>1</v>
      </c>
      <c r="R128" s="671">
        <f t="shared" si="32"/>
        <v>0</v>
      </c>
      <c r="S128" s="321">
        <f t="shared" si="33"/>
        <v>0</v>
      </c>
    </row>
    <row r="129" spans="1:19">
      <c r="A129" s="154"/>
      <c r="B129" s="57"/>
      <c r="C129" s="24">
        <f t="shared" si="24"/>
        <v>1</v>
      </c>
      <c r="D129" s="675"/>
      <c r="E129" s="24">
        <f t="shared" si="25"/>
        <v>0.02</v>
      </c>
      <c r="F129" s="675"/>
      <c r="G129" s="24">
        <f t="shared" si="26"/>
        <v>1</v>
      </c>
      <c r="H129" s="675"/>
      <c r="I129" s="24">
        <f t="shared" si="27"/>
        <v>1</v>
      </c>
      <c r="J129" s="675"/>
      <c r="K129" s="24">
        <f t="shared" si="28"/>
        <v>1</v>
      </c>
      <c r="L129" s="675"/>
      <c r="M129" s="24">
        <f t="shared" si="29"/>
        <v>1</v>
      </c>
      <c r="N129" s="675"/>
      <c r="O129" s="24">
        <f t="shared" si="30"/>
        <v>1</v>
      </c>
      <c r="P129" s="675"/>
      <c r="Q129" s="24">
        <f t="shared" si="31"/>
        <v>1</v>
      </c>
      <c r="R129" s="671">
        <f t="shared" si="32"/>
        <v>0</v>
      </c>
      <c r="S129" s="321">
        <f t="shared" si="33"/>
        <v>0</v>
      </c>
    </row>
    <row r="130" spans="1:19">
      <c r="A130" s="154"/>
      <c r="B130" s="57"/>
      <c r="C130" s="24">
        <f t="shared" si="24"/>
        <v>1</v>
      </c>
      <c r="D130" s="675"/>
      <c r="E130" s="24">
        <f t="shared" si="25"/>
        <v>0.02</v>
      </c>
      <c r="F130" s="675"/>
      <c r="G130" s="24">
        <f t="shared" si="26"/>
        <v>1</v>
      </c>
      <c r="H130" s="675"/>
      <c r="I130" s="24">
        <f t="shared" si="27"/>
        <v>1</v>
      </c>
      <c r="J130" s="675"/>
      <c r="K130" s="24">
        <f t="shared" si="28"/>
        <v>1</v>
      </c>
      <c r="L130" s="675"/>
      <c r="M130" s="24">
        <f t="shared" si="29"/>
        <v>1</v>
      </c>
      <c r="N130" s="675"/>
      <c r="O130" s="24">
        <f t="shared" si="30"/>
        <v>1</v>
      </c>
      <c r="P130" s="675"/>
      <c r="Q130" s="24">
        <f t="shared" si="31"/>
        <v>1</v>
      </c>
      <c r="R130" s="671">
        <f t="shared" si="32"/>
        <v>0</v>
      </c>
      <c r="S130" s="321">
        <f t="shared" si="33"/>
        <v>0</v>
      </c>
    </row>
    <row r="131" spans="1:19">
      <c r="A131" s="154"/>
      <c r="B131" s="57"/>
      <c r="C131" s="24">
        <f t="shared" si="24"/>
        <v>1</v>
      </c>
      <c r="D131" s="675"/>
      <c r="E131" s="24">
        <f t="shared" si="25"/>
        <v>0.02</v>
      </c>
      <c r="F131" s="675"/>
      <c r="G131" s="24">
        <f t="shared" si="26"/>
        <v>1</v>
      </c>
      <c r="H131" s="675"/>
      <c r="I131" s="24">
        <f t="shared" si="27"/>
        <v>1</v>
      </c>
      <c r="J131" s="675"/>
      <c r="K131" s="24">
        <f t="shared" si="28"/>
        <v>1</v>
      </c>
      <c r="L131" s="675"/>
      <c r="M131" s="24">
        <f t="shared" si="29"/>
        <v>1</v>
      </c>
      <c r="N131" s="675"/>
      <c r="O131" s="24">
        <f t="shared" si="30"/>
        <v>1</v>
      </c>
      <c r="P131" s="675"/>
      <c r="Q131" s="24">
        <f t="shared" si="31"/>
        <v>1</v>
      </c>
      <c r="R131" s="671">
        <f t="shared" si="32"/>
        <v>0</v>
      </c>
      <c r="S131" s="321">
        <f t="shared" si="33"/>
        <v>0</v>
      </c>
    </row>
    <row r="132" spans="1:19">
      <c r="A132" s="154"/>
      <c r="B132" s="57"/>
      <c r="C132" s="24">
        <f t="shared" si="24"/>
        <v>1</v>
      </c>
      <c r="D132" s="675"/>
      <c r="E132" s="24">
        <f t="shared" si="25"/>
        <v>0.02</v>
      </c>
      <c r="F132" s="675"/>
      <c r="G132" s="24">
        <f t="shared" si="26"/>
        <v>1</v>
      </c>
      <c r="H132" s="675"/>
      <c r="I132" s="24">
        <f t="shared" si="27"/>
        <v>1</v>
      </c>
      <c r="J132" s="675"/>
      <c r="K132" s="24">
        <f t="shared" si="28"/>
        <v>1</v>
      </c>
      <c r="L132" s="675"/>
      <c r="M132" s="24">
        <f t="shared" si="29"/>
        <v>1</v>
      </c>
      <c r="N132" s="675"/>
      <c r="O132" s="24">
        <f t="shared" si="30"/>
        <v>1</v>
      </c>
      <c r="P132" s="675"/>
      <c r="Q132" s="24">
        <f t="shared" si="31"/>
        <v>1</v>
      </c>
      <c r="R132" s="671">
        <f t="shared" si="32"/>
        <v>0</v>
      </c>
      <c r="S132" s="321">
        <f t="shared" si="33"/>
        <v>0</v>
      </c>
    </row>
    <row r="133" spans="1:19">
      <c r="A133" s="154"/>
      <c r="B133" s="57"/>
      <c r="C133" s="24">
        <f t="shared" si="24"/>
        <v>1</v>
      </c>
      <c r="D133" s="675"/>
      <c r="E133" s="24">
        <f t="shared" si="25"/>
        <v>0.02</v>
      </c>
      <c r="F133" s="675"/>
      <c r="G133" s="24">
        <f t="shared" si="26"/>
        <v>1</v>
      </c>
      <c r="H133" s="675"/>
      <c r="I133" s="24">
        <f t="shared" si="27"/>
        <v>1</v>
      </c>
      <c r="J133" s="675"/>
      <c r="K133" s="24">
        <f t="shared" si="28"/>
        <v>1</v>
      </c>
      <c r="L133" s="675"/>
      <c r="M133" s="24">
        <f t="shared" si="29"/>
        <v>1</v>
      </c>
      <c r="N133" s="675"/>
      <c r="O133" s="24">
        <f t="shared" si="30"/>
        <v>1</v>
      </c>
      <c r="P133" s="675"/>
      <c r="Q133" s="24">
        <f t="shared" si="31"/>
        <v>1</v>
      </c>
      <c r="R133" s="671">
        <f t="shared" si="32"/>
        <v>0</v>
      </c>
      <c r="S133" s="321">
        <f t="shared" si="33"/>
        <v>0</v>
      </c>
    </row>
    <row r="134" spans="1:19">
      <c r="A134" s="154"/>
      <c r="B134" s="57"/>
      <c r="C134" s="24">
        <f t="shared" si="24"/>
        <v>1</v>
      </c>
      <c r="D134" s="675"/>
      <c r="E134" s="24">
        <f t="shared" si="25"/>
        <v>0.02</v>
      </c>
      <c r="F134" s="675"/>
      <c r="G134" s="24">
        <f t="shared" si="26"/>
        <v>1</v>
      </c>
      <c r="H134" s="675"/>
      <c r="I134" s="24">
        <f t="shared" si="27"/>
        <v>1</v>
      </c>
      <c r="J134" s="675"/>
      <c r="K134" s="24">
        <f t="shared" si="28"/>
        <v>1</v>
      </c>
      <c r="L134" s="675"/>
      <c r="M134" s="24">
        <f t="shared" si="29"/>
        <v>1</v>
      </c>
      <c r="N134" s="675"/>
      <c r="O134" s="24">
        <f t="shared" si="30"/>
        <v>1</v>
      </c>
      <c r="P134" s="675"/>
      <c r="Q134" s="24">
        <f t="shared" si="31"/>
        <v>1</v>
      </c>
      <c r="R134" s="671">
        <f t="shared" si="32"/>
        <v>0</v>
      </c>
      <c r="S134" s="321">
        <f t="shared" si="33"/>
        <v>0</v>
      </c>
    </row>
    <row r="135" spans="1:19">
      <c r="A135" s="154"/>
      <c r="B135" s="57"/>
      <c r="C135" s="24">
        <f t="shared" si="24"/>
        <v>1</v>
      </c>
      <c r="D135" s="675"/>
      <c r="E135" s="24">
        <f t="shared" si="25"/>
        <v>0.02</v>
      </c>
      <c r="F135" s="675"/>
      <c r="G135" s="24">
        <f t="shared" si="26"/>
        <v>1</v>
      </c>
      <c r="H135" s="675"/>
      <c r="I135" s="24">
        <f t="shared" si="27"/>
        <v>1</v>
      </c>
      <c r="J135" s="675"/>
      <c r="K135" s="24">
        <f t="shared" si="28"/>
        <v>1</v>
      </c>
      <c r="L135" s="675"/>
      <c r="M135" s="24">
        <f t="shared" si="29"/>
        <v>1</v>
      </c>
      <c r="N135" s="675"/>
      <c r="O135" s="24">
        <f t="shared" si="30"/>
        <v>1</v>
      </c>
      <c r="P135" s="675"/>
      <c r="Q135" s="24">
        <f t="shared" si="31"/>
        <v>1</v>
      </c>
      <c r="R135" s="671">
        <f t="shared" si="32"/>
        <v>0</v>
      </c>
      <c r="S135" s="321">
        <f t="shared" si="33"/>
        <v>0</v>
      </c>
    </row>
    <row r="136" spans="1:19">
      <c r="A136" s="154"/>
      <c r="B136" s="57"/>
      <c r="C136" s="24">
        <f t="shared" si="24"/>
        <v>1</v>
      </c>
      <c r="D136" s="675"/>
      <c r="E136" s="24">
        <f t="shared" si="25"/>
        <v>0.02</v>
      </c>
      <c r="F136" s="675"/>
      <c r="G136" s="24">
        <f t="shared" si="26"/>
        <v>1</v>
      </c>
      <c r="H136" s="675"/>
      <c r="I136" s="24">
        <f t="shared" si="27"/>
        <v>1</v>
      </c>
      <c r="J136" s="675"/>
      <c r="K136" s="24">
        <f t="shared" si="28"/>
        <v>1</v>
      </c>
      <c r="L136" s="675"/>
      <c r="M136" s="24">
        <f t="shared" si="29"/>
        <v>1</v>
      </c>
      <c r="N136" s="675"/>
      <c r="O136" s="24">
        <f t="shared" si="30"/>
        <v>1</v>
      </c>
      <c r="P136" s="675"/>
      <c r="Q136" s="24">
        <f t="shared" si="31"/>
        <v>1</v>
      </c>
      <c r="R136" s="671">
        <f t="shared" si="32"/>
        <v>0</v>
      </c>
      <c r="S136" s="321">
        <f t="shared" si="33"/>
        <v>0</v>
      </c>
    </row>
    <row r="137" spans="1:19">
      <c r="A137" s="154"/>
      <c r="B137" s="57"/>
      <c r="C137" s="24">
        <f t="shared" si="24"/>
        <v>1</v>
      </c>
      <c r="D137" s="675"/>
      <c r="E137" s="24">
        <f t="shared" si="25"/>
        <v>0.02</v>
      </c>
      <c r="F137" s="675"/>
      <c r="G137" s="24">
        <f t="shared" si="26"/>
        <v>1</v>
      </c>
      <c r="H137" s="675"/>
      <c r="I137" s="24">
        <f t="shared" si="27"/>
        <v>1</v>
      </c>
      <c r="J137" s="675"/>
      <c r="K137" s="24">
        <f t="shared" si="28"/>
        <v>1</v>
      </c>
      <c r="L137" s="675"/>
      <c r="M137" s="24">
        <f t="shared" si="29"/>
        <v>1</v>
      </c>
      <c r="N137" s="675"/>
      <c r="O137" s="24">
        <f t="shared" si="30"/>
        <v>1</v>
      </c>
      <c r="P137" s="675"/>
      <c r="Q137" s="24">
        <f t="shared" si="31"/>
        <v>1</v>
      </c>
      <c r="R137" s="671">
        <f t="shared" si="32"/>
        <v>0</v>
      </c>
      <c r="S137" s="321">
        <f t="shared" si="33"/>
        <v>0</v>
      </c>
    </row>
    <row r="138" spans="1:19">
      <c r="A138" s="154"/>
      <c r="B138" s="57"/>
      <c r="C138" s="24">
        <f t="shared" si="24"/>
        <v>1</v>
      </c>
      <c r="D138" s="675"/>
      <c r="E138" s="24">
        <f t="shared" si="25"/>
        <v>0.02</v>
      </c>
      <c r="F138" s="675"/>
      <c r="G138" s="24">
        <f t="shared" si="26"/>
        <v>1</v>
      </c>
      <c r="H138" s="675"/>
      <c r="I138" s="24">
        <f t="shared" si="27"/>
        <v>1</v>
      </c>
      <c r="J138" s="675"/>
      <c r="K138" s="24">
        <f t="shared" si="28"/>
        <v>1</v>
      </c>
      <c r="L138" s="675"/>
      <c r="M138" s="24">
        <f t="shared" si="29"/>
        <v>1</v>
      </c>
      <c r="N138" s="675"/>
      <c r="O138" s="24">
        <f t="shared" si="30"/>
        <v>1</v>
      </c>
      <c r="P138" s="675"/>
      <c r="Q138" s="24">
        <f t="shared" si="31"/>
        <v>1</v>
      </c>
      <c r="R138" s="671">
        <f t="shared" si="32"/>
        <v>0</v>
      </c>
      <c r="S138" s="321">
        <f t="shared" si="33"/>
        <v>0</v>
      </c>
    </row>
    <row r="139" spans="1:19">
      <c r="A139" s="154"/>
      <c r="B139" s="57"/>
      <c r="C139" s="24">
        <f t="shared" si="24"/>
        <v>1</v>
      </c>
      <c r="D139" s="675"/>
      <c r="E139" s="24">
        <f t="shared" si="25"/>
        <v>0.02</v>
      </c>
      <c r="F139" s="675"/>
      <c r="G139" s="24">
        <f t="shared" si="26"/>
        <v>1</v>
      </c>
      <c r="H139" s="675"/>
      <c r="I139" s="24">
        <f t="shared" si="27"/>
        <v>1</v>
      </c>
      <c r="J139" s="675"/>
      <c r="K139" s="24">
        <f t="shared" si="28"/>
        <v>1</v>
      </c>
      <c r="L139" s="675"/>
      <c r="M139" s="24">
        <f t="shared" si="29"/>
        <v>1</v>
      </c>
      <c r="N139" s="675"/>
      <c r="O139" s="24">
        <f t="shared" si="30"/>
        <v>1</v>
      </c>
      <c r="P139" s="675"/>
      <c r="Q139" s="24">
        <f t="shared" si="31"/>
        <v>1</v>
      </c>
      <c r="R139" s="671">
        <f t="shared" si="32"/>
        <v>0</v>
      </c>
      <c r="S139" s="321">
        <f t="shared" si="33"/>
        <v>0</v>
      </c>
    </row>
    <row r="140" spans="1:19">
      <c r="A140" s="154"/>
      <c r="B140" s="57"/>
      <c r="C140" s="24">
        <f t="shared" si="24"/>
        <v>1</v>
      </c>
      <c r="D140" s="675"/>
      <c r="E140" s="24">
        <f t="shared" si="25"/>
        <v>0.02</v>
      </c>
      <c r="F140" s="675"/>
      <c r="G140" s="24">
        <f t="shared" si="26"/>
        <v>1</v>
      </c>
      <c r="H140" s="675"/>
      <c r="I140" s="24">
        <f t="shared" si="27"/>
        <v>1</v>
      </c>
      <c r="J140" s="675"/>
      <c r="K140" s="24">
        <f t="shared" si="28"/>
        <v>1</v>
      </c>
      <c r="L140" s="675"/>
      <c r="M140" s="24">
        <f t="shared" si="29"/>
        <v>1</v>
      </c>
      <c r="N140" s="675"/>
      <c r="O140" s="24">
        <f t="shared" si="30"/>
        <v>1</v>
      </c>
      <c r="P140" s="675"/>
      <c r="Q140" s="24">
        <f t="shared" si="31"/>
        <v>1</v>
      </c>
      <c r="R140" s="671">
        <f t="shared" si="32"/>
        <v>0</v>
      </c>
      <c r="S140" s="321">
        <f t="shared" si="33"/>
        <v>0</v>
      </c>
    </row>
    <row r="141" spans="1:19">
      <c r="A141" s="154"/>
      <c r="B141" s="57"/>
      <c r="C141" s="24">
        <f t="shared" si="24"/>
        <v>1</v>
      </c>
      <c r="D141" s="675"/>
      <c r="E141" s="24">
        <f t="shared" si="25"/>
        <v>0.02</v>
      </c>
      <c r="F141" s="675"/>
      <c r="G141" s="24">
        <f t="shared" si="26"/>
        <v>1</v>
      </c>
      <c r="H141" s="675"/>
      <c r="I141" s="24">
        <f t="shared" si="27"/>
        <v>1</v>
      </c>
      <c r="J141" s="675"/>
      <c r="K141" s="24">
        <f t="shared" si="28"/>
        <v>1</v>
      </c>
      <c r="L141" s="675"/>
      <c r="M141" s="24">
        <f t="shared" si="29"/>
        <v>1</v>
      </c>
      <c r="N141" s="675"/>
      <c r="O141" s="24">
        <f t="shared" si="30"/>
        <v>1</v>
      </c>
      <c r="P141" s="675"/>
      <c r="Q141" s="24">
        <f t="shared" si="31"/>
        <v>1</v>
      </c>
      <c r="R141" s="671">
        <f t="shared" si="32"/>
        <v>0</v>
      </c>
      <c r="S141" s="321">
        <f t="shared" si="33"/>
        <v>0</v>
      </c>
    </row>
    <row r="142" spans="1:19">
      <c r="A142" s="154"/>
      <c r="B142" s="57"/>
      <c r="C142" s="24">
        <f t="shared" si="24"/>
        <v>1</v>
      </c>
      <c r="D142" s="675"/>
      <c r="E142" s="24">
        <f t="shared" si="25"/>
        <v>0.02</v>
      </c>
      <c r="F142" s="675"/>
      <c r="G142" s="24">
        <f t="shared" si="26"/>
        <v>1</v>
      </c>
      <c r="H142" s="675"/>
      <c r="I142" s="24">
        <f t="shared" si="27"/>
        <v>1</v>
      </c>
      <c r="J142" s="675"/>
      <c r="K142" s="24">
        <f t="shared" si="28"/>
        <v>1</v>
      </c>
      <c r="L142" s="675"/>
      <c r="M142" s="24">
        <f t="shared" si="29"/>
        <v>1</v>
      </c>
      <c r="N142" s="675"/>
      <c r="O142" s="24">
        <f t="shared" si="30"/>
        <v>1</v>
      </c>
      <c r="P142" s="675"/>
      <c r="Q142" s="24">
        <f t="shared" si="31"/>
        <v>1</v>
      </c>
      <c r="R142" s="671">
        <f t="shared" si="32"/>
        <v>0</v>
      </c>
      <c r="S142" s="321">
        <f t="shared" si="33"/>
        <v>0</v>
      </c>
    </row>
    <row r="143" spans="1:19">
      <c r="A143" s="154"/>
      <c r="B143" s="57"/>
      <c r="C143" s="24">
        <f t="shared" si="24"/>
        <v>1</v>
      </c>
      <c r="D143" s="675"/>
      <c r="E143" s="24">
        <f t="shared" si="25"/>
        <v>0.02</v>
      </c>
      <c r="F143" s="675"/>
      <c r="G143" s="24">
        <f t="shared" si="26"/>
        <v>1</v>
      </c>
      <c r="H143" s="675"/>
      <c r="I143" s="24">
        <f t="shared" si="27"/>
        <v>1</v>
      </c>
      <c r="J143" s="675"/>
      <c r="K143" s="24">
        <f t="shared" si="28"/>
        <v>1</v>
      </c>
      <c r="L143" s="675"/>
      <c r="M143" s="24">
        <f t="shared" si="29"/>
        <v>1</v>
      </c>
      <c r="N143" s="675"/>
      <c r="O143" s="24">
        <f t="shared" si="30"/>
        <v>1</v>
      </c>
      <c r="P143" s="675"/>
      <c r="Q143" s="24">
        <f t="shared" si="31"/>
        <v>1</v>
      </c>
      <c r="R143" s="671">
        <f t="shared" si="32"/>
        <v>0</v>
      </c>
      <c r="S143" s="321">
        <f t="shared" si="33"/>
        <v>0</v>
      </c>
    </row>
    <row r="144" spans="1:19">
      <c r="A144" s="154"/>
      <c r="B144" s="57"/>
      <c r="C144" s="24">
        <f t="shared" si="24"/>
        <v>1</v>
      </c>
      <c r="D144" s="675"/>
      <c r="E144" s="24">
        <f t="shared" si="25"/>
        <v>0.02</v>
      </c>
      <c r="F144" s="675"/>
      <c r="G144" s="24">
        <f t="shared" si="26"/>
        <v>1</v>
      </c>
      <c r="H144" s="675"/>
      <c r="I144" s="24">
        <f t="shared" si="27"/>
        <v>1</v>
      </c>
      <c r="J144" s="675"/>
      <c r="K144" s="24">
        <f t="shared" si="28"/>
        <v>1</v>
      </c>
      <c r="L144" s="675"/>
      <c r="M144" s="24">
        <f t="shared" si="29"/>
        <v>1</v>
      </c>
      <c r="N144" s="675"/>
      <c r="O144" s="24">
        <f t="shared" si="30"/>
        <v>1</v>
      </c>
      <c r="P144" s="675"/>
      <c r="Q144" s="24">
        <f t="shared" si="31"/>
        <v>1</v>
      </c>
      <c r="R144" s="671">
        <f t="shared" si="32"/>
        <v>0</v>
      </c>
      <c r="S144" s="321">
        <f t="shared" si="33"/>
        <v>0</v>
      </c>
    </row>
    <row r="145" spans="1:19">
      <c r="A145" s="154"/>
      <c r="B145" s="57"/>
      <c r="C145" s="24">
        <f t="shared" si="24"/>
        <v>1</v>
      </c>
      <c r="D145" s="675"/>
      <c r="E145" s="24">
        <f t="shared" si="25"/>
        <v>0.02</v>
      </c>
      <c r="F145" s="675"/>
      <c r="G145" s="24">
        <f t="shared" si="26"/>
        <v>1</v>
      </c>
      <c r="H145" s="675"/>
      <c r="I145" s="24">
        <f t="shared" si="27"/>
        <v>1</v>
      </c>
      <c r="J145" s="675"/>
      <c r="K145" s="24">
        <f t="shared" si="28"/>
        <v>1</v>
      </c>
      <c r="L145" s="675"/>
      <c r="M145" s="24">
        <f t="shared" si="29"/>
        <v>1</v>
      </c>
      <c r="N145" s="675"/>
      <c r="O145" s="24">
        <f t="shared" si="30"/>
        <v>1</v>
      </c>
      <c r="P145" s="675"/>
      <c r="Q145" s="24">
        <f t="shared" si="31"/>
        <v>1</v>
      </c>
      <c r="R145" s="671">
        <f t="shared" si="32"/>
        <v>0</v>
      </c>
      <c r="S145" s="321">
        <f t="shared" si="33"/>
        <v>0</v>
      </c>
    </row>
    <row r="146" spans="1:19">
      <c r="A146" s="154"/>
      <c r="B146" s="57"/>
      <c r="C146" s="24">
        <f t="shared" si="24"/>
        <v>1</v>
      </c>
      <c r="D146" s="675"/>
      <c r="E146" s="24">
        <f t="shared" si="25"/>
        <v>0.02</v>
      </c>
      <c r="F146" s="675"/>
      <c r="G146" s="24">
        <f t="shared" si="26"/>
        <v>1</v>
      </c>
      <c r="H146" s="675"/>
      <c r="I146" s="24">
        <f t="shared" si="27"/>
        <v>1</v>
      </c>
      <c r="J146" s="675"/>
      <c r="K146" s="24">
        <f t="shared" si="28"/>
        <v>1</v>
      </c>
      <c r="L146" s="675"/>
      <c r="M146" s="24">
        <f t="shared" si="29"/>
        <v>1</v>
      </c>
      <c r="N146" s="675"/>
      <c r="O146" s="24">
        <f t="shared" si="30"/>
        <v>1</v>
      </c>
      <c r="P146" s="675"/>
      <c r="Q146" s="24">
        <f t="shared" si="31"/>
        <v>1</v>
      </c>
      <c r="R146" s="671">
        <f t="shared" si="32"/>
        <v>0</v>
      </c>
      <c r="S146" s="321">
        <f t="shared" si="33"/>
        <v>0</v>
      </c>
    </row>
    <row r="147" spans="1:19">
      <c r="A147" s="154"/>
      <c r="B147" s="57"/>
      <c r="C147" s="24">
        <f t="shared" si="24"/>
        <v>1</v>
      </c>
      <c r="D147" s="675"/>
      <c r="E147" s="24">
        <f t="shared" si="25"/>
        <v>0.02</v>
      </c>
      <c r="F147" s="675"/>
      <c r="G147" s="24">
        <f t="shared" si="26"/>
        <v>1</v>
      </c>
      <c r="H147" s="675"/>
      <c r="I147" s="24">
        <f t="shared" si="27"/>
        <v>1</v>
      </c>
      <c r="J147" s="675"/>
      <c r="K147" s="24">
        <f t="shared" si="28"/>
        <v>1</v>
      </c>
      <c r="L147" s="675"/>
      <c r="M147" s="24">
        <f t="shared" si="29"/>
        <v>1</v>
      </c>
      <c r="N147" s="675"/>
      <c r="O147" s="24">
        <f t="shared" si="30"/>
        <v>1</v>
      </c>
      <c r="P147" s="675"/>
      <c r="Q147" s="24">
        <f t="shared" si="31"/>
        <v>1</v>
      </c>
      <c r="R147" s="671">
        <f t="shared" si="32"/>
        <v>0</v>
      </c>
      <c r="S147" s="321">
        <f t="shared" si="33"/>
        <v>0</v>
      </c>
    </row>
    <row r="148" spans="1:19">
      <c r="A148" s="154"/>
      <c r="B148" s="57"/>
      <c r="C148" s="24">
        <f t="shared" si="24"/>
        <v>1</v>
      </c>
      <c r="D148" s="675"/>
      <c r="E148" s="24">
        <f t="shared" si="25"/>
        <v>0.02</v>
      </c>
      <c r="F148" s="675"/>
      <c r="G148" s="24">
        <f t="shared" si="26"/>
        <v>1</v>
      </c>
      <c r="H148" s="675"/>
      <c r="I148" s="24">
        <f t="shared" si="27"/>
        <v>1</v>
      </c>
      <c r="J148" s="675"/>
      <c r="K148" s="24">
        <f t="shared" si="28"/>
        <v>1</v>
      </c>
      <c r="L148" s="675"/>
      <c r="M148" s="24">
        <f t="shared" si="29"/>
        <v>1</v>
      </c>
      <c r="N148" s="675"/>
      <c r="O148" s="24">
        <f t="shared" si="30"/>
        <v>1</v>
      </c>
      <c r="P148" s="675"/>
      <c r="Q148" s="24">
        <f t="shared" si="31"/>
        <v>1</v>
      </c>
      <c r="R148" s="671">
        <f t="shared" si="32"/>
        <v>0</v>
      </c>
      <c r="S148" s="321">
        <f t="shared" si="33"/>
        <v>0</v>
      </c>
    </row>
    <row r="149" spans="1:19">
      <c r="A149" s="154"/>
      <c r="B149" s="57"/>
      <c r="C149" s="24">
        <f t="shared" si="24"/>
        <v>1</v>
      </c>
      <c r="D149" s="675"/>
      <c r="E149" s="24">
        <f t="shared" si="25"/>
        <v>0.02</v>
      </c>
      <c r="F149" s="675"/>
      <c r="G149" s="24">
        <f t="shared" si="26"/>
        <v>1</v>
      </c>
      <c r="H149" s="675"/>
      <c r="I149" s="24">
        <f t="shared" si="27"/>
        <v>1</v>
      </c>
      <c r="J149" s="675"/>
      <c r="K149" s="24">
        <f t="shared" si="28"/>
        <v>1</v>
      </c>
      <c r="L149" s="675"/>
      <c r="M149" s="24">
        <f t="shared" si="29"/>
        <v>1</v>
      </c>
      <c r="N149" s="675"/>
      <c r="O149" s="24">
        <f t="shared" si="30"/>
        <v>1</v>
      </c>
      <c r="P149" s="675"/>
      <c r="Q149" s="24">
        <f t="shared" si="31"/>
        <v>1</v>
      </c>
      <c r="R149" s="671">
        <f t="shared" si="32"/>
        <v>0</v>
      </c>
      <c r="S149" s="321">
        <f t="shared" si="33"/>
        <v>0</v>
      </c>
    </row>
    <row r="150" spans="1:19">
      <c r="A150" s="154"/>
      <c r="B150" s="57"/>
      <c r="C150" s="24">
        <f t="shared" si="24"/>
        <v>1</v>
      </c>
      <c r="D150" s="675"/>
      <c r="E150" s="24">
        <f t="shared" si="25"/>
        <v>0.02</v>
      </c>
      <c r="F150" s="675"/>
      <c r="G150" s="24">
        <f t="shared" si="26"/>
        <v>1</v>
      </c>
      <c r="H150" s="675"/>
      <c r="I150" s="24">
        <f t="shared" si="27"/>
        <v>1</v>
      </c>
      <c r="J150" s="675"/>
      <c r="K150" s="24">
        <f t="shared" si="28"/>
        <v>1</v>
      </c>
      <c r="L150" s="675"/>
      <c r="M150" s="24">
        <f t="shared" si="29"/>
        <v>1</v>
      </c>
      <c r="N150" s="675"/>
      <c r="O150" s="24">
        <f t="shared" si="30"/>
        <v>1</v>
      </c>
      <c r="P150" s="675"/>
      <c r="Q150" s="24">
        <f t="shared" si="31"/>
        <v>1</v>
      </c>
      <c r="R150" s="671">
        <f t="shared" si="32"/>
        <v>0</v>
      </c>
      <c r="S150" s="321">
        <f t="shared" si="33"/>
        <v>0</v>
      </c>
    </row>
    <row r="151" spans="1:19">
      <c r="A151" s="154"/>
      <c r="B151" s="57"/>
      <c r="C151" s="24">
        <f t="shared" si="24"/>
        <v>1</v>
      </c>
      <c r="D151" s="675"/>
      <c r="E151" s="24">
        <f t="shared" si="25"/>
        <v>0.02</v>
      </c>
      <c r="F151" s="675"/>
      <c r="G151" s="24">
        <f t="shared" si="26"/>
        <v>1</v>
      </c>
      <c r="H151" s="675"/>
      <c r="I151" s="24">
        <f t="shared" si="27"/>
        <v>1</v>
      </c>
      <c r="J151" s="675"/>
      <c r="K151" s="24">
        <f t="shared" si="28"/>
        <v>1</v>
      </c>
      <c r="L151" s="675"/>
      <c r="M151" s="24">
        <f t="shared" si="29"/>
        <v>1</v>
      </c>
      <c r="N151" s="675"/>
      <c r="O151" s="24">
        <f t="shared" si="30"/>
        <v>1</v>
      </c>
      <c r="P151" s="675"/>
      <c r="Q151" s="24">
        <f t="shared" si="31"/>
        <v>1</v>
      </c>
      <c r="R151" s="671">
        <f t="shared" si="32"/>
        <v>0</v>
      </c>
      <c r="S151" s="321">
        <f t="shared" si="33"/>
        <v>0</v>
      </c>
    </row>
    <row r="152" spans="1:19">
      <c r="A152" s="154"/>
      <c r="B152" s="57"/>
      <c r="C152" s="24">
        <f t="shared" si="24"/>
        <v>1</v>
      </c>
      <c r="D152" s="675"/>
      <c r="E152" s="24">
        <f t="shared" si="25"/>
        <v>0.02</v>
      </c>
      <c r="F152" s="675"/>
      <c r="G152" s="24">
        <f t="shared" si="26"/>
        <v>1</v>
      </c>
      <c r="H152" s="675"/>
      <c r="I152" s="24">
        <f t="shared" si="27"/>
        <v>1</v>
      </c>
      <c r="J152" s="675"/>
      <c r="K152" s="24">
        <f t="shared" si="28"/>
        <v>1</v>
      </c>
      <c r="L152" s="675"/>
      <c r="M152" s="24">
        <f t="shared" si="29"/>
        <v>1</v>
      </c>
      <c r="N152" s="675"/>
      <c r="O152" s="24">
        <f t="shared" si="30"/>
        <v>1</v>
      </c>
      <c r="P152" s="675"/>
      <c r="Q152" s="24">
        <f t="shared" si="31"/>
        <v>1</v>
      </c>
      <c r="R152" s="671">
        <f t="shared" si="32"/>
        <v>0</v>
      </c>
      <c r="S152" s="321">
        <f t="shared" si="33"/>
        <v>0</v>
      </c>
    </row>
    <row r="153" spans="1:19">
      <c r="A153" s="154"/>
      <c r="B153" s="57"/>
      <c r="C153" s="24">
        <f t="shared" si="24"/>
        <v>1</v>
      </c>
      <c r="D153" s="675"/>
      <c r="E153" s="24">
        <f t="shared" si="25"/>
        <v>0.02</v>
      </c>
      <c r="F153" s="675"/>
      <c r="G153" s="24">
        <f t="shared" si="26"/>
        <v>1</v>
      </c>
      <c r="H153" s="675"/>
      <c r="I153" s="24">
        <f t="shared" si="27"/>
        <v>1</v>
      </c>
      <c r="J153" s="675"/>
      <c r="K153" s="24">
        <f t="shared" si="28"/>
        <v>1</v>
      </c>
      <c r="L153" s="675"/>
      <c r="M153" s="24">
        <f t="shared" si="29"/>
        <v>1</v>
      </c>
      <c r="N153" s="675"/>
      <c r="O153" s="24">
        <f t="shared" si="30"/>
        <v>1</v>
      </c>
      <c r="P153" s="675"/>
      <c r="Q153" s="24">
        <f t="shared" si="31"/>
        <v>1</v>
      </c>
      <c r="R153" s="671">
        <f t="shared" si="32"/>
        <v>0</v>
      </c>
      <c r="S153" s="321">
        <f t="shared" si="33"/>
        <v>0</v>
      </c>
    </row>
    <row r="154" spans="1:19">
      <c r="A154" s="154"/>
      <c r="B154" s="57"/>
      <c r="C154" s="24">
        <f t="shared" ref="C154:C217" si="34">IF(B154="",1,(LOOKUP(B154,$3:$3,$4:$4)-LOOKUP($B$24,$3:$3,$4:$4)+100)/100)</f>
        <v>1</v>
      </c>
      <c r="D154" s="675"/>
      <c r="E154" s="24">
        <f t="shared" ref="E154:E217" si="35">(SUMIF($5:$5,D154,$6:$6)-SUMIF($5:$5,$D$24,$6:$6)+100)/100</f>
        <v>0.02</v>
      </c>
      <c r="F154" s="675"/>
      <c r="G154" s="24">
        <f t="shared" ref="G154:G217" si="36">(SUMIF($7:$7,F154,$8:$8)-SUMIF($7:$7,$F$24,$8:$8)+100)/100</f>
        <v>1</v>
      </c>
      <c r="H154" s="675"/>
      <c r="I154" s="24">
        <f t="shared" ref="I154:I217" si="37">(SUMIF($9:$9,H154,$10:$10)-SUMIF($9:$9,$H$24,$10:$10)+100)/100</f>
        <v>1</v>
      </c>
      <c r="J154" s="675"/>
      <c r="K154" s="24">
        <f t="shared" ref="K154:K217" si="38">(SUMIF($11:$11,J154,$12:$12)-SUMIF($11:$11,$J$24,$12:$12)+100)/100</f>
        <v>1</v>
      </c>
      <c r="L154" s="675"/>
      <c r="M154" s="24">
        <f t="shared" ref="M154:M217" si="39">(SUMIF($13:$13,L154,$14:$14)-SUMIF($13:$13,$L$24,$14:$14)+100)/100</f>
        <v>1</v>
      </c>
      <c r="N154" s="675"/>
      <c r="O154" s="24">
        <f t="shared" ref="O154:O217" si="40">(SUMIF($15:$15,N154,$16:$16)-SUMIF($15:$15,$N$24,$16:$16)+100)/100</f>
        <v>1</v>
      </c>
      <c r="P154" s="675"/>
      <c r="Q154" s="24">
        <f t="shared" ref="Q154:Q217" si="41">(SUMIF($17:$17,P154,$18:$18)-SUMIF($17:$17,$P$24,$18:$18)+100)/100</f>
        <v>1</v>
      </c>
      <c r="R154" s="671">
        <f t="shared" ref="R154:R217" si="42">IF(B154="",0,ROUND($R$24*C154*E154*G154*I154*K154*M154*O154*Q154,0))</f>
        <v>0</v>
      </c>
      <c r="S154" s="321">
        <f t="shared" si="33"/>
        <v>0</v>
      </c>
    </row>
    <row r="155" spans="1:19">
      <c r="A155" s="154"/>
      <c r="B155" s="57"/>
      <c r="C155" s="24">
        <f t="shared" si="34"/>
        <v>1</v>
      </c>
      <c r="D155" s="675"/>
      <c r="E155" s="24">
        <f t="shared" si="35"/>
        <v>0.02</v>
      </c>
      <c r="F155" s="675"/>
      <c r="G155" s="24">
        <f t="shared" si="36"/>
        <v>1</v>
      </c>
      <c r="H155" s="675"/>
      <c r="I155" s="24">
        <f t="shared" si="37"/>
        <v>1</v>
      </c>
      <c r="J155" s="675"/>
      <c r="K155" s="24">
        <f t="shared" si="38"/>
        <v>1</v>
      </c>
      <c r="L155" s="675"/>
      <c r="M155" s="24">
        <f t="shared" si="39"/>
        <v>1</v>
      </c>
      <c r="N155" s="675"/>
      <c r="O155" s="24">
        <f t="shared" si="40"/>
        <v>1</v>
      </c>
      <c r="P155" s="675"/>
      <c r="Q155" s="24">
        <f t="shared" si="41"/>
        <v>1</v>
      </c>
      <c r="R155" s="671">
        <f t="shared" si="42"/>
        <v>0</v>
      </c>
      <c r="S155" s="321">
        <f t="shared" si="33"/>
        <v>0</v>
      </c>
    </row>
    <row r="156" spans="1:19">
      <c r="A156" s="154"/>
      <c r="B156" s="57"/>
      <c r="C156" s="24">
        <f t="shared" si="34"/>
        <v>1</v>
      </c>
      <c r="D156" s="675"/>
      <c r="E156" s="24">
        <f t="shared" si="35"/>
        <v>0.02</v>
      </c>
      <c r="F156" s="675"/>
      <c r="G156" s="24">
        <f t="shared" si="36"/>
        <v>1</v>
      </c>
      <c r="H156" s="675"/>
      <c r="I156" s="24">
        <f t="shared" si="37"/>
        <v>1</v>
      </c>
      <c r="J156" s="675"/>
      <c r="K156" s="24">
        <f t="shared" si="38"/>
        <v>1</v>
      </c>
      <c r="L156" s="675"/>
      <c r="M156" s="24">
        <f t="shared" si="39"/>
        <v>1</v>
      </c>
      <c r="N156" s="675"/>
      <c r="O156" s="24">
        <f t="shared" si="40"/>
        <v>1</v>
      </c>
      <c r="P156" s="675"/>
      <c r="Q156" s="24">
        <f t="shared" si="41"/>
        <v>1</v>
      </c>
      <c r="R156" s="671">
        <f t="shared" si="42"/>
        <v>0</v>
      </c>
      <c r="S156" s="321">
        <f t="shared" si="33"/>
        <v>0</v>
      </c>
    </row>
    <row r="157" spans="1:19">
      <c r="A157" s="154"/>
      <c r="B157" s="57"/>
      <c r="C157" s="24">
        <f t="shared" si="34"/>
        <v>1</v>
      </c>
      <c r="D157" s="675"/>
      <c r="E157" s="24">
        <f t="shared" si="35"/>
        <v>0.02</v>
      </c>
      <c r="F157" s="675"/>
      <c r="G157" s="24">
        <f t="shared" si="36"/>
        <v>1</v>
      </c>
      <c r="H157" s="675"/>
      <c r="I157" s="24">
        <f t="shared" si="37"/>
        <v>1</v>
      </c>
      <c r="J157" s="675"/>
      <c r="K157" s="24">
        <f t="shared" si="38"/>
        <v>1</v>
      </c>
      <c r="L157" s="675"/>
      <c r="M157" s="24">
        <f t="shared" si="39"/>
        <v>1</v>
      </c>
      <c r="N157" s="675"/>
      <c r="O157" s="24">
        <f t="shared" si="40"/>
        <v>1</v>
      </c>
      <c r="P157" s="675"/>
      <c r="Q157" s="24">
        <f t="shared" si="41"/>
        <v>1</v>
      </c>
      <c r="R157" s="671">
        <f t="shared" si="42"/>
        <v>0</v>
      </c>
      <c r="S157" s="321">
        <f t="shared" si="33"/>
        <v>0</v>
      </c>
    </row>
    <row r="158" spans="1:19">
      <c r="A158" s="154"/>
      <c r="B158" s="57"/>
      <c r="C158" s="24">
        <f t="shared" si="34"/>
        <v>1</v>
      </c>
      <c r="D158" s="675"/>
      <c r="E158" s="24">
        <f t="shared" si="35"/>
        <v>0.02</v>
      </c>
      <c r="F158" s="675"/>
      <c r="G158" s="24">
        <f t="shared" si="36"/>
        <v>1</v>
      </c>
      <c r="H158" s="675"/>
      <c r="I158" s="24">
        <f t="shared" si="37"/>
        <v>1</v>
      </c>
      <c r="J158" s="675"/>
      <c r="K158" s="24">
        <f t="shared" si="38"/>
        <v>1</v>
      </c>
      <c r="L158" s="675"/>
      <c r="M158" s="24">
        <f t="shared" si="39"/>
        <v>1</v>
      </c>
      <c r="N158" s="675"/>
      <c r="O158" s="24">
        <f t="shared" si="40"/>
        <v>1</v>
      </c>
      <c r="P158" s="675"/>
      <c r="Q158" s="24">
        <f t="shared" si="41"/>
        <v>1</v>
      </c>
      <c r="R158" s="671">
        <f t="shared" si="42"/>
        <v>0</v>
      </c>
      <c r="S158" s="321">
        <f t="shared" si="33"/>
        <v>0</v>
      </c>
    </row>
    <row r="159" spans="1:19">
      <c r="A159" s="154"/>
      <c r="B159" s="57"/>
      <c r="C159" s="24">
        <f t="shared" si="34"/>
        <v>1</v>
      </c>
      <c r="D159" s="675"/>
      <c r="E159" s="24">
        <f t="shared" si="35"/>
        <v>0.02</v>
      </c>
      <c r="F159" s="675"/>
      <c r="G159" s="24">
        <f t="shared" si="36"/>
        <v>1</v>
      </c>
      <c r="H159" s="675"/>
      <c r="I159" s="24">
        <f t="shared" si="37"/>
        <v>1</v>
      </c>
      <c r="J159" s="675"/>
      <c r="K159" s="24">
        <f t="shared" si="38"/>
        <v>1</v>
      </c>
      <c r="L159" s="675"/>
      <c r="M159" s="24">
        <f t="shared" si="39"/>
        <v>1</v>
      </c>
      <c r="N159" s="675"/>
      <c r="O159" s="24">
        <f t="shared" si="40"/>
        <v>1</v>
      </c>
      <c r="P159" s="675"/>
      <c r="Q159" s="24">
        <f t="shared" si="41"/>
        <v>1</v>
      </c>
      <c r="R159" s="671">
        <f t="shared" si="42"/>
        <v>0</v>
      </c>
      <c r="S159" s="321">
        <f t="shared" si="33"/>
        <v>0</v>
      </c>
    </row>
    <row r="160" spans="1:19">
      <c r="A160" s="154"/>
      <c r="B160" s="57"/>
      <c r="C160" s="24">
        <f t="shared" si="34"/>
        <v>1</v>
      </c>
      <c r="D160" s="675"/>
      <c r="E160" s="24">
        <f t="shared" si="35"/>
        <v>0.02</v>
      </c>
      <c r="F160" s="675"/>
      <c r="G160" s="24">
        <f t="shared" si="36"/>
        <v>1</v>
      </c>
      <c r="H160" s="675"/>
      <c r="I160" s="24">
        <f t="shared" si="37"/>
        <v>1</v>
      </c>
      <c r="J160" s="675"/>
      <c r="K160" s="24">
        <f t="shared" si="38"/>
        <v>1</v>
      </c>
      <c r="L160" s="675"/>
      <c r="M160" s="24">
        <f t="shared" si="39"/>
        <v>1</v>
      </c>
      <c r="N160" s="675"/>
      <c r="O160" s="24">
        <f t="shared" si="40"/>
        <v>1</v>
      </c>
      <c r="P160" s="675"/>
      <c r="Q160" s="24">
        <f t="shared" si="41"/>
        <v>1</v>
      </c>
      <c r="R160" s="671">
        <f t="shared" si="42"/>
        <v>0</v>
      </c>
      <c r="S160" s="321">
        <f t="shared" si="33"/>
        <v>0</v>
      </c>
    </row>
    <row r="161" spans="1:19">
      <c r="A161" s="154"/>
      <c r="B161" s="57"/>
      <c r="C161" s="24">
        <f t="shared" si="34"/>
        <v>1</v>
      </c>
      <c r="D161" s="675"/>
      <c r="E161" s="24">
        <f t="shared" si="35"/>
        <v>0.02</v>
      </c>
      <c r="F161" s="675"/>
      <c r="G161" s="24">
        <f t="shared" si="36"/>
        <v>1</v>
      </c>
      <c r="H161" s="675"/>
      <c r="I161" s="24">
        <f t="shared" si="37"/>
        <v>1</v>
      </c>
      <c r="J161" s="675"/>
      <c r="K161" s="24">
        <f t="shared" si="38"/>
        <v>1</v>
      </c>
      <c r="L161" s="675"/>
      <c r="M161" s="24">
        <f t="shared" si="39"/>
        <v>1</v>
      </c>
      <c r="N161" s="675"/>
      <c r="O161" s="24">
        <f t="shared" si="40"/>
        <v>1</v>
      </c>
      <c r="P161" s="675"/>
      <c r="Q161" s="24">
        <f t="shared" si="41"/>
        <v>1</v>
      </c>
      <c r="R161" s="671">
        <f t="shared" si="42"/>
        <v>0</v>
      </c>
      <c r="S161" s="321">
        <f t="shared" si="33"/>
        <v>0</v>
      </c>
    </row>
    <row r="162" spans="1:19">
      <c r="A162" s="154"/>
      <c r="B162" s="57"/>
      <c r="C162" s="24">
        <f t="shared" si="34"/>
        <v>1</v>
      </c>
      <c r="D162" s="675"/>
      <c r="E162" s="24">
        <f t="shared" si="35"/>
        <v>0.02</v>
      </c>
      <c r="F162" s="675"/>
      <c r="G162" s="24">
        <f t="shared" si="36"/>
        <v>1</v>
      </c>
      <c r="H162" s="675"/>
      <c r="I162" s="24">
        <f t="shared" si="37"/>
        <v>1</v>
      </c>
      <c r="J162" s="675"/>
      <c r="K162" s="24">
        <f t="shared" si="38"/>
        <v>1</v>
      </c>
      <c r="L162" s="675"/>
      <c r="M162" s="24">
        <f t="shared" si="39"/>
        <v>1</v>
      </c>
      <c r="N162" s="675"/>
      <c r="O162" s="24">
        <f t="shared" si="40"/>
        <v>1</v>
      </c>
      <c r="P162" s="675"/>
      <c r="Q162" s="24">
        <f t="shared" si="41"/>
        <v>1</v>
      </c>
      <c r="R162" s="671">
        <f t="shared" si="42"/>
        <v>0</v>
      </c>
      <c r="S162" s="321">
        <f t="shared" si="33"/>
        <v>0</v>
      </c>
    </row>
    <row r="163" spans="1:19">
      <c r="A163" s="154"/>
      <c r="B163" s="57"/>
      <c r="C163" s="24">
        <f t="shared" si="34"/>
        <v>1</v>
      </c>
      <c r="D163" s="675"/>
      <c r="E163" s="24">
        <f t="shared" si="35"/>
        <v>0.02</v>
      </c>
      <c r="F163" s="675"/>
      <c r="G163" s="24">
        <f t="shared" si="36"/>
        <v>1</v>
      </c>
      <c r="H163" s="675"/>
      <c r="I163" s="24">
        <f t="shared" si="37"/>
        <v>1</v>
      </c>
      <c r="J163" s="675"/>
      <c r="K163" s="24">
        <f t="shared" si="38"/>
        <v>1</v>
      </c>
      <c r="L163" s="675"/>
      <c r="M163" s="24">
        <f t="shared" si="39"/>
        <v>1</v>
      </c>
      <c r="N163" s="675"/>
      <c r="O163" s="24">
        <f t="shared" si="40"/>
        <v>1</v>
      </c>
      <c r="P163" s="675"/>
      <c r="Q163" s="24">
        <f t="shared" si="41"/>
        <v>1</v>
      </c>
      <c r="R163" s="671">
        <f t="shared" si="42"/>
        <v>0</v>
      </c>
      <c r="S163" s="321">
        <f t="shared" si="33"/>
        <v>0</v>
      </c>
    </row>
    <row r="164" spans="1:19">
      <c r="A164" s="154"/>
      <c r="B164" s="57"/>
      <c r="C164" s="24">
        <f t="shared" si="34"/>
        <v>1</v>
      </c>
      <c r="D164" s="675"/>
      <c r="E164" s="24">
        <f t="shared" si="35"/>
        <v>0.02</v>
      </c>
      <c r="F164" s="675"/>
      <c r="G164" s="24">
        <f t="shared" si="36"/>
        <v>1</v>
      </c>
      <c r="H164" s="675"/>
      <c r="I164" s="24">
        <f t="shared" si="37"/>
        <v>1</v>
      </c>
      <c r="J164" s="675"/>
      <c r="K164" s="24">
        <f t="shared" si="38"/>
        <v>1</v>
      </c>
      <c r="L164" s="675"/>
      <c r="M164" s="24">
        <f t="shared" si="39"/>
        <v>1</v>
      </c>
      <c r="N164" s="675"/>
      <c r="O164" s="24">
        <f t="shared" si="40"/>
        <v>1</v>
      </c>
      <c r="P164" s="675"/>
      <c r="Q164" s="24">
        <f t="shared" si="41"/>
        <v>1</v>
      </c>
      <c r="R164" s="671">
        <f t="shared" si="42"/>
        <v>0</v>
      </c>
      <c r="S164" s="321">
        <f t="shared" si="33"/>
        <v>0</v>
      </c>
    </row>
    <row r="165" spans="1:19">
      <c r="A165" s="154"/>
      <c r="B165" s="57"/>
      <c r="C165" s="24">
        <f t="shared" si="34"/>
        <v>1</v>
      </c>
      <c r="D165" s="675"/>
      <c r="E165" s="24">
        <f t="shared" si="35"/>
        <v>0.02</v>
      </c>
      <c r="F165" s="675"/>
      <c r="G165" s="24">
        <f t="shared" si="36"/>
        <v>1</v>
      </c>
      <c r="H165" s="675"/>
      <c r="I165" s="24">
        <f t="shared" si="37"/>
        <v>1</v>
      </c>
      <c r="J165" s="675"/>
      <c r="K165" s="24">
        <f t="shared" si="38"/>
        <v>1</v>
      </c>
      <c r="L165" s="675"/>
      <c r="M165" s="24">
        <f t="shared" si="39"/>
        <v>1</v>
      </c>
      <c r="N165" s="675"/>
      <c r="O165" s="24">
        <f t="shared" si="40"/>
        <v>1</v>
      </c>
      <c r="P165" s="675"/>
      <c r="Q165" s="24">
        <f t="shared" si="41"/>
        <v>1</v>
      </c>
      <c r="R165" s="671">
        <f t="shared" si="42"/>
        <v>0</v>
      </c>
      <c r="S165" s="321">
        <f t="shared" si="33"/>
        <v>0</v>
      </c>
    </row>
    <row r="166" spans="1:19">
      <c r="A166" s="154"/>
      <c r="B166" s="57"/>
      <c r="C166" s="24">
        <f t="shared" si="34"/>
        <v>1</v>
      </c>
      <c r="D166" s="675"/>
      <c r="E166" s="24">
        <f t="shared" si="35"/>
        <v>0.02</v>
      </c>
      <c r="F166" s="675"/>
      <c r="G166" s="24">
        <f t="shared" si="36"/>
        <v>1</v>
      </c>
      <c r="H166" s="675"/>
      <c r="I166" s="24">
        <f t="shared" si="37"/>
        <v>1</v>
      </c>
      <c r="J166" s="675"/>
      <c r="K166" s="24">
        <f t="shared" si="38"/>
        <v>1</v>
      </c>
      <c r="L166" s="675"/>
      <c r="M166" s="24">
        <f t="shared" si="39"/>
        <v>1</v>
      </c>
      <c r="N166" s="675"/>
      <c r="O166" s="24">
        <f t="shared" si="40"/>
        <v>1</v>
      </c>
      <c r="P166" s="675"/>
      <c r="Q166" s="24">
        <f t="shared" si="41"/>
        <v>1</v>
      </c>
      <c r="R166" s="671">
        <f t="shared" si="42"/>
        <v>0</v>
      </c>
      <c r="S166" s="321">
        <f t="shared" si="33"/>
        <v>0</v>
      </c>
    </row>
    <row r="167" spans="1:19">
      <c r="A167" s="154"/>
      <c r="B167" s="57"/>
      <c r="C167" s="24">
        <f t="shared" si="34"/>
        <v>1</v>
      </c>
      <c r="D167" s="675"/>
      <c r="E167" s="24">
        <f t="shared" si="35"/>
        <v>0.02</v>
      </c>
      <c r="F167" s="675"/>
      <c r="G167" s="24">
        <f t="shared" si="36"/>
        <v>1</v>
      </c>
      <c r="H167" s="675"/>
      <c r="I167" s="24">
        <f t="shared" si="37"/>
        <v>1</v>
      </c>
      <c r="J167" s="675"/>
      <c r="K167" s="24">
        <f t="shared" si="38"/>
        <v>1</v>
      </c>
      <c r="L167" s="675"/>
      <c r="M167" s="24">
        <f t="shared" si="39"/>
        <v>1</v>
      </c>
      <c r="N167" s="675"/>
      <c r="O167" s="24">
        <f t="shared" si="40"/>
        <v>1</v>
      </c>
      <c r="P167" s="675"/>
      <c r="Q167" s="24">
        <f t="shared" si="41"/>
        <v>1</v>
      </c>
      <c r="R167" s="671">
        <f t="shared" si="42"/>
        <v>0</v>
      </c>
      <c r="S167" s="321">
        <f t="shared" si="33"/>
        <v>0</v>
      </c>
    </row>
    <row r="168" spans="1:19">
      <c r="A168" s="154"/>
      <c r="B168" s="57"/>
      <c r="C168" s="24">
        <f t="shared" si="34"/>
        <v>1</v>
      </c>
      <c r="D168" s="675"/>
      <c r="E168" s="24">
        <f t="shared" si="35"/>
        <v>0.02</v>
      </c>
      <c r="F168" s="675"/>
      <c r="G168" s="24">
        <f t="shared" si="36"/>
        <v>1</v>
      </c>
      <c r="H168" s="675"/>
      <c r="I168" s="24">
        <f t="shared" si="37"/>
        <v>1</v>
      </c>
      <c r="J168" s="675"/>
      <c r="K168" s="24">
        <f t="shared" si="38"/>
        <v>1</v>
      </c>
      <c r="L168" s="675"/>
      <c r="M168" s="24">
        <f t="shared" si="39"/>
        <v>1</v>
      </c>
      <c r="N168" s="675"/>
      <c r="O168" s="24">
        <f t="shared" si="40"/>
        <v>1</v>
      </c>
      <c r="P168" s="675"/>
      <c r="Q168" s="24">
        <f t="shared" si="41"/>
        <v>1</v>
      </c>
      <c r="R168" s="671">
        <f t="shared" si="42"/>
        <v>0</v>
      </c>
      <c r="S168" s="321">
        <f t="shared" si="33"/>
        <v>0</v>
      </c>
    </row>
    <row r="169" spans="1:19">
      <c r="A169" s="154"/>
      <c r="B169" s="57"/>
      <c r="C169" s="24">
        <f t="shared" si="34"/>
        <v>1</v>
      </c>
      <c r="D169" s="675"/>
      <c r="E169" s="24">
        <f t="shared" si="35"/>
        <v>0.02</v>
      </c>
      <c r="F169" s="675"/>
      <c r="G169" s="24">
        <f t="shared" si="36"/>
        <v>1</v>
      </c>
      <c r="H169" s="675"/>
      <c r="I169" s="24">
        <f t="shared" si="37"/>
        <v>1</v>
      </c>
      <c r="J169" s="675"/>
      <c r="K169" s="24">
        <f t="shared" si="38"/>
        <v>1</v>
      </c>
      <c r="L169" s="675"/>
      <c r="M169" s="24">
        <f t="shared" si="39"/>
        <v>1</v>
      </c>
      <c r="N169" s="675"/>
      <c r="O169" s="24">
        <f t="shared" si="40"/>
        <v>1</v>
      </c>
      <c r="P169" s="675"/>
      <c r="Q169" s="24">
        <f t="shared" si="41"/>
        <v>1</v>
      </c>
      <c r="R169" s="671">
        <f t="shared" si="42"/>
        <v>0</v>
      </c>
      <c r="S169" s="321">
        <f t="shared" si="33"/>
        <v>0</v>
      </c>
    </row>
    <row r="170" spans="1:19">
      <c r="A170" s="154"/>
      <c r="B170" s="57"/>
      <c r="C170" s="24">
        <f t="shared" si="34"/>
        <v>1</v>
      </c>
      <c r="D170" s="675"/>
      <c r="E170" s="24">
        <f t="shared" si="35"/>
        <v>0.02</v>
      </c>
      <c r="F170" s="675"/>
      <c r="G170" s="24">
        <f t="shared" si="36"/>
        <v>1</v>
      </c>
      <c r="H170" s="675"/>
      <c r="I170" s="24">
        <f t="shared" si="37"/>
        <v>1</v>
      </c>
      <c r="J170" s="675"/>
      <c r="K170" s="24">
        <f t="shared" si="38"/>
        <v>1</v>
      </c>
      <c r="L170" s="675"/>
      <c r="M170" s="24">
        <f t="shared" si="39"/>
        <v>1</v>
      </c>
      <c r="N170" s="675"/>
      <c r="O170" s="24">
        <f t="shared" si="40"/>
        <v>1</v>
      </c>
      <c r="P170" s="675"/>
      <c r="Q170" s="24">
        <f t="shared" si="41"/>
        <v>1</v>
      </c>
      <c r="R170" s="671">
        <f t="shared" si="42"/>
        <v>0</v>
      </c>
      <c r="S170" s="321">
        <f t="shared" si="33"/>
        <v>0</v>
      </c>
    </row>
    <row r="171" spans="1:19">
      <c r="A171" s="154"/>
      <c r="B171" s="57"/>
      <c r="C171" s="24">
        <f t="shared" si="34"/>
        <v>1</v>
      </c>
      <c r="D171" s="675"/>
      <c r="E171" s="24">
        <f t="shared" si="35"/>
        <v>0.02</v>
      </c>
      <c r="F171" s="675"/>
      <c r="G171" s="24">
        <f t="shared" si="36"/>
        <v>1</v>
      </c>
      <c r="H171" s="675"/>
      <c r="I171" s="24">
        <f t="shared" si="37"/>
        <v>1</v>
      </c>
      <c r="J171" s="675"/>
      <c r="K171" s="24">
        <f t="shared" si="38"/>
        <v>1</v>
      </c>
      <c r="L171" s="675"/>
      <c r="M171" s="24">
        <f t="shared" si="39"/>
        <v>1</v>
      </c>
      <c r="N171" s="675"/>
      <c r="O171" s="24">
        <f t="shared" si="40"/>
        <v>1</v>
      </c>
      <c r="P171" s="675"/>
      <c r="Q171" s="24">
        <f t="shared" si="41"/>
        <v>1</v>
      </c>
      <c r="R171" s="671">
        <f t="shared" si="42"/>
        <v>0</v>
      </c>
      <c r="S171" s="321">
        <f t="shared" si="33"/>
        <v>0</v>
      </c>
    </row>
    <row r="172" spans="1:19">
      <c r="A172" s="154"/>
      <c r="B172" s="57"/>
      <c r="C172" s="24">
        <f t="shared" si="34"/>
        <v>1</v>
      </c>
      <c r="D172" s="675"/>
      <c r="E172" s="24">
        <f t="shared" si="35"/>
        <v>0.02</v>
      </c>
      <c r="F172" s="675"/>
      <c r="G172" s="24">
        <f t="shared" si="36"/>
        <v>1</v>
      </c>
      <c r="H172" s="675"/>
      <c r="I172" s="24">
        <f t="shared" si="37"/>
        <v>1</v>
      </c>
      <c r="J172" s="675"/>
      <c r="K172" s="24">
        <f t="shared" si="38"/>
        <v>1</v>
      </c>
      <c r="L172" s="675"/>
      <c r="M172" s="24">
        <f t="shared" si="39"/>
        <v>1</v>
      </c>
      <c r="N172" s="675"/>
      <c r="O172" s="24">
        <f t="shared" si="40"/>
        <v>1</v>
      </c>
      <c r="P172" s="675"/>
      <c r="Q172" s="24">
        <f t="shared" si="41"/>
        <v>1</v>
      </c>
      <c r="R172" s="671">
        <f t="shared" si="42"/>
        <v>0</v>
      </c>
      <c r="S172" s="321">
        <f t="shared" si="33"/>
        <v>0</v>
      </c>
    </row>
    <row r="173" spans="1:19">
      <c r="A173" s="154"/>
      <c r="B173" s="57"/>
      <c r="C173" s="24">
        <f t="shared" si="34"/>
        <v>1</v>
      </c>
      <c r="D173" s="675"/>
      <c r="E173" s="24">
        <f t="shared" si="35"/>
        <v>0.02</v>
      </c>
      <c r="F173" s="675"/>
      <c r="G173" s="24">
        <f t="shared" si="36"/>
        <v>1</v>
      </c>
      <c r="H173" s="675"/>
      <c r="I173" s="24">
        <f t="shared" si="37"/>
        <v>1</v>
      </c>
      <c r="J173" s="675"/>
      <c r="K173" s="24">
        <f t="shared" si="38"/>
        <v>1</v>
      </c>
      <c r="L173" s="675"/>
      <c r="M173" s="24">
        <f t="shared" si="39"/>
        <v>1</v>
      </c>
      <c r="N173" s="675"/>
      <c r="O173" s="24">
        <f t="shared" si="40"/>
        <v>1</v>
      </c>
      <c r="P173" s="675"/>
      <c r="Q173" s="24">
        <f t="shared" si="41"/>
        <v>1</v>
      </c>
      <c r="R173" s="671">
        <f t="shared" si="42"/>
        <v>0</v>
      </c>
      <c r="S173" s="321">
        <f t="shared" si="33"/>
        <v>0</v>
      </c>
    </row>
    <row r="174" spans="1:19">
      <c r="A174" s="154"/>
      <c r="B174" s="57"/>
      <c r="C174" s="24">
        <f t="shared" si="34"/>
        <v>1</v>
      </c>
      <c r="D174" s="675"/>
      <c r="E174" s="24">
        <f t="shared" si="35"/>
        <v>0.02</v>
      </c>
      <c r="F174" s="675"/>
      <c r="G174" s="24">
        <f t="shared" si="36"/>
        <v>1</v>
      </c>
      <c r="H174" s="675"/>
      <c r="I174" s="24">
        <f t="shared" si="37"/>
        <v>1</v>
      </c>
      <c r="J174" s="675"/>
      <c r="K174" s="24">
        <f t="shared" si="38"/>
        <v>1</v>
      </c>
      <c r="L174" s="675"/>
      <c r="M174" s="24">
        <f t="shared" si="39"/>
        <v>1</v>
      </c>
      <c r="N174" s="675"/>
      <c r="O174" s="24">
        <f t="shared" si="40"/>
        <v>1</v>
      </c>
      <c r="P174" s="675"/>
      <c r="Q174" s="24">
        <f t="shared" si="41"/>
        <v>1</v>
      </c>
      <c r="R174" s="671">
        <f t="shared" si="42"/>
        <v>0</v>
      </c>
      <c r="S174" s="321">
        <f t="shared" si="33"/>
        <v>0</v>
      </c>
    </row>
    <row r="175" spans="1:19">
      <c r="A175" s="154"/>
      <c r="B175" s="57"/>
      <c r="C175" s="24">
        <f t="shared" si="34"/>
        <v>1</v>
      </c>
      <c r="D175" s="675"/>
      <c r="E175" s="24">
        <f t="shared" si="35"/>
        <v>0.02</v>
      </c>
      <c r="F175" s="675"/>
      <c r="G175" s="24">
        <f t="shared" si="36"/>
        <v>1</v>
      </c>
      <c r="H175" s="675"/>
      <c r="I175" s="24">
        <f t="shared" si="37"/>
        <v>1</v>
      </c>
      <c r="J175" s="675"/>
      <c r="K175" s="24">
        <f t="shared" si="38"/>
        <v>1</v>
      </c>
      <c r="L175" s="675"/>
      <c r="M175" s="24">
        <f t="shared" si="39"/>
        <v>1</v>
      </c>
      <c r="N175" s="675"/>
      <c r="O175" s="24">
        <f t="shared" si="40"/>
        <v>1</v>
      </c>
      <c r="P175" s="675"/>
      <c r="Q175" s="24">
        <f t="shared" si="41"/>
        <v>1</v>
      </c>
      <c r="R175" s="671">
        <f t="shared" si="42"/>
        <v>0</v>
      </c>
      <c r="S175" s="321">
        <f t="shared" si="33"/>
        <v>0</v>
      </c>
    </row>
    <row r="176" spans="1:19">
      <c r="A176" s="154"/>
      <c r="B176" s="57"/>
      <c r="C176" s="24">
        <f t="shared" si="34"/>
        <v>1</v>
      </c>
      <c r="D176" s="675"/>
      <c r="E176" s="24">
        <f t="shared" si="35"/>
        <v>0.02</v>
      </c>
      <c r="F176" s="675"/>
      <c r="G176" s="24">
        <f t="shared" si="36"/>
        <v>1</v>
      </c>
      <c r="H176" s="675"/>
      <c r="I176" s="24">
        <f t="shared" si="37"/>
        <v>1</v>
      </c>
      <c r="J176" s="675"/>
      <c r="K176" s="24">
        <f t="shared" si="38"/>
        <v>1</v>
      </c>
      <c r="L176" s="675"/>
      <c r="M176" s="24">
        <f t="shared" si="39"/>
        <v>1</v>
      </c>
      <c r="N176" s="675"/>
      <c r="O176" s="24">
        <f t="shared" si="40"/>
        <v>1</v>
      </c>
      <c r="P176" s="675"/>
      <c r="Q176" s="24">
        <f t="shared" si="41"/>
        <v>1</v>
      </c>
      <c r="R176" s="671">
        <f t="shared" si="42"/>
        <v>0</v>
      </c>
      <c r="S176" s="321">
        <f t="shared" si="33"/>
        <v>0</v>
      </c>
    </row>
    <row r="177" spans="1:19">
      <c r="A177" s="154"/>
      <c r="B177" s="57"/>
      <c r="C177" s="24">
        <f t="shared" si="34"/>
        <v>1</v>
      </c>
      <c r="D177" s="675"/>
      <c r="E177" s="24">
        <f t="shared" si="35"/>
        <v>0.02</v>
      </c>
      <c r="F177" s="675"/>
      <c r="G177" s="24">
        <f t="shared" si="36"/>
        <v>1</v>
      </c>
      <c r="H177" s="675"/>
      <c r="I177" s="24">
        <f t="shared" si="37"/>
        <v>1</v>
      </c>
      <c r="J177" s="675"/>
      <c r="K177" s="24">
        <f t="shared" si="38"/>
        <v>1</v>
      </c>
      <c r="L177" s="675"/>
      <c r="M177" s="24">
        <f t="shared" si="39"/>
        <v>1</v>
      </c>
      <c r="N177" s="675"/>
      <c r="O177" s="24">
        <f t="shared" si="40"/>
        <v>1</v>
      </c>
      <c r="P177" s="675"/>
      <c r="Q177" s="24">
        <f t="shared" si="41"/>
        <v>1</v>
      </c>
      <c r="R177" s="671">
        <f t="shared" si="42"/>
        <v>0</v>
      </c>
      <c r="S177" s="321">
        <f t="shared" si="33"/>
        <v>0</v>
      </c>
    </row>
    <row r="178" spans="1:19">
      <c r="A178" s="154"/>
      <c r="B178" s="57"/>
      <c r="C178" s="24">
        <f t="shared" si="34"/>
        <v>1</v>
      </c>
      <c r="D178" s="675"/>
      <c r="E178" s="24">
        <f t="shared" si="35"/>
        <v>0.02</v>
      </c>
      <c r="F178" s="675"/>
      <c r="G178" s="24">
        <f t="shared" si="36"/>
        <v>1</v>
      </c>
      <c r="H178" s="675"/>
      <c r="I178" s="24">
        <f t="shared" si="37"/>
        <v>1</v>
      </c>
      <c r="J178" s="675"/>
      <c r="K178" s="24">
        <f t="shared" si="38"/>
        <v>1</v>
      </c>
      <c r="L178" s="675"/>
      <c r="M178" s="24">
        <f t="shared" si="39"/>
        <v>1</v>
      </c>
      <c r="N178" s="675"/>
      <c r="O178" s="24">
        <f t="shared" si="40"/>
        <v>1</v>
      </c>
      <c r="P178" s="675"/>
      <c r="Q178" s="24">
        <f t="shared" si="41"/>
        <v>1</v>
      </c>
      <c r="R178" s="671">
        <f t="shared" si="42"/>
        <v>0</v>
      </c>
      <c r="S178" s="321">
        <f t="shared" si="33"/>
        <v>0</v>
      </c>
    </row>
    <row r="179" spans="1:19">
      <c r="A179" s="154"/>
      <c r="B179" s="57"/>
      <c r="C179" s="24">
        <f t="shared" si="34"/>
        <v>1</v>
      </c>
      <c r="D179" s="675"/>
      <c r="E179" s="24">
        <f t="shared" si="35"/>
        <v>0.02</v>
      </c>
      <c r="F179" s="675"/>
      <c r="G179" s="24">
        <f t="shared" si="36"/>
        <v>1</v>
      </c>
      <c r="H179" s="675"/>
      <c r="I179" s="24">
        <f t="shared" si="37"/>
        <v>1</v>
      </c>
      <c r="J179" s="675"/>
      <c r="K179" s="24">
        <f t="shared" si="38"/>
        <v>1</v>
      </c>
      <c r="L179" s="675"/>
      <c r="M179" s="24">
        <f t="shared" si="39"/>
        <v>1</v>
      </c>
      <c r="N179" s="675"/>
      <c r="O179" s="24">
        <f t="shared" si="40"/>
        <v>1</v>
      </c>
      <c r="P179" s="675"/>
      <c r="Q179" s="24">
        <f t="shared" si="41"/>
        <v>1</v>
      </c>
      <c r="R179" s="671">
        <f t="shared" si="42"/>
        <v>0</v>
      </c>
      <c r="S179" s="321">
        <f t="shared" si="33"/>
        <v>0</v>
      </c>
    </row>
    <row r="180" spans="1:19">
      <c r="A180" s="154"/>
      <c r="B180" s="57"/>
      <c r="C180" s="24">
        <f t="shared" si="34"/>
        <v>1</v>
      </c>
      <c r="D180" s="675"/>
      <c r="E180" s="24">
        <f t="shared" si="35"/>
        <v>0.02</v>
      </c>
      <c r="F180" s="675"/>
      <c r="G180" s="24">
        <f t="shared" si="36"/>
        <v>1</v>
      </c>
      <c r="H180" s="675"/>
      <c r="I180" s="24">
        <f t="shared" si="37"/>
        <v>1</v>
      </c>
      <c r="J180" s="675"/>
      <c r="K180" s="24">
        <f t="shared" si="38"/>
        <v>1</v>
      </c>
      <c r="L180" s="675"/>
      <c r="M180" s="24">
        <f t="shared" si="39"/>
        <v>1</v>
      </c>
      <c r="N180" s="675"/>
      <c r="O180" s="24">
        <f t="shared" si="40"/>
        <v>1</v>
      </c>
      <c r="P180" s="675"/>
      <c r="Q180" s="24">
        <f t="shared" si="41"/>
        <v>1</v>
      </c>
      <c r="R180" s="671">
        <f t="shared" si="42"/>
        <v>0</v>
      </c>
      <c r="S180" s="321">
        <f t="shared" si="33"/>
        <v>0</v>
      </c>
    </row>
    <row r="181" spans="1:19">
      <c r="A181" s="154"/>
      <c r="B181" s="57"/>
      <c r="C181" s="24">
        <f t="shared" si="34"/>
        <v>1</v>
      </c>
      <c r="D181" s="675"/>
      <c r="E181" s="24">
        <f t="shared" si="35"/>
        <v>0.02</v>
      </c>
      <c r="F181" s="675"/>
      <c r="G181" s="24">
        <f t="shared" si="36"/>
        <v>1</v>
      </c>
      <c r="H181" s="675"/>
      <c r="I181" s="24">
        <f t="shared" si="37"/>
        <v>1</v>
      </c>
      <c r="J181" s="675"/>
      <c r="K181" s="24">
        <f t="shared" si="38"/>
        <v>1</v>
      </c>
      <c r="L181" s="675"/>
      <c r="M181" s="24">
        <f t="shared" si="39"/>
        <v>1</v>
      </c>
      <c r="N181" s="675"/>
      <c r="O181" s="24">
        <f t="shared" si="40"/>
        <v>1</v>
      </c>
      <c r="P181" s="675"/>
      <c r="Q181" s="24">
        <f t="shared" si="41"/>
        <v>1</v>
      </c>
      <c r="R181" s="671">
        <f t="shared" si="42"/>
        <v>0</v>
      </c>
      <c r="S181" s="321">
        <f t="shared" si="33"/>
        <v>0</v>
      </c>
    </row>
    <row r="182" spans="1:19">
      <c r="A182" s="154"/>
      <c r="B182" s="57"/>
      <c r="C182" s="24">
        <f t="shared" si="34"/>
        <v>1</v>
      </c>
      <c r="D182" s="675"/>
      <c r="E182" s="24">
        <f t="shared" si="35"/>
        <v>0.02</v>
      </c>
      <c r="F182" s="675"/>
      <c r="G182" s="24">
        <f t="shared" si="36"/>
        <v>1</v>
      </c>
      <c r="H182" s="675"/>
      <c r="I182" s="24">
        <f t="shared" si="37"/>
        <v>1</v>
      </c>
      <c r="J182" s="675"/>
      <c r="K182" s="24">
        <f t="shared" si="38"/>
        <v>1</v>
      </c>
      <c r="L182" s="675"/>
      <c r="M182" s="24">
        <f t="shared" si="39"/>
        <v>1</v>
      </c>
      <c r="N182" s="675"/>
      <c r="O182" s="24">
        <f t="shared" si="40"/>
        <v>1</v>
      </c>
      <c r="P182" s="675"/>
      <c r="Q182" s="24">
        <f t="shared" si="41"/>
        <v>1</v>
      </c>
      <c r="R182" s="671">
        <f t="shared" si="42"/>
        <v>0</v>
      </c>
      <c r="S182" s="321">
        <f t="shared" si="33"/>
        <v>0</v>
      </c>
    </row>
    <row r="183" spans="1:19">
      <c r="A183" s="154"/>
      <c r="B183" s="57"/>
      <c r="C183" s="24">
        <f t="shared" si="34"/>
        <v>1</v>
      </c>
      <c r="D183" s="675"/>
      <c r="E183" s="24">
        <f t="shared" si="35"/>
        <v>0.02</v>
      </c>
      <c r="F183" s="675"/>
      <c r="G183" s="24">
        <f t="shared" si="36"/>
        <v>1</v>
      </c>
      <c r="H183" s="675"/>
      <c r="I183" s="24">
        <f t="shared" si="37"/>
        <v>1</v>
      </c>
      <c r="J183" s="675"/>
      <c r="K183" s="24">
        <f t="shared" si="38"/>
        <v>1</v>
      </c>
      <c r="L183" s="675"/>
      <c r="M183" s="24">
        <f t="shared" si="39"/>
        <v>1</v>
      </c>
      <c r="N183" s="675"/>
      <c r="O183" s="24">
        <f t="shared" si="40"/>
        <v>1</v>
      </c>
      <c r="P183" s="675"/>
      <c r="Q183" s="24">
        <f t="shared" si="41"/>
        <v>1</v>
      </c>
      <c r="R183" s="671">
        <f t="shared" si="42"/>
        <v>0</v>
      </c>
      <c r="S183" s="321">
        <f t="shared" si="33"/>
        <v>0</v>
      </c>
    </row>
    <row r="184" spans="1:19">
      <c r="A184" s="154"/>
      <c r="B184" s="57"/>
      <c r="C184" s="24">
        <f t="shared" si="34"/>
        <v>1</v>
      </c>
      <c r="D184" s="675"/>
      <c r="E184" s="24">
        <f t="shared" si="35"/>
        <v>0.02</v>
      </c>
      <c r="F184" s="675"/>
      <c r="G184" s="24">
        <f t="shared" si="36"/>
        <v>1</v>
      </c>
      <c r="H184" s="675"/>
      <c r="I184" s="24">
        <f t="shared" si="37"/>
        <v>1</v>
      </c>
      <c r="J184" s="675"/>
      <c r="K184" s="24">
        <f t="shared" si="38"/>
        <v>1</v>
      </c>
      <c r="L184" s="675"/>
      <c r="M184" s="24">
        <f t="shared" si="39"/>
        <v>1</v>
      </c>
      <c r="N184" s="675"/>
      <c r="O184" s="24">
        <f t="shared" si="40"/>
        <v>1</v>
      </c>
      <c r="P184" s="675"/>
      <c r="Q184" s="24">
        <f t="shared" si="41"/>
        <v>1</v>
      </c>
      <c r="R184" s="671">
        <f t="shared" si="42"/>
        <v>0</v>
      </c>
      <c r="S184" s="321">
        <f t="shared" si="33"/>
        <v>0</v>
      </c>
    </row>
    <row r="185" spans="1:19">
      <c r="A185" s="154"/>
      <c r="B185" s="57"/>
      <c r="C185" s="24">
        <f t="shared" si="34"/>
        <v>1</v>
      </c>
      <c r="D185" s="675"/>
      <c r="E185" s="24">
        <f t="shared" si="35"/>
        <v>0.02</v>
      </c>
      <c r="F185" s="675"/>
      <c r="G185" s="24">
        <f t="shared" si="36"/>
        <v>1</v>
      </c>
      <c r="H185" s="675"/>
      <c r="I185" s="24">
        <f t="shared" si="37"/>
        <v>1</v>
      </c>
      <c r="J185" s="675"/>
      <c r="K185" s="24">
        <f t="shared" si="38"/>
        <v>1</v>
      </c>
      <c r="L185" s="675"/>
      <c r="M185" s="24">
        <f t="shared" si="39"/>
        <v>1</v>
      </c>
      <c r="N185" s="675"/>
      <c r="O185" s="24">
        <f t="shared" si="40"/>
        <v>1</v>
      </c>
      <c r="P185" s="675"/>
      <c r="Q185" s="24">
        <f t="shared" si="41"/>
        <v>1</v>
      </c>
      <c r="R185" s="671">
        <f t="shared" si="42"/>
        <v>0</v>
      </c>
      <c r="S185" s="321">
        <f t="shared" si="33"/>
        <v>0</v>
      </c>
    </row>
    <row r="186" spans="1:19">
      <c r="A186" s="154"/>
      <c r="B186" s="57"/>
      <c r="C186" s="24">
        <f t="shared" si="34"/>
        <v>1</v>
      </c>
      <c r="D186" s="675"/>
      <c r="E186" s="24">
        <f t="shared" si="35"/>
        <v>0.02</v>
      </c>
      <c r="F186" s="675"/>
      <c r="G186" s="24">
        <f t="shared" si="36"/>
        <v>1</v>
      </c>
      <c r="H186" s="675"/>
      <c r="I186" s="24">
        <f t="shared" si="37"/>
        <v>1</v>
      </c>
      <c r="J186" s="675"/>
      <c r="K186" s="24">
        <f t="shared" si="38"/>
        <v>1</v>
      </c>
      <c r="L186" s="675"/>
      <c r="M186" s="24">
        <f t="shared" si="39"/>
        <v>1</v>
      </c>
      <c r="N186" s="675"/>
      <c r="O186" s="24">
        <f t="shared" si="40"/>
        <v>1</v>
      </c>
      <c r="P186" s="675"/>
      <c r="Q186" s="24">
        <f t="shared" si="41"/>
        <v>1</v>
      </c>
      <c r="R186" s="671">
        <f t="shared" si="42"/>
        <v>0</v>
      </c>
      <c r="S186" s="321">
        <f t="shared" si="33"/>
        <v>0</v>
      </c>
    </row>
    <row r="187" spans="1:19">
      <c r="A187" s="154"/>
      <c r="B187" s="57"/>
      <c r="C187" s="24">
        <f t="shared" si="34"/>
        <v>1</v>
      </c>
      <c r="D187" s="675"/>
      <c r="E187" s="24">
        <f t="shared" si="35"/>
        <v>0.02</v>
      </c>
      <c r="F187" s="675"/>
      <c r="G187" s="24">
        <f t="shared" si="36"/>
        <v>1</v>
      </c>
      <c r="H187" s="675"/>
      <c r="I187" s="24">
        <f t="shared" si="37"/>
        <v>1</v>
      </c>
      <c r="J187" s="675"/>
      <c r="K187" s="24">
        <f t="shared" si="38"/>
        <v>1</v>
      </c>
      <c r="L187" s="675"/>
      <c r="M187" s="24">
        <f t="shared" si="39"/>
        <v>1</v>
      </c>
      <c r="N187" s="675"/>
      <c r="O187" s="24">
        <f t="shared" si="40"/>
        <v>1</v>
      </c>
      <c r="P187" s="675"/>
      <c r="Q187" s="24">
        <f t="shared" si="41"/>
        <v>1</v>
      </c>
      <c r="R187" s="671">
        <f t="shared" si="42"/>
        <v>0</v>
      </c>
      <c r="S187" s="321">
        <f t="shared" ref="S187:S222" si="43">ROUND(R187*B187/10000,0)</f>
        <v>0</v>
      </c>
    </row>
    <row r="188" spans="1:19">
      <c r="A188" s="154"/>
      <c r="B188" s="57"/>
      <c r="C188" s="24">
        <f t="shared" si="34"/>
        <v>1</v>
      </c>
      <c r="D188" s="675"/>
      <c r="E188" s="24">
        <f t="shared" si="35"/>
        <v>0.02</v>
      </c>
      <c r="F188" s="675"/>
      <c r="G188" s="24">
        <f t="shared" si="36"/>
        <v>1</v>
      </c>
      <c r="H188" s="675"/>
      <c r="I188" s="24">
        <f t="shared" si="37"/>
        <v>1</v>
      </c>
      <c r="J188" s="675"/>
      <c r="K188" s="24">
        <f t="shared" si="38"/>
        <v>1</v>
      </c>
      <c r="L188" s="675"/>
      <c r="M188" s="24">
        <f t="shared" si="39"/>
        <v>1</v>
      </c>
      <c r="N188" s="675"/>
      <c r="O188" s="24">
        <f t="shared" si="40"/>
        <v>1</v>
      </c>
      <c r="P188" s="675"/>
      <c r="Q188" s="24">
        <f t="shared" si="41"/>
        <v>1</v>
      </c>
      <c r="R188" s="671">
        <f t="shared" si="42"/>
        <v>0</v>
      </c>
      <c r="S188" s="321">
        <f t="shared" si="43"/>
        <v>0</v>
      </c>
    </row>
    <row r="189" spans="1:19">
      <c r="A189" s="154"/>
      <c r="B189" s="57"/>
      <c r="C189" s="24">
        <f t="shared" si="34"/>
        <v>1</v>
      </c>
      <c r="D189" s="675"/>
      <c r="E189" s="24">
        <f t="shared" si="35"/>
        <v>0.02</v>
      </c>
      <c r="F189" s="675"/>
      <c r="G189" s="24">
        <f t="shared" si="36"/>
        <v>1</v>
      </c>
      <c r="H189" s="675"/>
      <c r="I189" s="24">
        <f t="shared" si="37"/>
        <v>1</v>
      </c>
      <c r="J189" s="675"/>
      <c r="K189" s="24">
        <f t="shared" si="38"/>
        <v>1</v>
      </c>
      <c r="L189" s="675"/>
      <c r="M189" s="24">
        <f t="shared" si="39"/>
        <v>1</v>
      </c>
      <c r="N189" s="675"/>
      <c r="O189" s="24">
        <f t="shared" si="40"/>
        <v>1</v>
      </c>
      <c r="P189" s="675"/>
      <c r="Q189" s="24">
        <f t="shared" si="41"/>
        <v>1</v>
      </c>
      <c r="R189" s="671">
        <f t="shared" si="42"/>
        <v>0</v>
      </c>
      <c r="S189" s="321">
        <f t="shared" si="43"/>
        <v>0</v>
      </c>
    </row>
    <row r="190" spans="1:19">
      <c r="A190" s="154"/>
      <c r="B190" s="57"/>
      <c r="C190" s="24">
        <f t="shared" si="34"/>
        <v>1</v>
      </c>
      <c r="D190" s="675"/>
      <c r="E190" s="24">
        <f t="shared" si="35"/>
        <v>0.02</v>
      </c>
      <c r="F190" s="675"/>
      <c r="G190" s="24">
        <f t="shared" si="36"/>
        <v>1</v>
      </c>
      <c r="H190" s="675"/>
      <c r="I190" s="24">
        <f t="shared" si="37"/>
        <v>1</v>
      </c>
      <c r="J190" s="675"/>
      <c r="K190" s="24">
        <f t="shared" si="38"/>
        <v>1</v>
      </c>
      <c r="L190" s="675"/>
      <c r="M190" s="24">
        <f t="shared" si="39"/>
        <v>1</v>
      </c>
      <c r="N190" s="675"/>
      <c r="O190" s="24">
        <f t="shared" si="40"/>
        <v>1</v>
      </c>
      <c r="P190" s="675"/>
      <c r="Q190" s="24">
        <f t="shared" si="41"/>
        <v>1</v>
      </c>
      <c r="R190" s="671">
        <f t="shared" si="42"/>
        <v>0</v>
      </c>
      <c r="S190" s="321">
        <f t="shared" si="43"/>
        <v>0</v>
      </c>
    </row>
    <row r="191" spans="1:19">
      <c r="A191" s="154"/>
      <c r="B191" s="57"/>
      <c r="C191" s="24">
        <f t="shared" si="34"/>
        <v>1</v>
      </c>
      <c r="D191" s="675"/>
      <c r="E191" s="24">
        <f t="shared" si="35"/>
        <v>0.02</v>
      </c>
      <c r="F191" s="675"/>
      <c r="G191" s="24">
        <f t="shared" si="36"/>
        <v>1</v>
      </c>
      <c r="H191" s="675"/>
      <c r="I191" s="24">
        <f t="shared" si="37"/>
        <v>1</v>
      </c>
      <c r="J191" s="675"/>
      <c r="K191" s="24">
        <f t="shared" si="38"/>
        <v>1</v>
      </c>
      <c r="L191" s="675"/>
      <c r="M191" s="24">
        <f t="shared" si="39"/>
        <v>1</v>
      </c>
      <c r="N191" s="675"/>
      <c r="O191" s="24">
        <f t="shared" si="40"/>
        <v>1</v>
      </c>
      <c r="P191" s="675"/>
      <c r="Q191" s="24">
        <f t="shared" si="41"/>
        <v>1</v>
      </c>
      <c r="R191" s="671">
        <f t="shared" si="42"/>
        <v>0</v>
      </c>
      <c r="S191" s="321">
        <f t="shared" si="43"/>
        <v>0</v>
      </c>
    </row>
    <row r="192" spans="1:19">
      <c r="A192" s="154"/>
      <c r="B192" s="57"/>
      <c r="C192" s="24">
        <f t="shared" si="34"/>
        <v>1</v>
      </c>
      <c r="D192" s="675"/>
      <c r="E192" s="24">
        <f t="shared" si="35"/>
        <v>0.02</v>
      </c>
      <c r="F192" s="675"/>
      <c r="G192" s="24">
        <f t="shared" si="36"/>
        <v>1</v>
      </c>
      <c r="H192" s="675"/>
      <c r="I192" s="24">
        <f t="shared" si="37"/>
        <v>1</v>
      </c>
      <c r="J192" s="675"/>
      <c r="K192" s="24">
        <f t="shared" si="38"/>
        <v>1</v>
      </c>
      <c r="L192" s="675"/>
      <c r="M192" s="24">
        <f t="shared" si="39"/>
        <v>1</v>
      </c>
      <c r="N192" s="675"/>
      <c r="O192" s="24">
        <f t="shared" si="40"/>
        <v>1</v>
      </c>
      <c r="P192" s="675"/>
      <c r="Q192" s="24">
        <f t="shared" si="41"/>
        <v>1</v>
      </c>
      <c r="R192" s="671">
        <f t="shared" si="42"/>
        <v>0</v>
      </c>
      <c r="S192" s="321">
        <f t="shared" si="43"/>
        <v>0</v>
      </c>
    </row>
    <row r="193" spans="1:19">
      <c r="A193" s="154"/>
      <c r="B193" s="57"/>
      <c r="C193" s="24">
        <f t="shared" si="34"/>
        <v>1</v>
      </c>
      <c r="D193" s="675"/>
      <c r="E193" s="24">
        <f t="shared" si="35"/>
        <v>0.02</v>
      </c>
      <c r="F193" s="675"/>
      <c r="G193" s="24">
        <f t="shared" si="36"/>
        <v>1</v>
      </c>
      <c r="H193" s="675"/>
      <c r="I193" s="24">
        <f t="shared" si="37"/>
        <v>1</v>
      </c>
      <c r="J193" s="675"/>
      <c r="K193" s="24">
        <f t="shared" si="38"/>
        <v>1</v>
      </c>
      <c r="L193" s="675"/>
      <c r="M193" s="24">
        <f t="shared" si="39"/>
        <v>1</v>
      </c>
      <c r="N193" s="675"/>
      <c r="O193" s="24">
        <f t="shared" si="40"/>
        <v>1</v>
      </c>
      <c r="P193" s="675"/>
      <c r="Q193" s="24">
        <f t="shared" si="41"/>
        <v>1</v>
      </c>
      <c r="R193" s="671">
        <f t="shared" si="42"/>
        <v>0</v>
      </c>
      <c r="S193" s="321">
        <f t="shared" si="43"/>
        <v>0</v>
      </c>
    </row>
    <row r="194" spans="1:19">
      <c r="A194" s="154"/>
      <c r="B194" s="57"/>
      <c r="C194" s="24">
        <f t="shared" si="34"/>
        <v>1</v>
      </c>
      <c r="D194" s="675"/>
      <c r="E194" s="24">
        <f t="shared" si="35"/>
        <v>0.02</v>
      </c>
      <c r="F194" s="675"/>
      <c r="G194" s="24">
        <f t="shared" si="36"/>
        <v>1</v>
      </c>
      <c r="H194" s="675"/>
      <c r="I194" s="24">
        <f t="shared" si="37"/>
        <v>1</v>
      </c>
      <c r="J194" s="675"/>
      <c r="K194" s="24">
        <f t="shared" si="38"/>
        <v>1</v>
      </c>
      <c r="L194" s="675"/>
      <c r="M194" s="24">
        <f t="shared" si="39"/>
        <v>1</v>
      </c>
      <c r="N194" s="675"/>
      <c r="O194" s="24">
        <f t="shared" si="40"/>
        <v>1</v>
      </c>
      <c r="P194" s="675"/>
      <c r="Q194" s="24">
        <f t="shared" si="41"/>
        <v>1</v>
      </c>
      <c r="R194" s="671">
        <f t="shared" si="42"/>
        <v>0</v>
      </c>
      <c r="S194" s="321">
        <f t="shared" si="43"/>
        <v>0</v>
      </c>
    </row>
    <row r="195" spans="1:19">
      <c r="A195" s="154"/>
      <c r="B195" s="57"/>
      <c r="C195" s="24">
        <f t="shared" si="34"/>
        <v>1</v>
      </c>
      <c r="D195" s="675"/>
      <c r="E195" s="24">
        <f t="shared" si="35"/>
        <v>0.02</v>
      </c>
      <c r="F195" s="675"/>
      <c r="G195" s="24">
        <f t="shared" si="36"/>
        <v>1</v>
      </c>
      <c r="H195" s="675"/>
      <c r="I195" s="24">
        <f t="shared" si="37"/>
        <v>1</v>
      </c>
      <c r="J195" s="675"/>
      <c r="K195" s="24">
        <f t="shared" si="38"/>
        <v>1</v>
      </c>
      <c r="L195" s="675"/>
      <c r="M195" s="24">
        <f t="shared" si="39"/>
        <v>1</v>
      </c>
      <c r="N195" s="675"/>
      <c r="O195" s="24">
        <f t="shared" si="40"/>
        <v>1</v>
      </c>
      <c r="P195" s="675"/>
      <c r="Q195" s="24">
        <f t="shared" si="41"/>
        <v>1</v>
      </c>
      <c r="R195" s="671">
        <f t="shared" si="42"/>
        <v>0</v>
      </c>
      <c r="S195" s="321">
        <f t="shared" si="43"/>
        <v>0</v>
      </c>
    </row>
    <row r="196" spans="1:19">
      <c r="A196" s="154"/>
      <c r="B196" s="57"/>
      <c r="C196" s="24">
        <f t="shared" si="34"/>
        <v>1</v>
      </c>
      <c r="D196" s="675"/>
      <c r="E196" s="24">
        <f t="shared" si="35"/>
        <v>0.02</v>
      </c>
      <c r="F196" s="675"/>
      <c r="G196" s="24">
        <f t="shared" si="36"/>
        <v>1</v>
      </c>
      <c r="H196" s="675"/>
      <c r="I196" s="24">
        <f t="shared" si="37"/>
        <v>1</v>
      </c>
      <c r="J196" s="675"/>
      <c r="K196" s="24">
        <f t="shared" si="38"/>
        <v>1</v>
      </c>
      <c r="L196" s="675"/>
      <c r="M196" s="24">
        <f t="shared" si="39"/>
        <v>1</v>
      </c>
      <c r="N196" s="675"/>
      <c r="O196" s="24">
        <f t="shared" si="40"/>
        <v>1</v>
      </c>
      <c r="P196" s="675"/>
      <c r="Q196" s="24">
        <f t="shared" si="41"/>
        <v>1</v>
      </c>
      <c r="R196" s="671">
        <f t="shared" si="42"/>
        <v>0</v>
      </c>
      <c r="S196" s="321">
        <f t="shared" si="43"/>
        <v>0</v>
      </c>
    </row>
    <row r="197" spans="1:19">
      <c r="A197" s="154"/>
      <c r="B197" s="57"/>
      <c r="C197" s="24">
        <f t="shared" si="34"/>
        <v>1</v>
      </c>
      <c r="D197" s="675"/>
      <c r="E197" s="24">
        <f t="shared" si="35"/>
        <v>0.02</v>
      </c>
      <c r="F197" s="675"/>
      <c r="G197" s="24">
        <f t="shared" si="36"/>
        <v>1</v>
      </c>
      <c r="H197" s="675"/>
      <c r="I197" s="24">
        <f t="shared" si="37"/>
        <v>1</v>
      </c>
      <c r="J197" s="675"/>
      <c r="K197" s="24">
        <f t="shared" si="38"/>
        <v>1</v>
      </c>
      <c r="L197" s="675"/>
      <c r="M197" s="24">
        <f t="shared" si="39"/>
        <v>1</v>
      </c>
      <c r="N197" s="675"/>
      <c r="O197" s="24">
        <f t="shared" si="40"/>
        <v>1</v>
      </c>
      <c r="P197" s="675"/>
      <c r="Q197" s="24">
        <f t="shared" si="41"/>
        <v>1</v>
      </c>
      <c r="R197" s="671">
        <f t="shared" si="42"/>
        <v>0</v>
      </c>
      <c r="S197" s="321">
        <f t="shared" si="43"/>
        <v>0</v>
      </c>
    </row>
    <row r="198" spans="1:19">
      <c r="A198" s="154"/>
      <c r="B198" s="57"/>
      <c r="C198" s="24">
        <f t="shared" si="34"/>
        <v>1</v>
      </c>
      <c r="D198" s="675"/>
      <c r="E198" s="24">
        <f t="shared" si="35"/>
        <v>0.02</v>
      </c>
      <c r="F198" s="675"/>
      <c r="G198" s="24">
        <f t="shared" si="36"/>
        <v>1</v>
      </c>
      <c r="H198" s="675"/>
      <c r="I198" s="24">
        <f t="shared" si="37"/>
        <v>1</v>
      </c>
      <c r="J198" s="675"/>
      <c r="K198" s="24">
        <f t="shared" si="38"/>
        <v>1</v>
      </c>
      <c r="L198" s="675"/>
      <c r="M198" s="24">
        <f t="shared" si="39"/>
        <v>1</v>
      </c>
      <c r="N198" s="675"/>
      <c r="O198" s="24">
        <f t="shared" si="40"/>
        <v>1</v>
      </c>
      <c r="P198" s="675"/>
      <c r="Q198" s="24">
        <f t="shared" si="41"/>
        <v>1</v>
      </c>
      <c r="R198" s="671">
        <f t="shared" si="42"/>
        <v>0</v>
      </c>
      <c r="S198" s="321">
        <f t="shared" si="43"/>
        <v>0</v>
      </c>
    </row>
    <row r="199" spans="1:19">
      <c r="A199" s="154"/>
      <c r="B199" s="57"/>
      <c r="C199" s="24">
        <f t="shared" si="34"/>
        <v>1</v>
      </c>
      <c r="D199" s="675"/>
      <c r="E199" s="24">
        <f t="shared" si="35"/>
        <v>0.02</v>
      </c>
      <c r="F199" s="675"/>
      <c r="G199" s="24">
        <f t="shared" si="36"/>
        <v>1</v>
      </c>
      <c r="H199" s="675"/>
      <c r="I199" s="24">
        <f t="shared" si="37"/>
        <v>1</v>
      </c>
      <c r="J199" s="675"/>
      <c r="K199" s="24">
        <f t="shared" si="38"/>
        <v>1</v>
      </c>
      <c r="L199" s="675"/>
      <c r="M199" s="24">
        <f t="shared" si="39"/>
        <v>1</v>
      </c>
      <c r="N199" s="675"/>
      <c r="O199" s="24">
        <f t="shared" si="40"/>
        <v>1</v>
      </c>
      <c r="P199" s="675"/>
      <c r="Q199" s="24">
        <f t="shared" si="41"/>
        <v>1</v>
      </c>
      <c r="R199" s="671">
        <f t="shared" si="42"/>
        <v>0</v>
      </c>
      <c r="S199" s="321">
        <f t="shared" si="43"/>
        <v>0</v>
      </c>
    </row>
    <row r="200" spans="1:19">
      <c r="A200" s="154"/>
      <c r="B200" s="57"/>
      <c r="C200" s="24">
        <f t="shared" si="34"/>
        <v>1</v>
      </c>
      <c r="D200" s="675"/>
      <c r="E200" s="24">
        <f t="shared" si="35"/>
        <v>0.02</v>
      </c>
      <c r="F200" s="675"/>
      <c r="G200" s="24">
        <f t="shared" si="36"/>
        <v>1</v>
      </c>
      <c r="H200" s="675"/>
      <c r="I200" s="24">
        <f t="shared" si="37"/>
        <v>1</v>
      </c>
      <c r="J200" s="675"/>
      <c r="K200" s="24">
        <f t="shared" si="38"/>
        <v>1</v>
      </c>
      <c r="L200" s="675"/>
      <c r="M200" s="24">
        <f t="shared" si="39"/>
        <v>1</v>
      </c>
      <c r="N200" s="675"/>
      <c r="O200" s="24">
        <f t="shared" si="40"/>
        <v>1</v>
      </c>
      <c r="P200" s="675"/>
      <c r="Q200" s="24">
        <f t="shared" si="41"/>
        <v>1</v>
      </c>
      <c r="R200" s="671">
        <f t="shared" si="42"/>
        <v>0</v>
      </c>
      <c r="S200" s="321">
        <f t="shared" si="43"/>
        <v>0</v>
      </c>
    </row>
    <row r="201" spans="1:19">
      <c r="A201" s="154"/>
      <c r="B201" s="57"/>
      <c r="C201" s="24">
        <f t="shared" si="34"/>
        <v>1</v>
      </c>
      <c r="D201" s="675"/>
      <c r="E201" s="24">
        <f t="shared" si="35"/>
        <v>0.02</v>
      </c>
      <c r="F201" s="675"/>
      <c r="G201" s="24">
        <f t="shared" si="36"/>
        <v>1</v>
      </c>
      <c r="H201" s="675"/>
      <c r="I201" s="24">
        <f t="shared" si="37"/>
        <v>1</v>
      </c>
      <c r="J201" s="675"/>
      <c r="K201" s="24">
        <f t="shared" si="38"/>
        <v>1</v>
      </c>
      <c r="L201" s="675"/>
      <c r="M201" s="24">
        <f t="shared" si="39"/>
        <v>1</v>
      </c>
      <c r="N201" s="675"/>
      <c r="O201" s="24">
        <f t="shared" si="40"/>
        <v>1</v>
      </c>
      <c r="P201" s="675"/>
      <c r="Q201" s="24">
        <f t="shared" si="41"/>
        <v>1</v>
      </c>
      <c r="R201" s="671">
        <f t="shared" si="42"/>
        <v>0</v>
      </c>
      <c r="S201" s="321">
        <f t="shared" si="43"/>
        <v>0</v>
      </c>
    </row>
    <row r="202" spans="1:19">
      <c r="A202" s="154"/>
      <c r="B202" s="57"/>
      <c r="C202" s="24">
        <f t="shared" si="34"/>
        <v>1</v>
      </c>
      <c r="D202" s="675"/>
      <c r="E202" s="24">
        <f t="shared" si="35"/>
        <v>0.02</v>
      </c>
      <c r="F202" s="675"/>
      <c r="G202" s="24">
        <f t="shared" si="36"/>
        <v>1</v>
      </c>
      <c r="H202" s="675"/>
      <c r="I202" s="24">
        <f t="shared" si="37"/>
        <v>1</v>
      </c>
      <c r="J202" s="675"/>
      <c r="K202" s="24">
        <f t="shared" si="38"/>
        <v>1</v>
      </c>
      <c r="L202" s="675"/>
      <c r="M202" s="24">
        <f t="shared" si="39"/>
        <v>1</v>
      </c>
      <c r="N202" s="675"/>
      <c r="O202" s="24">
        <f t="shared" si="40"/>
        <v>1</v>
      </c>
      <c r="P202" s="675"/>
      <c r="Q202" s="24">
        <f t="shared" si="41"/>
        <v>1</v>
      </c>
      <c r="R202" s="671">
        <f t="shared" si="42"/>
        <v>0</v>
      </c>
      <c r="S202" s="321">
        <f t="shared" si="43"/>
        <v>0</v>
      </c>
    </row>
    <row r="203" spans="1:19">
      <c r="A203" s="154"/>
      <c r="B203" s="57"/>
      <c r="C203" s="24">
        <f t="shared" si="34"/>
        <v>1</v>
      </c>
      <c r="D203" s="675"/>
      <c r="E203" s="24">
        <f t="shared" si="35"/>
        <v>0.02</v>
      </c>
      <c r="F203" s="675"/>
      <c r="G203" s="24">
        <f t="shared" si="36"/>
        <v>1</v>
      </c>
      <c r="H203" s="675"/>
      <c r="I203" s="24">
        <f t="shared" si="37"/>
        <v>1</v>
      </c>
      <c r="J203" s="675"/>
      <c r="K203" s="24">
        <f t="shared" si="38"/>
        <v>1</v>
      </c>
      <c r="L203" s="675"/>
      <c r="M203" s="24">
        <f t="shared" si="39"/>
        <v>1</v>
      </c>
      <c r="N203" s="675"/>
      <c r="O203" s="24">
        <f t="shared" si="40"/>
        <v>1</v>
      </c>
      <c r="P203" s="675"/>
      <c r="Q203" s="24">
        <f t="shared" si="41"/>
        <v>1</v>
      </c>
      <c r="R203" s="671">
        <f t="shared" si="42"/>
        <v>0</v>
      </c>
      <c r="S203" s="321">
        <f t="shared" si="43"/>
        <v>0</v>
      </c>
    </row>
    <row r="204" spans="1:19">
      <c r="A204" s="154"/>
      <c r="B204" s="57"/>
      <c r="C204" s="24">
        <f t="shared" si="34"/>
        <v>1</v>
      </c>
      <c r="D204" s="675"/>
      <c r="E204" s="24">
        <f t="shared" si="35"/>
        <v>0.02</v>
      </c>
      <c r="F204" s="675"/>
      <c r="G204" s="24">
        <f t="shared" si="36"/>
        <v>1</v>
      </c>
      <c r="H204" s="675"/>
      <c r="I204" s="24">
        <f t="shared" si="37"/>
        <v>1</v>
      </c>
      <c r="J204" s="675"/>
      <c r="K204" s="24">
        <f t="shared" si="38"/>
        <v>1</v>
      </c>
      <c r="L204" s="675"/>
      <c r="M204" s="24">
        <f t="shared" si="39"/>
        <v>1</v>
      </c>
      <c r="N204" s="675"/>
      <c r="O204" s="24">
        <f t="shared" si="40"/>
        <v>1</v>
      </c>
      <c r="P204" s="675"/>
      <c r="Q204" s="24">
        <f t="shared" si="41"/>
        <v>1</v>
      </c>
      <c r="R204" s="671">
        <f t="shared" si="42"/>
        <v>0</v>
      </c>
      <c r="S204" s="321">
        <f t="shared" si="43"/>
        <v>0</v>
      </c>
    </row>
    <row r="205" spans="1:19">
      <c r="A205" s="154"/>
      <c r="B205" s="57"/>
      <c r="C205" s="24">
        <f t="shared" si="34"/>
        <v>1</v>
      </c>
      <c r="D205" s="675"/>
      <c r="E205" s="24">
        <f t="shared" si="35"/>
        <v>0.02</v>
      </c>
      <c r="F205" s="675"/>
      <c r="G205" s="24">
        <f t="shared" si="36"/>
        <v>1</v>
      </c>
      <c r="H205" s="675"/>
      <c r="I205" s="24">
        <f t="shared" si="37"/>
        <v>1</v>
      </c>
      <c r="J205" s="675"/>
      <c r="K205" s="24">
        <f t="shared" si="38"/>
        <v>1</v>
      </c>
      <c r="L205" s="675"/>
      <c r="M205" s="24">
        <f t="shared" si="39"/>
        <v>1</v>
      </c>
      <c r="N205" s="675"/>
      <c r="O205" s="24">
        <f t="shared" si="40"/>
        <v>1</v>
      </c>
      <c r="P205" s="675"/>
      <c r="Q205" s="24">
        <f t="shared" si="41"/>
        <v>1</v>
      </c>
      <c r="R205" s="671">
        <f t="shared" si="42"/>
        <v>0</v>
      </c>
      <c r="S205" s="321">
        <f t="shared" si="43"/>
        <v>0</v>
      </c>
    </row>
    <row r="206" spans="1:19">
      <c r="A206" s="154"/>
      <c r="B206" s="57"/>
      <c r="C206" s="24">
        <f t="shared" si="34"/>
        <v>1</v>
      </c>
      <c r="D206" s="675"/>
      <c r="E206" s="24">
        <f t="shared" si="35"/>
        <v>0.02</v>
      </c>
      <c r="F206" s="675"/>
      <c r="G206" s="24">
        <f t="shared" si="36"/>
        <v>1</v>
      </c>
      <c r="H206" s="675"/>
      <c r="I206" s="24">
        <f t="shared" si="37"/>
        <v>1</v>
      </c>
      <c r="J206" s="675"/>
      <c r="K206" s="24">
        <f t="shared" si="38"/>
        <v>1</v>
      </c>
      <c r="L206" s="675"/>
      <c r="M206" s="24">
        <f t="shared" si="39"/>
        <v>1</v>
      </c>
      <c r="N206" s="675"/>
      <c r="O206" s="24">
        <f t="shared" si="40"/>
        <v>1</v>
      </c>
      <c r="P206" s="675"/>
      <c r="Q206" s="24">
        <f t="shared" si="41"/>
        <v>1</v>
      </c>
      <c r="R206" s="671">
        <f t="shared" si="42"/>
        <v>0</v>
      </c>
      <c r="S206" s="321">
        <f t="shared" si="43"/>
        <v>0</v>
      </c>
    </row>
    <row r="207" spans="1:19">
      <c r="A207" s="154"/>
      <c r="B207" s="57"/>
      <c r="C207" s="24">
        <f t="shared" si="34"/>
        <v>1</v>
      </c>
      <c r="D207" s="675"/>
      <c r="E207" s="24">
        <f t="shared" si="35"/>
        <v>0.02</v>
      </c>
      <c r="F207" s="675"/>
      <c r="G207" s="24">
        <f t="shared" si="36"/>
        <v>1</v>
      </c>
      <c r="H207" s="675"/>
      <c r="I207" s="24">
        <f t="shared" si="37"/>
        <v>1</v>
      </c>
      <c r="J207" s="675"/>
      <c r="K207" s="24">
        <f t="shared" si="38"/>
        <v>1</v>
      </c>
      <c r="L207" s="675"/>
      <c r="M207" s="24">
        <f t="shared" si="39"/>
        <v>1</v>
      </c>
      <c r="N207" s="675"/>
      <c r="O207" s="24">
        <f t="shared" si="40"/>
        <v>1</v>
      </c>
      <c r="P207" s="675"/>
      <c r="Q207" s="24">
        <f t="shared" si="41"/>
        <v>1</v>
      </c>
      <c r="R207" s="671">
        <f t="shared" si="42"/>
        <v>0</v>
      </c>
      <c r="S207" s="321">
        <f t="shared" si="43"/>
        <v>0</v>
      </c>
    </row>
    <row r="208" spans="1:19">
      <c r="A208" s="154"/>
      <c r="B208" s="57"/>
      <c r="C208" s="24">
        <f t="shared" si="34"/>
        <v>1</v>
      </c>
      <c r="D208" s="675"/>
      <c r="E208" s="24">
        <f t="shared" si="35"/>
        <v>0.02</v>
      </c>
      <c r="F208" s="675"/>
      <c r="G208" s="24">
        <f t="shared" si="36"/>
        <v>1</v>
      </c>
      <c r="H208" s="675"/>
      <c r="I208" s="24">
        <f t="shared" si="37"/>
        <v>1</v>
      </c>
      <c r="J208" s="675"/>
      <c r="K208" s="24">
        <f t="shared" si="38"/>
        <v>1</v>
      </c>
      <c r="L208" s="675"/>
      <c r="M208" s="24">
        <f t="shared" si="39"/>
        <v>1</v>
      </c>
      <c r="N208" s="675"/>
      <c r="O208" s="24">
        <f t="shared" si="40"/>
        <v>1</v>
      </c>
      <c r="P208" s="675"/>
      <c r="Q208" s="24">
        <f t="shared" si="41"/>
        <v>1</v>
      </c>
      <c r="R208" s="671">
        <f t="shared" si="42"/>
        <v>0</v>
      </c>
      <c r="S208" s="321">
        <f t="shared" si="43"/>
        <v>0</v>
      </c>
    </row>
    <row r="209" spans="1:19">
      <c r="A209" s="154"/>
      <c r="B209" s="57"/>
      <c r="C209" s="24">
        <f t="shared" si="34"/>
        <v>1</v>
      </c>
      <c r="D209" s="675"/>
      <c r="E209" s="24">
        <f t="shared" si="35"/>
        <v>0.02</v>
      </c>
      <c r="F209" s="675"/>
      <c r="G209" s="24">
        <f t="shared" si="36"/>
        <v>1</v>
      </c>
      <c r="H209" s="675"/>
      <c r="I209" s="24">
        <f t="shared" si="37"/>
        <v>1</v>
      </c>
      <c r="J209" s="675"/>
      <c r="K209" s="24">
        <f t="shared" si="38"/>
        <v>1</v>
      </c>
      <c r="L209" s="675"/>
      <c r="M209" s="24">
        <f t="shared" si="39"/>
        <v>1</v>
      </c>
      <c r="N209" s="675"/>
      <c r="O209" s="24">
        <f t="shared" si="40"/>
        <v>1</v>
      </c>
      <c r="P209" s="675"/>
      <c r="Q209" s="24">
        <f t="shared" si="41"/>
        <v>1</v>
      </c>
      <c r="R209" s="671">
        <f t="shared" si="42"/>
        <v>0</v>
      </c>
      <c r="S209" s="321">
        <f t="shared" si="43"/>
        <v>0</v>
      </c>
    </row>
    <row r="210" spans="1:19">
      <c r="A210" s="154"/>
      <c r="B210" s="57"/>
      <c r="C210" s="24">
        <f t="shared" si="34"/>
        <v>1</v>
      </c>
      <c r="D210" s="675"/>
      <c r="E210" s="24">
        <f t="shared" si="35"/>
        <v>0.02</v>
      </c>
      <c r="F210" s="675"/>
      <c r="G210" s="24">
        <f t="shared" si="36"/>
        <v>1</v>
      </c>
      <c r="H210" s="675"/>
      <c r="I210" s="24">
        <f t="shared" si="37"/>
        <v>1</v>
      </c>
      <c r="J210" s="675"/>
      <c r="K210" s="24">
        <f t="shared" si="38"/>
        <v>1</v>
      </c>
      <c r="L210" s="675"/>
      <c r="M210" s="24">
        <f t="shared" si="39"/>
        <v>1</v>
      </c>
      <c r="N210" s="675"/>
      <c r="O210" s="24">
        <f t="shared" si="40"/>
        <v>1</v>
      </c>
      <c r="P210" s="675"/>
      <c r="Q210" s="24">
        <f t="shared" si="41"/>
        <v>1</v>
      </c>
      <c r="R210" s="671">
        <f t="shared" si="42"/>
        <v>0</v>
      </c>
      <c r="S210" s="321">
        <f t="shared" si="43"/>
        <v>0</v>
      </c>
    </row>
    <row r="211" spans="1:19">
      <c r="A211" s="154"/>
      <c r="B211" s="57"/>
      <c r="C211" s="24">
        <f t="shared" si="34"/>
        <v>1</v>
      </c>
      <c r="D211" s="675"/>
      <c r="E211" s="24">
        <f t="shared" si="35"/>
        <v>0.02</v>
      </c>
      <c r="F211" s="675"/>
      <c r="G211" s="24">
        <f t="shared" si="36"/>
        <v>1</v>
      </c>
      <c r="H211" s="675"/>
      <c r="I211" s="24">
        <f t="shared" si="37"/>
        <v>1</v>
      </c>
      <c r="J211" s="675"/>
      <c r="K211" s="24">
        <f t="shared" si="38"/>
        <v>1</v>
      </c>
      <c r="L211" s="675"/>
      <c r="M211" s="24">
        <f t="shared" si="39"/>
        <v>1</v>
      </c>
      <c r="N211" s="675"/>
      <c r="O211" s="24">
        <f t="shared" si="40"/>
        <v>1</v>
      </c>
      <c r="P211" s="675"/>
      <c r="Q211" s="24">
        <f t="shared" si="41"/>
        <v>1</v>
      </c>
      <c r="R211" s="671">
        <f t="shared" si="42"/>
        <v>0</v>
      </c>
      <c r="S211" s="321">
        <f t="shared" si="43"/>
        <v>0</v>
      </c>
    </row>
    <row r="212" spans="1:19">
      <c r="A212" s="154"/>
      <c r="B212" s="57"/>
      <c r="C212" s="24">
        <f t="shared" si="34"/>
        <v>1</v>
      </c>
      <c r="D212" s="675"/>
      <c r="E212" s="24">
        <f t="shared" si="35"/>
        <v>0.02</v>
      </c>
      <c r="F212" s="675"/>
      <c r="G212" s="24">
        <f t="shared" si="36"/>
        <v>1</v>
      </c>
      <c r="H212" s="675"/>
      <c r="I212" s="24">
        <f t="shared" si="37"/>
        <v>1</v>
      </c>
      <c r="J212" s="675"/>
      <c r="K212" s="24">
        <f t="shared" si="38"/>
        <v>1</v>
      </c>
      <c r="L212" s="675"/>
      <c r="M212" s="24">
        <f t="shared" si="39"/>
        <v>1</v>
      </c>
      <c r="N212" s="675"/>
      <c r="O212" s="24">
        <f t="shared" si="40"/>
        <v>1</v>
      </c>
      <c r="P212" s="675"/>
      <c r="Q212" s="24">
        <f t="shared" si="41"/>
        <v>1</v>
      </c>
      <c r="R212" s="671">
        <f t="shared" si="42"/>
        <v>0</v>
      </c>
      <c r="S212" s="321">
        <f t="shared" si="43"/>
        <v>0</v>
      </c>
    </row>
    <row r="213" spans="1:19">
      <c r="A213" s="154"/>
      <c r="B213" s="57"/>
      <c r="C213" s="24">
        <f t="shared" si="34"/>
        <v>1</v>
      </c>
      <c r="D213" s="675"/>
      <c r="E213" s="24">
        <f t="shared" si="35"/>
        <v>0.02</v>
      </c>
      <c r="F213" s="675"/>
      <c r="G213" s="24">
        <f t="shared" si="36"/>
        <v>1</v>
      </c>
      <c r="H213" s="675"/>
      <c r="I213" s="24">
        <f t="shared" si="37"/>
        <v>1</v>
      </c>
      <c r="J213" s="675"/>
      <c r="K213" s="24">
        <f t="shared" si="38"/>
        <v>1</v>
      </c>
      <c r="L213" s="675"/>
      <c r="M213" s="24">
        <f t="shared" si="39"/>
        <v>1</v>
      </c>
      <c r="N213" s="675"/>
      <c r="O213" s="24">
        <f t="shared" si="40"/>
        <v>1</v>
      </c>
      <c r="P213" s="675"/>
      <c r="Q213" s="24">
        <f t="shared" si="41"/>
        <v>1</v>
      </c>
      <c r="R213" s="671">
        <f t="shared" si="42"/>
        <v>0</v>
      </c>
      <c r="S213" s="321">
        <f t="shared" si="43"/>
        <v>0</v>
      </c>
    </row>
    <row r="214" spans="1:19">
      <c r="A214" s="154"/>
      <c r="B214" s="57"/>
      <c r="C214" s="24">
        <f t="shared" si="34"/>
        <v>1</v>
      </c>
      <c r="D214" s="675"/>
      <c r="E214" s="24">
        <f t="shared" si="35"/>
        <v>0.02</v>
      </c>
      <c r="F214" s="675"/>
      <c r="G214" s="24">
        <f t="shared" si="36"/>
        <v>1</v>
      </c>
      <c r="H214" s="675"/>
      <c r="I214" s="24">
        <f t="shared" si="37"/>
        <v>1</v>
      </c>
      <c r="J214" s="675"/>
      <c r="K214" s="24">
        <f t="shared" si="38"/>
        <v>1</v>
      </c>
      <c r="L214" s="675"/>
      <c r="M214" s="24">
        <f t="shared" si="39"/>
        <v>1</v>
      </c>
      <c r="N214" s="675"/>
      <c r="O214" s="24">
        <f t="shared" si="40"/>
        <v>1</v>
      </c>
      <c r="P214" s="675"/>
      <c r="Q214" s="24">
        <f t="shared" si="41"/>
        <v>1</v>
      </c>
      <c r="R214" s="671">
        <f t="shared" si="42"/>
        <v>0</v>
      </c>
      <c r="S214" s="321">
        <f t="shared" si="43"/>
        <v>0</v>
      </c>
    </row>
    <row r="215" spans="1:19">
      <c r="A215" s="154"/>
      <c r="B215" s="57"/>
      <c r="C215" s="24">
        <f t="shared" si="34"/>
        <v>1</v>
      </c>
      <c r="D215" s="675"/>
      <c r="E215" s="24">
        <f t="shared" si="35"/>
        <v>0.02</v>
      </c>
      <c r="F215" s="675"/>
      <c r="G215" s="24">
        <f t="shared" si="36"/>
        <v>1</v>
      </c>
      <c r="H215" s="675"/>
      <c r="I215" s="24">
        <f t="shared" si="37"/>
        <v>1</v>
      </c>
      <c r="J215" s="675"/>
      <c r="K215" s="24">
        <f t="shared" si="38"/>
        <v>1</v>
      </c>
      <c r="L215" s="675"/>
      <c r="M215" s="24">
        <f t="shared" si="39"/>
        <v>1</v>
      </c>
      <c r="N215" s="675"/>
      <c r="O215" s="24">
        <f t="shared" si="40"/>
        <v>1</v>
      </c>
      <c r="P215" s="675"/>
      <c r="Q215" s="24">
        <f t="shared" si="41"/>
        <v>1</v>
      </c>
      <c r="R215" s="671">
        <f t="shared" si="42"/>
        <v>0</v>
      </c>
      <c r="S215" s="321">
        <f t="shared" si="43"/>
        <v>0</v>
      </c>
    </row>
    <row r="216" spans="1:19">
      <c r="A216" s="154"/>
      <c r="B216" s="57"/>
      <c r="C216" s="24">
        <f t="shared" si="34"/>
        <v>1</v>
      </c>
      <c r="D216" s="675"/>
      <c r="E216" s="24">
        <f t="shared" si="35"/>
        <v>0.02</v>
      </c>
      <c r="F216" s="675"/>
      <c r="G216" s="24">
        <f t="shared" si="36"/>
        <v>1</v>
      </c>
      <c r="H216" s="675"/>
      <c r="I216" s="24">
        <f t="shared" si="37"/>
        <v>1</v>
      </c>
      <c r="J216" s="675"/>
      <c r="K216" s="24">
        <f t="shared" si="38"/>
        <v>1</v>
      </c>
      <c r="L216" s="675"/>
      <c r="M216" s="24">
        <f t="shared" si="39"/>
        <v>1</v>
      </c>
      <c r="N216" s="675"/>
      <c r="O216" s="24">
        <f t="shared" si="40"/>
        <v>1</v>
      </c>
      <c r="P216" s="675"/>
      <c r="Q216" s="24">
        <f t="shared" si="41"/>
        <v>1</v>
      </c>
      <c r="R216" s="671">
        <f t="shared" si="42"/>
        <v>0</v>
      </c>
      <c r="S216" s="321">
        <f t="shared" si="43"/>
        <v>0</v>
      </c>
    </row>
    <row r="217" spans="1:19">
      <c r="A217" s="154"/>
      <c r="B217" s="57"/>
      <c r="C217" s="24">
        <f t="shared" si="34"/>
        <v>1</v>
      </c>
      <c r="D217" s="675"/>
      <c r="E217" s="24">
        <f t="shared" si="35"/>
        <v>0.02</v>
      </c>
      <c r="F217" s="675"/>
      <c r="G217" s="24">
        <f t="shared" si="36"/>
        <v>1</v>
      </c>
      <c r="H217" s="675"/>
      <c r="I217" s="24">
        <f t="shared" si="37"/>
        <v>1</v>
      </c>
      <c r="J217" s="675"/>
      <c r="K217" s="24">
        <f t="shared" si="38"/>
        <v>1</v>
      </c>
      <c r="L217" s="675"/>
      <c r="M217" s="24">
        <f t="shared" si="39"/>
        <v>1</v>
      </c>
      <c r="N217" s="675"/>
      <c r="O217" s="24">
        <f t="shared" si="40"/>
        <v>1</v>
      </c>
      <c r="P217" s="675"/>
      <c r="Q217" s="24">
        <f t="shared" si="41"/>
        <v>1</v>
      </c>
      <c r="R217" s="671">
        <f t="shared" si="42"/>
        <v>0</v>
      </c>
      <c r="S217" s="321">
        <f t="shared" si="43"/>
        <v>0</v>
      </c>
    </row>
    <row r="218" spans="1:19">
      <c r="A218" s="154"/>
      <c r="B218" s="57"/>
      <c r="C218" s="24">
        <f t="shared" ref="C218:C281" si="44">IF(B218="",1,(LOOKUP(B218,$3:$3,$4:$4)-LOOKUP($B$24,$3:$3,$4:$4)+100)/100)</f>
        <v>1</v>
      </c>
      <c r="D218" s="675"/>
      <c r="E218" s="24">
        <f t="shared" ref="E218:E281" si="45">(SUMIF($5:$5,D218,$6:$6)-SUMIF($5:$5,$D$24,$6:$6)+100)/100</f>
        <v>0.02</v>
      </c>
      <c r="F218" s="675"/>
      <c r="G218" s="24">
        <f t="shared" ref="G218:G281" si="46">(SUMIF($7:$7,F218,$8:$8)-SUMIF($7:$7,$F$24,$8:$8)+100)/100</f>
        <v>1</v>
      </c>
      <c r="H218" s="675"/>
      <c r="I218" s="24">
        <f t="shared" ref="I218:I281" si="47">(SUMIF($9:$9,H218,$10:$10)-SUMIF($9:$9,$H$24,$10:$10)+100)/100</f>
        <v>1</v>
      </c>
      <c r="J218" s="675"/>
      <c r="K218" s="24">
        <f t="shared" ref="K218:K281" si="48">(SUMIF($11:$11,J218,$12:$12)-SUMIF($11:$11,$J$24,$12:$12)+100)/100</f>
        <v>1</v>
      </c>
      <c r="L218" s="675"/>
      <c r="M218" s="24">
        <f t="shared" ref="M218:M281" si="49">(SUMIF($13:$13,L218,$14:$14)-SUMIF($13:$13,$L$24,$14:$14)+100)/100</f>
        <v>1</v>
      </c>
      <c r="N218" s="675"/>
      <c r="O218" s="24">
        <f t="shared" ref="O218:O281" si="50">(SUMIF($15:$15,N218,$16:$16)-SUMIF($15:$15,$N$24,$16:$16)+100)/100</f>
        <v>1</v>
      </c>
      <c r="P218" s="675"/>
      <c r="Q218" s="24">
        <f t="shared" ref="Q218:Q281" si="51">(SUMIF($17:$17,P218,$18:$18)-SUMIF($17:$17,$P$24,$18:$18)+100)/100</f>
        <v>1</v>
      </c>
      <c r="R218" s="671">
        <f t="shared" ref="R218:R281" si="52">IF(B218="",0,ROUND($R$24*C218*E218*G218*I218*K218*M218*O218*Q218,0))</f>
        <v>0</v>
      </c>
      <c r="S218" s="321">
        <f t="shared" si="43"/>
        <v>0</v>
      </c>
    </row>
    <row r="219" spans="1:19">
      <c r="A219" s="154"/>
      <c r="B219" s="57"/>
      <c r="C219" s="24">
        <f t="shared" si="44"/>
        <v>1</v>
      </c>
      <c r="D219" s="675"/>
      <c r="E219" s="24">
        <f t="shared" si="45"/>
        <v>0.02</v>
      </c>
      <c r="F219" s="675"/>
      <c r="G219" s="24">
        <f t="shared" si="46"/>
        <v>1</v>
      </c>
      <c r="H219" s="675"/>
      <c r="I219" s="24">
        <f t="shared" si="47"/>
        <v>1</v>
      </c>
      <c r="J219" s="675"/>
      <c r="K219" s="24">
        <f t="shared" si="48"/>
        <v>1</v>
      </c>
      <c r="L219" s="675"/>
      <c r="M219" s="24">
        <f t="shared" si="49"/>
        <v>1</v>
      </c>
      <c r="N219" s="675"/>
      <c r="O219" s="24">
        <f t="shared" si="50"/>
        <v>1</v>
      </c>
      <c r="P219" s="675"/>
      <c r="Q219" s="24">
        <f t="shared" si="51"/>
        <v>1</v>
      </c>
      <c r="R219" s="671">
        <f t="shared" si="52"/>
        <v>0</v>
      </c>
      <c r="S219" s="321">
        <f t="shared" si="43"/>
        <v>0</v>
      </c>
    </row>
    <row r="220" spans="1:19">
      <c r="A220" s="154"/>
      <c r="B220" s="57"/>
      <c r="C220" s="24">
        <f t="shared" si="44"/>
        <v>1</v>
      </c>
      <c r="D220" s="675"/>
      <c r="E220" s="24">
        <f t="shared" si="45"/>
        <v>0.02</v>
      </c>
      <c r="F220" s="675"/>
      <c r="G220" s="24">
        <f t="shared" si="46"/>
        <v>1</v>
      </c>
      <c r="H220" s="675"/>
      <c r="I220" s="24">
        <f t="shared" si="47"/>
        <v>1</v>
      </c>
      <c r="J220" s="675"/>
      <c r="K220" s="24">
        <f t="shared" si="48"/>
        <v>1</v>
      </c>
      <c r="L220" s="675"/>
      <c r="M220" s="24">
        <f t="shared" si="49"/>
        <v>1</v>
      </c>
      <c r="N220" s="675"/>
      <c r="O220" s="24">
        <f t="shared" si="50"/>
        <v>1</v>
      </c>
      <c r="P220" s="675"/>
      <c r="Q220" s="24">
        <f t="shared" si="51"/>
        <v>1</v>
      </c>
      <c r="R220" s="671">
        <f t="shared" si="52"/>
        <v>0</v>
      </c>
      <c r="S220" s="321">
        <f t="shared" si="43"/>
        <v>0</v>
      </c>
    </row>
    <row r="221" spans="1:19">
      <c r="A221" s="154"/>
      <c r="B221" s="57"/>
      <c r="C221" s="24">
        <f t="shared" si="44"/>
        <v>1</v>
      </c>
      <c r="D221" s="675"/>
      <c r="E221" s="24">
        <f t="shared" si="45"/>
        <v>0.02</v>
      </c>
      <c r="F221" s="675"/>
      <c r="G221" s="24">
        <f t="shared" si="46"/>
        <v>1</v>
      </c>
      <c r="H221" s="675"/>
      <c r="I221" s="24">
        <f t="shared" si="47"/>
        <v>1</v>
      </c>
      <c r="J221" s="675"/>
      <c r="K221" s="24">
        <f t="shared" si="48"/>
        <v>1</v>
      </c>
      <c r="L221" s="675"/>
      <c r="M221" s="24">
        <f t="shared" si="49"/>
        <v>1</v>
      </c>
      <c r="N221" s="675"/>
      <c r="O221" s="24">
        <f t="shared" si="50"/>
        <v>1</v>
      </c>
      <c r="P221" s="675"/>
      <c r="Q221" s="24">
        <f t="shared" si="51"/>
        <v>1</v>
      </c>
      <c r="R221" s="671">
        <f t="shared" si="52"/>
        <v>0</v>
      </c>
      <c r="S221" s="321">
        <f t="shared" si="43"/>
        <v>0</v>
      </c>
    </row>
    <row r="222" spans="1:19">
      <c r="A222" s="154"/>
      <c r="B222" s="57"/>
      <c r="C222" s="24">
        <f t="shared" si="44"/>
        <v>1</v>
      </c>
      <c r="D222" s="675"/>
      <c r="E222" s="24">
        <f t="shared" si="45"/>
        <v>0.02</v>
      </c>
      <c r="F222" s="675"/>
      <c r="G222" s="24">
        <f t="shared" si="46"/>
        <v>1</v>
      </c>
      <c r="H222" s="675"/>
      <c r="I222" s="24">
        <f t="shared" si="47"/>
        <v>1</v>
      </c>
      <c r="J222" s="675"/>
      <c r="K222" s="24">
        <f t="shared" si="48"/>
        <v>1</v>
      </c>
      <c r="L222" s="675"/>
      <c r="M222" s="24">
        <f t="shared" si="49"/>
        <v>1</v>
      </c>
      <c r="N222" s="675"/>
      <c r="O222" s="24">
        <f t="shared" si="50"/>
        <v>1</v>
      </c>
      <c r="P222" s="675"/>
      <c r="Q222" s="24">
        <f t="shared" si="51"/>
        <v>1</v>
      </c>
      <c r="R222" s="671">
        <f t="shared" si="52"/>
        <v>0</v>
      </c>
      <c r="S222" s="321">
        <f t="shared" si="43"/>
        <v>0</v>
      </c>
    </row>
    <row r="223" spans="1:19">
      <c r="A223" s="154"/>
      <c r="B223" s="57"/>
      <c r="C223" s="24">
        <f t="shared" si="44"/>
        <v>1</v>
      </c>
      <c r="D223" s="675"/>
      <c r="E223" s="24">
        <f t="shared" si="45"/>
        <v>0.02</v>
      </c>
      <c r="F223" s="675"/>
      <c r="G223" s="24">
        <f t="shared" si="46"/>
        <v>1</v>
      </c>
      <c r="H223" s="675"/>
      <c r="I223" s="24">
        <f t="shared" si="47"/>
        <v>1</v>
      </c>
      <c r="J223" s="675"/>
      <c r="K223" s="24">
        <f t="shared" si="48"/>
        <v>1</v>
      </c>
      <c r="L223" s="675"/>
      <c r="M223" s="24">
        <f t="shared" si="49"/>
        <v>1</v>
      </c>
      <c r="N223" s="675"/>
      <c r="O223" s="24">
        <f t="shared" si="50"/>
        <v>1</v>
      </c>
      <c r="P223" s="675"/>
      <c r="Q223" s="24">
        <f t="shared" si="51"/>
        <v>1</v>
      </c>
      <c r="R223" s="671">
        <f t="shared" si="52"/>
        <v>0</v>
      </c>
      <c r="S223" s="321">
        <f t="shared" ref="S223:S286" si="53">ROUND(R223*B223/10000,0)</f>
        <v>0</v>
      </c>
    </row>
    <row r="224" spans="1:19">
      <c r="A224" s="154"/>
      <c r="B224" s="57"/>
      <c r="C224" s="24">
        <f t="shared" si="44"/>
        <v>1</v>
      </c>
      <c r="D224" s="675"/>
      <c r="E224" s="24">
        <f t="shared" si="45"/>
        <v>0.02</v>
      </c>
      <c r="F224" s="675"/>
      <c r="G224" s="24">
        <f t="shared" si="46"/>
        <v>1</v>
      </c>
      <c r="H224" s="675"/>
      <c r="I224" s="24">
        <f t="shared" si="47"/>
        <v>1</v>
      </c>
      <c r="J224" s="675"/>
      <c r="K224" s="24">
        <f t="shared" si="48"/>
        <v>1</v>
      </c>
      <c r="L224" s="675"/>
      <c r="M224" s="24">
        <f t="shared" si="49"/>
        <v>1</v>
      </c>
      <c r="N224" s="675"/>
      <c r="O224" s="24">
        <f t="shared" si="50"/>
        <v>1</v>
      </c>
      <c r="P224" s="675"/>
      <c r="Q224" s="24">
        <f t="shared" si="51"/>
        <v>1</v>
      </c>
      <c r="R224" s="671">
        <f t="shared" si="52"/>
        <v>0</v>
      </c>
      <c r="S224" s="321">
        <f t="shared" si="53"/>
        <v>0</v>
      </c>
    </row>
    <row r="225" spans="1:19">
      <c r="A225" s="154"/>
      <c r="B225" s="57"/>
      <c r="C225" s="24">
        <f t="shared" si="44"/>
        <v>1</v>
      </c>
      <c r="D225" s="675"/>
      <c r="E225" s="24">
        <f t="shared" si="45"/>
        <v>0.02</v>
      </c>
      <c r="F225" s="675"/>
      <c r="G225" s="24">
        <f t="shared" si="46"/>
        <v>1</v>
      </c>
      <c r="H225" s="675"/>
      <c r="I225" s="24">
        <f t="shared" si="47"/>
        <v>1</v>
      </c>
      <c r="J225" s="675"/>
      <c r="K225" s="24">
        <f t="shared" si="48"/>
        <v>1</v>
      </c>
      <c r="L225" s="675"/>
      <c r="M225" s="24">
        <f t="shared" si="49"/>
        <v>1</v>
      </c>
      <c r="N225" s="675"/>
      <c r="O225" s="24">
        <f t="shared" si="50"/>
        <v>1</v>
      </c>
      <c r="P225" s="675"/>
      <c r="Q225" s="24">
        <f t="shared" si="51"/>
        <v>1</v>
      </c>
      <c r="R225" s="671">
        <f t="shared" si="52"/>
        <v>0</v>
      </c>
      <c r="S225" s="321">
        <f t="shared" si="53"/>
        <v>0</v>
      </c>
    </row>
    <row r="226" spans="1:19">
      <c r="A226" s="154"/>
      <c r="B226" s="57"/>
      <c r="C226" s="24">
        <f t="shared" si="44"/>
        <v>1</v>
      </c>
      <c r="D226" s="675"/>
      <c r="E226" s="24">
        <f t="shared" si="45"/>
        <v>0.02</v>
      </c>
      <c r="F226" s="675"/>
      <c r="G226" s="24">
        <f t="shared" si="46"/>
        <v>1</v>
      </c>
      <c r="H226" s="675"/>
      <c r="I226" s="24">
        <f t="shared" si="47"/>
        <v>1</v>
      </c>
      <c r="J226" s="675"/>
      <c r="K226" s="24">
        <f t="shared" si="48"/>
        <v>1</v>
      </c>
      <c r="L226" s="675"/>
      <c r="M226" s="24">
        <f t="shared" si="49"/>
        <v>1</v>
      </c>
      <c r="N226" s="675"/>
      <c r="O226" s="24">
        <f t="shared" si="50"/>
        <v>1</v>
      </c>
      <c r="P226" s="675"/>
      <c r="Q226" s="24">
        <f t="shared" si="51"/>
        <v>1</v>
      </c>
      <c r="R226" s="671">
        <f t="shared" si="52"/>
        <v>0</v>
      </c>
      <c r="S226" s="321">
        <f t="shared" si="53"/>
        <v>0</v>
      </c>
    </row>
    <row r="227" spans="1:19">
      <c r="A227" s="154"/>
      <c r="B227" s="57"/>
      <c r="C227" s="24">
        <f t="shared" si="44"/>
        <v>1</v>
      </c>
      <c r="D227" s="675"/>
      <c r="E227" s="24">
        <f t="shared" si="45"/>
        <v>0.02</v>
      </c>
      <c r="F227" s="675"/>
      <c r="G227" s="24">
        <f t="shared" si="46"/>
        <v>1</v>
      </c>
      <c r="H227" s="675"/>
      <c r="I227" s="24">
        <f t="shared" si="47"/>
        <v>1</v>
      </c>
      <c r="J227" s="675"/>
      <c r="K227" s="24">
        <f t="shared" si="48"/>
        <v>1</v>
      </c>
      <c r="L227" s="675"/>
      <c r="M227" s="24">
        <f t="shared" si="49"/>
        <v>1</v>
      </c>
      <c r="N227" s="675"/>
      <c r="O227" s="24">
        <f t="shared" si="50"/>
        <v>1</v>
      </c>
      <c r="P227" s="675"/>
      <c r="Q227" s="24">
        <f t="shared" si="51"/>
        <v>1</v>
      </c>
      <c r="R227" s="671">
        <f t="shared" si="52"/>
        <v>0</v>
      </c>
      <c r="S227" s="321">
        <f t="shared" si="53"/>
        <v>0</v>
      </c>
    </row>
    <row r="228" spans="1:19">
      <c r="A228" s="154"/>
      <c r="B228" s="57"/>
      <c r="C228" s="24">
        <f t="shared" si="44"/>
        <v>1</v>
      </c>
      <c r="D228" s="675"/>
      <c r="E228" s="24">
        <f t="shared" si="45"/>
        <v>0.02</v>
      </c>
      <c r="F228" s="675"/>
      <c r="G228" s="24">
        <f t="shared" si="46"/>
        <v>1</v>
      </c>
      <c r="H228" s="675"/>
      <c r="I228" s="24">
        <f t="shared" si="47"/>
        <v>1</v>
      </c>
      <c r="J228" s="675"/>
      <c r="K228" s="24">
        <f t="shared" si="48"/>
        <v>1</v>
      </c>
      <c r="L228" s="675"/>
      <c r="M228" s="24">
        <f t="shared" si="49"/>
        <v>1</v>
      </c>
      <c r="N228" s="675"/>
      <c r="O228" s="24">
        <f t="shared" si="50"/>
        <v>1</v>
      </c>
      <c r="P228" s="675"/>
      <c r="Q228" s="24">
        <f t="shared" si="51"/>
        <v>1</v>
      </c>
      <c r="R228" s="671">
        <f t="shared" si="52"/>
        <v>0</v>
      </c>
      <c r="S228" s="321">
        <f t="shared" si="53"/>
        <v>0</v>
      </c>
    </row>
    <row r="229" spans="1:19">
      <c r="A229" s="154"/>
      <c r="B229" s="57"/>
      <c r="C229" s="24">
        <f t="shared" si="44"/>
        <v>1</v>
      </c>
      <c r="D229" s="675"/>
      <c r="E229" s="24">
        <f t="shared" si="45"/>
        <v>0.02</v>
      </c>
      <c r="F229" s="675"/>
      <c r="G229" s="24">
        <f t="shared" si="46"/>
        <v>1</v>
      </c>
      <c r="H229" s="675"/>
      <c r="I229" s="24">
        <f t="shared" si="47"/>
        <v>1</v>
      </c>
      <c r="J229" s="675"/>
      <c r="K229" s="24">
        <f t="shared" si="48"/>
        <v>1</v>
      </c>
      <c r="L229" s="675"/>
      <c r="M229" s="24">
        <f t="shared" si="49"/>
        <v>1</v>
      </c>
      <c r="N229" s="675"/>
      <c r="O229" s="24">
        <f t="shared" si="50"/>
        <v>1</v>
      </c>
      <c r="P229" s="675"/>
      <c r="Q229" s="24">
        <f t="shared" si="51"/>
        <v>1</v>
      </c>
      <c r="R229" s="671">
        <f t="shared" si="52"/>
        <v>0</v>
      </c>
      <c r="S229" s="321">
        <f t="shared" si="53"/>
        <v>0</v>
      </c>
    </row>
    <row r="230" spans="1:19">
      <c r="A230" s="154"/>
      <c r="B230" s="57"/>
      <c r="C230" s="24">
        <f t="shared" si="44"/>
        <v>1</v>
      </c>
      <c r="D230" s="675"/>
      <c r="E230" s="24">
        <f t="shared" si="45"/>
        <v>0.02</v>
      </c>
      <c r="F230" s="675"/>
      <c r="G230" s="24">
        <f t="shared" si="46"/>
        <v>1</v>
      </c>
      <c r="H230" s="675"/>
      <c r="I230" s="24">
        <f t="shared" si="47"/>
        <v>1</v>
      </c>
      <c r="J230" s="675"/>
      <c r="K230" s="24">
        <f t="shared" si="48"/>
        <v>1</v>
      </c>
      <c r="L230" s="675"/>
      <c r="M230" s="24">
        <f t="shared" si="49"/>
        <v>1</v>
      </c>
      <c r="N230" s="675"/>
      <c r="O230" s="24">
        <f t="shared" si="50"/>
        <v>1</v>
      </c>
      <c r="P230" s="675"/>
      <c r="Q230" s="24">
        <f t="shared" si="51"/>
        <v>1</v>
      </c>
      <c r="R230" s="671">
        <f t="shared" si="52"/>
        <v>0</v>
      </c>
      <c r="S230" s="321">
        <f t="shared" si="53"/>
        <v>0</v>
      </c>
    </row>
    <row r="231" spans="1:19">
      <c r="A231" s="154"/>
      <c r="B231" s="57"/>
      <c r="C231" s="24">
        <f t="shared" si="44"/>
        <v>1</v>
      </c>
      <c r="D231" s="675"/>
      <c r="E231" s="24">
        <f t="shared" si="45"/>
        <v>0.02</v>
      </c>
      <c r="F231" s="675"/>
      <c r="G231" s="24">
        <f t="shared" si="46"/>
        <v>1</v>
      </c>
      <c r="H231" s="675"/>
      <c r="I231" s="24">
        <f t="shared" si="47"/>
        <v>1</v>
      </c>
      <c r="J231" s="675"/>
      <c r="K231" s="24">
        <f t="shared" si="48"/>
        <v>1</v>
      </c>
      <c r="L231" s="675"/>
      <c r="M231" s="24">
        <f t="shared" si="49"/>
        <v>1</v>
      </c>
      <c r="N231" s="675"/>
      <c r="O231" s="24">
        <f t="shared" si="50"/>
        <v>1</v>
      </c>
      <c r="P231" s="675"/>
      <c r="Q231" s="24">
        <f t="shared" si="51"/>
        <v>1</v>
      </c>
      <c r="R231" s="671">
        <f t="shared" si="52"/>
        <v>0</v>
      </c>
      <c r="S231" s="321">
        <f t="shared" si="53"/>
        <v>0</v>
      </c>
    </row>
    <row r="232" spans="1:19">
      <c r="A232" s="154"/>
      <c r="B232" s="57"/>
      <c r="C232" s="24">
        <f t="shared" si="44"/>
        <v>1</v>
      </c>
      <c r="D232" s="675"/>
      <c r="E232" s="24">
        <f t="shared" si="45"/>
        <v>0.02</v>
      </c>
      <c r="F232" s="675"/>
      <c r="G232" s="24">
        <f t="shared" si="46"/>
        <v>1</v>
      </c>
      <c r="H232" s="675"/>
      <c r="I232" s="24">
        <f t="shared" si="47"/>
        <v>1</v>
      </c>
      <c r="J232" s="675"/>
      <c r="K232" s="24">
        <f t="shared" si="48"/>
        <v>1</v>
      </c>
      <c r="L232" s="675"/>
      <c r="M232" s="24">
        <f t="shared" si="49"/>
        <v>1</v>
      </c>
      <c r="N232" s="675"/>
      <c r="O232" s="24">
        <f t="shared" si="50"/>
        <v>1</v>
      </c>
      <c r="P232" s="675"/>
      <c r="Q232" s="24">
        <f t="shared" si="51"/>
        <v>1</v>
      </c>
      <c r="R232" s="671">
        <f t="shared" si="52"/>
        <v>0</v>
      </c>
      <c r="S232" s="321">
        <f t="shared" si="53"/>
        <v>0</v>
      </c>
    </row>
    <row r="233" spans="1:19">
      <c r="A233" s="154"/>
      <c r="B233" s="57"/>
      <c r="C233" s="24">
        <f t="shared" si="44"/>
        <v>1</v>
      </c>
      <c r="D233" s="675"/>
      <c r="E233" s="24">
        <f t="shared" si="45"/>
        <v>0.02</v>
      </c>
      <c r="F233" s="675"/>
      <c r="G233" s="24">
        <f t="shared" si="46"/>
        <v>1</v>
      </c>
      <c r="H233" s="675"/>
      <c r="I233" s="24">
        <f t="shared" si="47"/>
        <v>1</v>
      </c>
      <c r="J233" s="675"/>
      <c r="K233" s="24">
        <f t="shared" si="48"/>
        <v>1</v>
      </c>
      <c r="L233" s="675"/>
      <c r="M233" s="24">
        <f t="shared" si="49"/>
        <v>1</v>
      </c>
      <c r="N233" s="675"/>
      <c r="O233" s="24">
        <f t="shared" si="50"/>
        <v>1</v>
      </c>
      <c r="P233" s="675"/>
      <c r="Q233" s="24">
        <f t="shared" si="51"/>
        <v>1</v>
      </c>
      <c r="R233" s="671">
        <f t="shared" si="52"/>
        <v>0</v>
      </c>
      <c r="S233" s="321">
        <f t="shared" si="53"/>
        <v>0</v>
      </c>
    </row>
    <row r="234" spans="1:19">
      <c r="A234" s="154"/>
      <c r="B234" s="57"/>
      <c r="C234" s="24">
        <f t="shared" si="44"/>
        <v>1</v>
      </c>
      <c r="D234" s="675"/>
      <c r="E234" s="24">
        <f t="shared" si="45"/>
        <v>0.02</v>
      </c>
      <c r="F234" s="675"/>
      <c r="G234" s="24">
        <f t="shared" si="46"/>
        <v>1</v>
      </c>
      <c r="H234" s="675"/>
      <c r="I234" s="24">
        <f t="shared" si="47"/>
        <v>1</v>
      </c>
      <c r="J234" s="675"/>
      <c r="K234" s="24">
        <f t="shared" si="48"/>
        <v>1</v>
      </c>
      <c r="L234" s="675"/>
      <c r="M234" s="24">
        <f t="shared" si="49"/>
        <v>1</v>
      </c>
      <c r="N234" s="675"/>
      <c r="O234" s="24">
        <f t="shared" si="50"/>
        <v>1</v>
      </c>
      <c r="P234" s="675"/>
      <c r="Q234" s="24">
        <f t="shared" si="51"/>
        <v>1</v>
      </c>
      <c r="R234" s="671">
        <f t="shared" si="52"/>
        <v>0</v>
      </c>
      <c r="S234" s="321">
        <f t="shared" si="53"/>
        <v>0</v>
      </c>
    </row>
    <row r="235" spans="1:19">
      <c r="A235" s="154"/>
      <c r="B235" s="57"/>
      <c r="C235" s="24">
        <f t="shared" si="44"/>
        <v>1</v>
      </c>
      <c r="D235" s="675"/>
      <c r="E235" s="24">
        <f t="shared" si="45"/>
        <v>0.02</v>
      </c>
      <c r="F235" s="675"/>
      <c r="G235" s="24">
        <f t="shared" si="46"/>
        <v>1</v>
      </c>
      <c r="H235" s="675"/>
      <c r="I235" s="24">
        <f t="shared" si="47"/>
        <v>1</v>
      </c>
      <c r="J235" s="675"/>
      <c r="K235" s="24">
        <f t="shared" si="48"/>
        <v>1</v>
      </c>
      <c r="L235" s="675"/>
      <c r="M235" s="24">
        <f t="shared" si="49"/>
        <v>1</v>
      </c>
      <c r="N235" s="675"/>
      <c r="O235" s="24">
        <f t="shared" si="50"/>
        <v>1</v>
      </c>
      <c r="P235" s="675"/>
      <c r="Q235" s="24">
        <f t="shared" si="51"/>
        <v>1</v>
      </c>
      <c r="R235" s="671">
        <f t="shared" si="52"/>
        <v>0</v>
      </c>
      <c r="S235" s="321">
        <f t="shared" si="53"/>
        <v>0</v>
      </c>
    </row>
    <row r="236" spans="1:19">
      <c r="A236" s="154"/>
      <c r="B236" s="57"/>
      <c r="C236" s="24">
        <f t="shared" si="44"/>
        <v>1</v>
      </c>
      <c r="D236" s="675"/>
      <c r="E236" s="24">
        <f t="shared" si="45"/>
        <v>0.02</v>
      </c>
      <c r="F236" s="675"/>
      <c r="G236" s="24">
        <f t="shared" si="46"/>
        <v>1</v>
      </c>
      <c r="H236" s="675"/>
      <c r="I236" s="24">
        <f t="shared" si="47"/>
        <v>1</v>
      </c>
      <c r="J236" s="675"/>
      <c r="K236" s="24">
        <f t="shared" si="48"/>
        <v>1</v>
      </c>
      <c r="L236" s="675"/>
      <c r="M236" s="24">
        <f t="shared" si="49"/>
        <v>1</v>
      </c>
      <c r="N236" s="675"/>
      <c r="O236" s="24">
        <f t="shared" si="50"/>
        <v>1</v>
      </c>
      <c r="P236" s="675"/>
      <c r="Q236" s="24">
        <f t="shared" si="51"/>
        <v>1</v>
      </c>
      <c r="R236" s="671">
        <f t="shared" si="52"/>
        <v>0</v>
      </c>
      <c r="S236" s="321">
        <f t="shared" si="53"/>
        <v>0</v>
      </c>
    </row>
    <row r="237" spans="1:19">
      <c r="A237" s="154"/>
      <c r="B237" s="57"/>
      <c r="C237" s="24">
        <f t="shared" si="44"/>
        <v>1</v>
      </c>
      <c r="D237" s="675"/>
      <c r="E237" s="24">
        <f t="shared" si="45"/>
        <v>0.02</v>
      </c>
      <c r="F237" s="675"/>
      <c r="G237" s="24">
        <f t="shared" si="46"/>
        <v>1</v>
      </c>
      <c r="H237" s="675"/>
      <c r="I237" s="24">
        <f t="shared" si="47"/>
        <v>1</v>
      </c>
      <c r="J237" s="675"/>
      <c r="K237" s="24">
        <f t="shared" si="48"/>
        <v>1</v>
      </c>
      <c r="L237" s="675"/>
      <c r="M237" s="24">
        <f t="shared" si="49"/>
        <v>1</v>
      </c>
      <c r="N237" s="675"/>
      <c r="O237" s="24">
        <f t="shared" si="50"/>
        <v>1</v>
      </c>
      <c r="P237" s="675"/>
      <c r="Q237" s="24">
        <f t="shared" si="51"/>
        <v>1</v>
      </c>
      <c r="R237" s="671">
        <f t="shared" si="52"/>
        <v>0</v>
      </c>
      <c r="S237" s="321">
        <f t="shared" si="53"/>
        <v>0</v>
      </c>
    </row>
    <row r="238" spans="1:19">
      <c r="A238" s="154"/>
      <c r="B238" s="57"/>
      <c r="C238" s="24">
        <f t="shared" si="44"/>
        <v>1</v>
      </c>
      <c r="D238" s="675"/>
      <c r="E238" s="24">
        <f t="shared" si="45"/>
        <v>0.02</v>
      </c>
      <c r="F238" s="675"/>
      <c r="G238" s="24">
        <f t="shared" si="46"/>
        <v>1</v>
      </c>
      <c r="H238" s="675"/>
      <c r="I238" s="24">
        <f t="shared" si="47"/>
        <v>1</v>
      </c>
      <c r="J238" s="675"/>
      <c r="K238" s="24">
        <f t="shared" si="48"/>
        <v>1</v>
      </c>
      <c r="L238" s="675"/>
      <c r="M238" s="24">
        <f t="shared" si="49"/>
        <v>1</v>
      </c>
      <c r="N238" s="675"/>
      <c r="O238" s="24">
        <f t="shared" si="50"/>
        <v>1</v>
      </c>
      <c r="P238" s="675"/>
      <c r="Q238" s="24">
        <f t="shared" si="51"/>
        <v>1</v>
      </c>
      <c r="R238" s="671">
        <f t="shared" si="52"/>
        <v>0</v>
      </c>
      <c r="S238" s="321">
        <f t="shared" si="53"/>
        <v>0</v>
      </c>
    </row>
    <row r="239" spans="1:19">
      <c r="A239" s="154"/>
      <c r="B239" s="57"/>
      <c r="C239" s="24">
        <f t="shared" si="44"/>
        <v>1</v>
      </c>
      <c r="D239" s="675"/>
      <c r="E239" s="24">
        <f t="shared" si="45"/>
        <v>0.02</v>
      </c>
      <c r="F239" s="675"/>
      <c r="G239" s="24">
        <f t="shared" si="46"/>
        <v>1</v>
      </c>
      <c r="H239" s="675"/>
      <c r="I239" s="24">
        <f t="shared" si="47"/>
        <v>1</v>
      </c>
      <c r="J239" s="675"/>
      <c r="K239" s="24">
        <f t="shared" si="48"/>
        <v>1</v>
      </c>
      <c r="L239" s="675"/>
      <c r="M239" s="24">
        <f t="shared" si="49"/>
        <v>1</v>
      </c>
      <c r="N239" s="675"/>
      <c r="O239" s="24">
        <f t="shared" si="50"/>
        <v>1</v>
      </c>
      <c r="P239" s="675"/>
      <c r="Q239" s="24">
        <f t="shared" si="51"/>
        <v>1</v>
      </c>
      <c r="R239" s="671">
        <f t="shared" si="52"/>
        <v>0</v>
      </c>
      <c r="S239" s="321">
        <f t="shared" si="53"/>
        <v>0</v>
      </c>
    </row>
    <row r="240" spans="1:19">
      <c r="A240" s="154"/>
      <c r="B240" s="57"/>
      <c r="C240" s="24">
        <f t="shared" si="44"/>
        <v>1</v>
      </c>
      <c r="D240" s="675"/>
      <c r="E240" s="24">
        <f t="shared" si="45"/>
        <v>0.02</v>
      </c>
      <c r="F240" s="675"/>
      <c r="G240" s="24">
        <f t="shared" si="46"/>
        <v>1</v>
      </c>
      <c r="H240" s="675"/>
      <c r="I240" s="24">
        <f t="shared" si="47"/>
        <v>1</v>
      </c>
      <c r="J240" s="675"/>
      <c r="K240" s="24">
        <f t="shared" si="48"/>
        <v>1</v>
      </c>
      <c r="L240" s="675"/>
      <c r="M240" s="24">
        <f t="shared" si="49"/>
        <v>1</v>
      </c>
      <c r="N240" s="675"/>
      <c r="O240" s="24">
        <f t="shared" si="50"/>
        <v>1</v>
      </c>
      <c r="P240" s="675"/>
      <c r="Q240" s="24">
        <f t="shared" si="51"/>
        <v>1</v>
      </c>
      <c r="R240" s="671">
        <f t="shared" si="52"/>
        <v>0</v>
      </c>
      <c r="S240" s="321">
        <f t="shared" si="53"/>
        <v>0</v>
      </c>
    </row>
    <row r="241" spans="1:19">
      <c r="A241" s="154"/>
      <c r="B241" s="57"/>
      <c r="C241" s="24">
        <f t="shared" si="44"/>
        <v>1</v>
      </c>
      <c r="D241" s="675"/>
      <c r="E241" s="24">
        <f t="shared" si="45"/>
        <v>0.02</v>
      </c>
      <c r="F241" s="675"/>
      <c r="G241" s="24">
        <f t="shared" si="46"/>
        <v>1</v>
      </c>
      <c r="H241" s="675"/>
      <c r="I241" s="24">
        <f t="shared" si="47"/>
        <v>1</v>
      </c>
      <c r="J241" s="675"/>
      <c r="K241" s="24">
        <f t="shared" si="48"/>
        <v>1</v>
      </c>
      <c r="L241" s="675"/>
      <c r="M241" s="24">
        <f t="shared" si="49"/>
        <v>1</v>
      </c>
      <c r="N241" s="675"/>
      <c r="O241" s="24">
        <f t="shared" si="50"/>
        <v>1</v>
      </c>
      <c r="P241" s="675"/>
      <c r="Q241" s="24">
        <f t="shared" si="51"/>
        <v>1</v>
      </c>
      <c r="R241" s="671">
        <f t="shared" si="52"/>
        <v>0</v>
      </c>
      <c r="S241" s="321">
        <f t="shared" si="53"/>
        <v>0</v>
      </c>
    </row>
    <row r="242" spans="1:19">
      <c r="A242" s="154"/>
      <c r="B242" s="57"/>
      <c r="C242" s="24">
        <f t="shared" si="44"/>
        <v>1</v>
      </c>
      <c r="D242" s="675"/>
      <c r="E242" s="24">
        <f t="shared" si="45"/>
        <v>0.02</v>
      </c>
      <c r="F242" s="675"/>
      <c r="G242" s="24">
        <f t="shared" si="46"/>
        <v>1</v>
      </c>
      <c r="H242" s="675"/>
      <c r="I242" s="24">
        <f t="shared" si="47"/>
        <v>1</v>
      </c>
      <c r="J242" s="675"/>
      <c r="K242" s="24">
        <f t="shared" si="48"/>
        <v>1</v>
      </c>
      <c r="L242" s="675"/>
      <c r="M242" s="24">
        <f t="shared" si="49"/>
        <v>1</v>
      </c>
      <c r="N242" s="675"/>
      <c r="O242" s="24">
        <f t="shared" si="50"/>
        <v>1</v>
      </c>
      <c r="P242" s="675"/>
      <c r="Q242" s="24">
        <f t="shared" si="51"/>
        <v>1</v>
      </c>
      <c r="R242" s="671">
        <f t="shared" si="52"/>
        <v>0</v>
      </c>
      <c r="S242" s="321">
        <f t="shared" si="53"/>
        <v>0</v>
      </c>
    </row>
    <row r="243" spans="1:19">
      <c r="A243" s="154"/>
      <c r="B243" s="57"/>
      <c r="C243" s="24">
        <f t="shared" si="44"/>
        <v>1</v>
      </c>
      <c r="D243" s="675"/>
      <c r="E243" s="24">
        <f t="shared" si="45"/>
        <v>0.02</v>
      </c>
      <c r="F243" s="675"/>
      <c r="G243" s="24">
        <f t="shared" si="46"/>
        <v>1</v>
      </c>
      <c r="H243" s="675"/>
      <c r="I243" s="24">
        <f t="shared" si="47"/>
        <v>1</v>
      </c>
      <c r="J243" s="675"/>
      <c r="K243" s="24">
        <f t="shared" si="48"/>
        <v>1</v>
      </c>
      <c r="L243" s="675"/>
      <c r="M243" s="24">
        <f t="shared" si="49"/>
        <v>1</v>
      </c>
      <c r="N243" s="675"/>
      <c r="O243" s="24">
        <f t="shared" si="50"/>
        <v>1</v>
      </c>
      <c r="P243" s="675"/>
      <c r="Q243" s="24">
        <f t="shared" si="51"/>
        <v>1</v>
      </c>
      <c r="R243" s="671">
        <f t="shared" si="52"/>
        <v>0</v>
      </c>
      <c r="S243" s="321">
        <f t="shared" si="53"/>
        <v>0</v>
      </c>
    </row>
    <row r="244" spans="1:19">
      <c r="A244" s="154"/>
      <c r="B244" s="57"/>
      <c r="C244" s="24">
        <f t="shared" si="44"/>
        <v>1</v>
      </c>
      <c r="D244" s="675"/>
      <c r="E244" s="24">
        <f t="shared" si="45"/>
        <v>0.02</v>
      </c>
      <c r="F244" s="675"/>
      <c r="G244" s="24">
        <f t="shared" si="46"/>
        <v>1</v>
      </c>
      <c r="H244" s="675"/>
      <c r="I244" s="24">
        <f t="shared" si="47"/>
        <v>1</v>
      </c>
      <c r="J244" s="675"/>
      <c r="K244" s="24">
        <f t="shared" si="48"/>
        <v>1</v>
      </c>
      <c r="L244" s="675"/>
      <c r="M244" s="24">
        <f t="shared" si="49"/>
        <v>1</v>
      </c>
      <c r="N244" s="675"/>
      <c r="O244" s="24">
        <f t="shared" si="50"/>
        <v>1</v>
      </c>
      <c r="P244" s="675"/>
      <c r="Q244" s="24">
        <f t="shared" si="51"/>
        <v>1</v>
      </c>
      <c r="R244" s="671">
        <f t="shared" si="52"/>
        <v>0</v>
      </c>
      <c r="S244" s="321">
        <f t="shared" si="53"/>
        <v>0</v>
      </c>
    </row>
    <row r="245" spans="1:19">
      <c r="A245" s="154"/>
      <c r="B245" s="57"/>
      <c r="C245" s="24">
        <f t="shared" si="44"/>
        <v>1</v>
      </c>
      <c r="D245" s="675"/>
      <c r="E245" s="24">
        <f t="shared" si="45"/>
        <v>0.02</v>
      </c>
      <c r="F245" s="675"/>
      <c r="G245" s="24">
        <f t="shared" si="46"/>
        <v>1</v>
      </c>
      <c r="H245" s="675"/>
      <c r="I245" s="24">
        <f t="shared" si="47"/>
        <v>1</v>
      </c>
      <c r="J245" s="675"/>
      <c r="K245" s="24">
        <f t="shared" si="48"/>
        <v>1</v>
      </c>
      <c r="L245" s="675"/>
      <c r="M245" s="24">
        <f t="shared" si="49"/>
        <v>1</v>
      </c>
      <c r="N245" s="675"/>
      <c r="O245" s="24">
        <f t="shared" si="50"/>
        <v>1</v>
      </c>
      <c r="P245" s="675"/>
      <c r="Q245" s="24">
        <f t="shared" si="51"/>
        <v>1</v>
      </c>
      <c r="R245" s="671">
        <f t="shared" si="52"/>
        <v>0</v>
      </c>
      <c r="S245" s="321">
        <f t="shared" si="53"/>
        <v>0</v>
      </c>
    </row>
    <row r="246" spans="1:19">
      <c r="A246" s="154"/>
      <c r="B246" s="57"/>
      <c r="C246" s="24">
        <f t="shared" si="44"/>
        <v>1</v>
      </c>
      <c r="D246" s="675"/>
      <c r="E246" s="24">
        <f t="shared" si="45"/>
        <v>0.02</v>
      </c>
      <c r="F246" s="675"/>
      <c r="G246" s="24">
        <f t="shared" si="46"/>
        <v>1</v>
      </c>
      <c r="H246" s="675"/>
      <c r="I246" s="24">
        <f t="shared" si="47"/>
        <v>1</v>
      </c>
      <c r="J246" s="675"/>
      <c r="K246" s="24">
        <f t="shared" si="48"/>
        <v>1</v>
      </c>
      <c r="L246" s="675"/>
      <c r="M246" s="24">
        <f t="shared" si="49"/>
        <v>1</v>
      </c>
      <c r="N246" s="675"/>
      <c r="O246" s="24">
        <f t="shared" si="50"/>
        <v>1</v>
      </c>
      <c r="P246" s="675"/>
      <c r="Q246" s="24">
        <f t="shared" si="51"/>
        <v>1</v>
      </c>
      <c r="R246" s="671">
        <f t="shared" si="52"/>
        <v>0</v>
      </c>
      <c r="S246" s="321">
        <f t="shared" si="53"/>
        <v>0</v>
      </c>
    </row>
    <row r="247" spans="1:19">
      <c r="A247" s="154"/>
      <c r="B247" s="57"/>
      <c r="C247" s="24">
        <f t="shared" si="44"/>
        <v>1</v>
      </c>
      <c r="D247" s="675"/>
      <c r="E247" s="24">
        <f t="shared" si="45"/>
        <v>0.02</v>
      </c>
      <c r="F247" s="675"/>
      <c r="G247" s="24">
        <f t="shared" si="46"/>
        <v>1</v>
      </c>
      <c r="H247" s="675"/>
      <c r="I247" s="24">
        <f t="shared" si="47"/>
        <v>1</v>
      </c>
      <c r="J247" s="675"/>
      <c r="K247" s="24">
        <f t="shared" si="48"/>
        <v>1</v>
      </c>
      <c r="L247" s="675"/>
      <c r="M247" s="24">
        <f t="shared" si="49"/>
        <v>1</v>
      </c>
      <c r="N247" s="675"/>
      <c r="O247" s="24">
        <f t="shared" si="50"/>
        <v>1</v>
      </c>
      <c r="P247" s="675"/>
      <c r="Q247" s="24">
        <f t="shared" si="51"/>
        <v>1</v>
      </c>
      <c r="R247" s="671">
        <f t="shared" si="52"/>
        <v>0</v>
      </c>
      <c r="S247" s="321">
        <f t="shared" si="53"/>
        <v>0</v>
      </c>
    </row>
    <row r="248" spans="1:19">
      <c r="A248" s="154"/>
      <c r="B248" s="57"/>
      <c r="C248" s="24">
        <f t="shared" si="44"/>
        <v>1</v>
      </c>
      <c r="D248" s="675"/>
      <c r="E248" s="24">
        <f t="shared" si="45"/>
        <v>0.02</v>
      </c>
      <c r="F248" s="675"/>
      <c r="G248" s="24">
        <f t="shared" si="46"/>
        <v>1</v>
      </c>
      <c r="H248" s="675"/>
      <c r="I248" s="24">
        <f t="shared" si="47"/>
        <v>1</v>
      </c>
      <c r="J248" s="675"/>
      <c r="K248" s="24">
        <f t="shared" si="48"/>
        <v>1</v>
      </c>
      <c r="L248" s="675"/>
      <c r="M248" s="24">
        <f t="shared" si="49"/>
        <v>1</v>
      </c>
      <c r="N248" s="675"/>
      <c r="O248" s="24">
        <f t="shared" si="50"/>
        <v>1</v>
      </c>
      <c r="P248" s="675"/>
      <c r="Q248" s="24">
        <f t="shared" si="51"/>
        <v>1</v>
      </c>
      <c r="R248" s="671">
        <f t="shared" si="52"/>
        <v>0</v>
      </c>
      <c r="S248" s="321">
        <f t="shared" si="53"/>
        <v>0</v>
      </c>
    </row>
    <row r="249" spans="1:19">
      <c r="A249" s="154"/>
      <c r="B249" s="57"/>
      <c r="C249" s="24">
        <f t="shared" si="44"/>
        <v>1</v>
      </c>
      <c r="D249" s="675"/>
      <c r="E249" s="24">
        <f t="shared" si="45"/>
        <v>0.02</v>
      </c>
      <c r="F249" s="675"/>
      <c r="G249" s="24">
        <f t="shared" si="46"/>
        <v>1</v>
      </c>
      <c r="H249" s="675"/>
      <c r="I249" s="24">
        <f t="shared" si="47"/>
        <v>1</v>
      </c>
      <c r="J249" s="675"/>
      <c r="K249" s="24">
        <f t="shared" si="48"/>
        <v>1</v>
      </c>
      <c r="L249" s="675"/>
      <c r="M249" s="24">
        <f t="shared" si="49"/>
        <v>1</v>
      </c>
      <c r="N249" s="675"/>
      <c r="O249" s="24">
        <f t="shared" si="50"/>
        <v>1</v>
      </c>
      <c r="P249" s="675"/>
      <c r="Q249" s="24">
        <f t="shared" si="51"/>
        <v>1</v>
      </c>
      <c r="R249" s="671">
        <f t="shared" si="52"/>
        <v>0</v>
      </c>
      <c r="S249" s="321">
        <f t="shared" si="53"/>
        <v>0</v>
      </c>
    </row>
    <row r="250" spans="1:19">
      <c r="A250" s="154"/>
      <c r="B250" s="57"/>
      <c r="C250" s="24">
        <f t="shared" si="44"/>
        <v>1</v>
      </c>
      <c r="D250" s="675"/>
      <c r="E250" s="24">
        <f t="shared" si="45"/>
        <v>0.02</v>
      </c>
      <c r="F250" s="675"/>
      <c r="G250" s="24">
        <f t="shared" si="46"/>
        <v>1</v>
      </c>
      <c r="H250" s="675"/>
      <c r="I250" s="24">
        <f t="shared" si="47"/>
        <v>1</v>
      </c>
      <c r="J250" s="675"/>
      <c r="K250" s="24">
        <f t="shared" si="48"/>
        <v>1</v>
      </c>
      <c r="L250" s="675"/>
      <c r="M250" s="24">
        <f t="shared" si="49"/>
        <v>1</v>
      </c>
      <c r="N250" s="675"/>
      <c r="O250" s="24">
        <f t="shared" si="50"/>
        <v>1</v>
      </c>
      <c r="P250" s="675"/>
      <c r="Q250" s="24">
        <f t="shared" si="51"/>
        <v>1</v>
      </c>
      <c r="R250" s="671">
        <f t="shared" si="52"/>
        <v>0</v>
      </c>
      <c r="S250" s="321">
        <f t="shared" si="53"/>
        <v>0</v>
      </c>
    </row>
    <row r="251" spans="1:19">
      <c r="A251" s="154"/>
      <c r="B251" s="57"/>
      <c r="C251" s="24">
        <f t="shared" si="44"/>
        <v>1</v>
      </c>
      <c r="D251" s="675"/>
      <c r="E251" s="24">
        <f t="shared" si="45"/>
        <v>0.02</v>
      </c>
      <c r="F251" s="675"/>
      <c r="G251" s="24">
        <f t="shared" si="46"/>
        <v>1</v>
      </c>
      <c r="H251" s="675"/>
      <c r="I251" s="24">
        <f t="shared" si="47"/>
        <v>1</v>
      </c>
      <c r="J251" s="675"/>
      <c r="K251" s="24">
        <f t="shared" si="48"/>
        <v>1</v>
      </c>
      <c r="L251" s="675"/>
      <c r="M251" s="24">
        <f t="shared" si="49"/>
        <v>1</v>
      </c>
      <c r="N251" s="675"/>
      <c r="O251" s="24">
        <f t="shared" si="50"/>
        <v>1</v>
      </c>
      <c r="P251" s="675"/>
      <c r="Q251" s="24">
        <f t="shared" si="51"/>
        <v>1</v>
      </c>
      <c r="R251" s="671">
        <f t="shared" si="52"/>
        <v>0</v>
      </c>
      <c r="S251" s="321">
        <f t="shared" si="53"/>
        <v>0</v>
      </c>
    </row>
    <row r="252" spans="1:19">
      <c r="A252" s="154"/>
      <c r="B252" s="57"/>
      <c r="C252" s="24">
        <f t="shared" si="44"/>
        <v>1</v>
      </c>
      <c r="D252" s="675"/>
      <c r="E252" s="24">
        <f t="shared" si="45"/>
        <v>0.02</v>
      </c>
      <c r="F252" s="675"/>
      <c r="G252" s="24">
        <f t="shared" si="46"/>
        <v>1</v>
      </c>
      <c r="H252" s="675"/>
      <c r="I252" s="24">
        <f t="shared" si="47"/>
        <v>1</v>
      </c>
      <c r="J252" s="675"/>
      <c r="K252" s="24">
        <f t="shared" si="48"/>
        <v>1</v>
      </c>
      <c r="L252" s="675"/>
      <c r="M252" s="24">
        <f t="shared" si="49"/>
        <v>1</v>
      </c>
      <c r="N252" s="675"/>
      <c r="O252" s="24">
        <f t="shared" si="50"/>
        <v>1</v>
      </c>
      <c r="P252" s="675"/>
      <c r="Q252" s="24">
        <f t="shared" si="51"/>
        <v>1</v>
      </c>
      <c r="R252" s="671">
        <f t="shared" si="52"/>
        <v>0</v>
      </c>
      <c r="S252" s="321">
        <f t="shared" si="53"/>
        <v>0</v>
      </c>
    </row>
    <row r="253" spans="1:19">
      <c r="A253" s="154"/>
      <c r="B253" s="57"/>
      <c r="C253" s="24">
        <f t="shared" si="44"/>
        <v>1</v>
      </c>
      <c r="D253" s="675"/>
      <c r="E253" s="24">
        <f t="shared" si="45"/>
        <v>0.02</v>
      </c>
      <c r="F253" s="675"/>
      <c r="G253" s="24">
        <f t="shared" si="46"/>
        <v>1</v>
      </c>
      <c r="H253" s="675"/>
      <c r="I253" s="24">
        <f t="shared" si="47"/>
        <v>1</v>
      </c>
      <c r="J253" s="675"/>
      <c r="K253" s="24">
        <f t="shared" si="48"/>
        <v>1</v>
      </c>
      <c r="L253" s="675"/>
      <c r="M253" s="24">
        <f t="shared" si="49"/>
        <v>1</v>
      </c>
      <c r="N253" s="675"/>
      <c r="O253" s="24">
        <f t="shared" si="50"/>
        <v>1</v>
      </c>
      <c r="P253" s="675"/>
      <c r="Q253" s="24">
        <f t="shared" si="51"/>
        <v>1</v>
      </c>
      <c r="R253" s="671">
        <f t="shared" si="52"/>
        <v>0</v>
      </c>
      <c r="S253" s="321">
        <f t="shared" si="53"/>
        <v>0</v>
      </c>
    </row>
    <row r="254" spans="1:19">
      <c r="A254" s="154"/>
      <c r="B254" s="57"/>
      <c r="C254" s="24">
        <f t="shared" si="44"/>
        <v>1</v>
      </c>
      <c r="D254" s="675"/>
      <c r="E254" s="24">
        <f t="shared" si="45"/>
        <v>0.02</v>
      </c>
      <c r="F254" s="675"/>
      <c r="G254" s="24">
        <f t="shared" si="46"/>
        <v>1</v>
      </c>
      <c r="H254" s="675"/>
      <c r="I254" s="24">
        <f t="shared" si="47"/>
        <v>1</v>
      </c>
      <c r="J254" s="675"/>
      <c r="K254" s="24">
        <f t="shared" si="48"/>
        <v>1</v>
      </c>
      <c r="L254" s="675"/>
      <c r="M254" s="24">
        <f t="shared" si="49"/>
        <v>1</v>
      </c>
      <c r="N254" s="675"/>
      <c r="O254" s="24">
        <f t="shared" si="50"/>
        <v>1</v>
      </c>
      <c r="P254" s="675"/>
      <c r="Q254" s="24">
        <f t="shared" si="51"/>
        <v>1</v>
      </c>
      <c r="R254" s="671">
        <f t="shared" si="52"/>
        <v>0</v>
      </c>
      <c r="S254" s="321">
        <f t="shared" si="53"/>
        <v>0</v>
      </c>
    </row>
    <row r="255" spans="1:19">
      <c r="A255" s="154"/>
      <c r="B255" s="57"/>
      <c r="C255" s="24">
        <f t="shared" si="44"/>
        <v>1</v>
      </c>
      <c r="D255" s="675"/>
      <c r="E255" s="24">
        <f t="shared" si="45"/>
        <v>0.02</v>
      </c>
      <c r="F255" s="675"/>
      <c r="G255" s="24">
        <f t="shared" si="46"/>
        <v>1</v>
      </c>
      <c r="H255" s="675"/>
      <c r="I255" s="24">
        <f t="shared" si="47"/>
        <v>1</v>
      </c>
      <c r="J255" s="675"/>
      <c r="K255" s="24">
        <f t="shared" si="48"/>
        <v>1</v>
      </c>
      <c r="L255" s="675"/>
      <c r="M255" s="24">
        <f t="shared" si="49"/>
        <v>1</v>
      </c>
      <c r="N255" s="675"/>
      <c r="O255" s="24">
        <f t="shared" si="50"/>
        <v>1</v>
      </c>
      <c r="P255" s="675"/>
      <c r="Q255" s="24">
        <f t="shared" si="51"/>
        <v>1</v>
      </c>
      <c r="R255" s="671">
        <f t="shared" si="52"/>
        <v>0</v>
      </c>
      <c r="S255" s="321">
        <f t="shared" si="53"/>
        <v>0</v>
      </c>
    </row>
    <row r="256" spans="1:19">
      <c r="A256" s="154"/>
      <c r="B256" s="57"/>
      <c r="C256" s="24">
        <f t="shared" si="44"/>
        <v>1</v>
      </c>
      <c r="D256" s="675"/>
      <c r="E256" s="24">
        <f t="shared" si="45"/>
        <v>0.02</v>
      </c>
      <c r="F256" s="675"/>
      <c r="G256" s="24">
        <f t="shared" si="46"/>
        <v>1</v>
      </c>
      <c r="H256" s="675"/>
      <c r="I256" s="24">
        <f t="shared" si="47"/>
        <v>1</v>
      </c>
      <c r="J256" s="675"/>
      <c r="K256" s="24">
        <f t="shared" si="48"/>
        <v>1</v>
      </c>
      <c r="L256" s="675"/>
      <c r="M256" s="24">
        <f t="shared" si="49"/>
        <v>1</v>
      </c>
      <c r="N256" s="675"/>
      <c r="O256" s="24">
        <f t="shared" si="50"/>
        <v>1</v>
      </c>
      <c r="P256" s="675"/>
      <c r="Q256" s="24">
        <f t="shared" si="51"/>
        <v>1</v>
      </c>
      <c r="R256" s="671">
        <f t="shared" si="52"/>
        <v>0</v>
      </c>
      <c r="S256" s="321">
        <f t="shared" si="53"/>
        <v>0</v>
      </c>
    </row>
    <row r="257" spans="1:19">
      <c r="A257" s="154"/>
      <c r="B257" s="57"/>
      <c r="C257" s="24">
        <f t="shared" si="44"/>
        <v>1</v>
      </c>
      <c r="D257" s="675"/>
      <c r="E257" s="24">
        <f t="shared" si="45"/>
        <v>0.02</v>
      </c>
      <c r="F257" s="675"/>
      <c r="G257" s="24">
        <f t="shared" si="46"/>
        <v>1</v>
      </c>
      <c r="H257" s="675"/>
      <c r="I257" s="24">
        <f t="shared" si="47"/>
        <v>1</v>
      </c>
      <c r="J257" s="675"/>
      <c r="K257" s="24">
        <f t="shared" si="48"/>
        <v>1</v>
      </c>
      <c r="L257" s="675"/>
      <c r="M257" s="24">
        <f t="shared" si="49"/>
        <v>1</v>
      </c>
      <c r="N257" s="675"/>
      <c r="O257" s="24">
        <f t="shared" si="50"/>
        <v>1</v>
      </c>
      <c r="P257" s="675"/>
      <c r="Q257" s="24">
        <f t="shared" si="51"/>
        <v>1</v>
      </c>
      <c r="R257" s="671">
        <f t="shared" si="52"/>
        <v>0</v>
      </c>
      <c r="S257" s="321">
        <f t="shared" si="53"/>
        <v>0</v>
      </c>
    </row>
    <row r="258" spans="1:19">
      <c r="A258" s="154"/>
      <c r="B258" s="57"/>
      <c r="C258" s="24">
        <f t="shared" si="44"/>
        <v>1</v>
      </c>
      <c r="D258" s="675"/>
      <c r="E258" s="24">
        <f t="shared" si="45"/>
        <v>0.02</v>
      </c>
      <c r="F258" s="675"/>
      <c r="G258" s="24">
        <f t="shared" si="46"/>
        <v>1</v>
      </c>
      <c r="H258" s="675"/>
      <c r="I258" s="24">
        <f t="shared" si="47"/>
        <v>1</v>
      </c>
      <c r="J258" s="675"/>
      <c r="K258" s="24">
        <f t="shared" si="48"/>
        <v>1</v>
      </c>
      <c r="L258" s="675"/>
      <c r="M258" s="24">
        <f t="shared" si="49"/>
        <v>1</v>
      </c>
      <c r="N258" s="675"/>
      <c r="O258" s="24">
        <f t="shared" si="50"/>
        <v>1</v>
      </c>
      <c r="P258" s="675"/>
      <c r="Q258" s="24">
        <f t="shared" si="51"/>
        <v>1</v>
      </c>
      <c r="R258" s="671">
        <f t="shared" si="52"/>
        <v>0</v>
      </c>
      <c r="S258" s="321">
        <f t="shared" si="53"/>
        <v>0</v>
      </c>
    </row>
    <row r="259" spans="1:19">
      <c r="A259" s="154"/>
      <c r="B259" s="57"/>
      <c r="C259" s="24">
        <f t="shared" si="44"/>
        <v>1</v>
      </c>
      <c r="D259" s="675"/>
      <c r="E259" s="24">
        <f t="shared" si="45"/>
        <v>0.02</v>
      </c>
      <c r="F259" s="675"/>
      <c r="G259" s="24">
        <f t="shared" si="46"/>
        <v>1</v>
      </c>
      <c r="H259" s="675"/>
      <c r="I259" s="24">
        <f t="shared" si="47"/>
        <v>1</v>
      </c>
      <c r="J259" s="675"/>
      <c r="K259" s="24">
        <f t="shared" si="48"/>
        <v>1</v>
      </c>
      <c r="L259" s="675"/>
      <c r="M259" s="24">
        <f t="shared" si="49"/>
        <v>1</v>
      </c>
      <c r="N259" s="675"/>
      <c r="O259" s="24">
        <f t="shared" si="50"/>
        <v>1</v>
      </c>
      <c r="P259" s="675"/>
      <c r="Q259" s="24">
        <f t="shared" si="51"/>
        <v>1</v>
      </c>
      <c r="R259" s="671">
        <f t="shared" si="52"/>
        <v>0</v>
      </c>
      <c r="S259" s="321">
        <f t="shared" si="53"/>
        <v>0</v>
      </c>
    </row>
    <row r="260" spans="1:19">
      <c r="A260" s="154"/>
      <c r="B260" s="57"/>
      <c r="C260" s="24">
        <f t="shared" si="44"/>
        <v>1</v>
      </c>
      <c r="D260" s="675"/>
      <c r="E260" s="24">
        <f t="shared" si="45"/>
        <v>0.02</v>
      </c>
      <c r="F260" s="675"/>
      <c r="G260" s="24">
        <f t="shared" si="46"/>
        <v>1</v>
      </c>
      <c r="H260" s="675"/>
      <c r="I260" s="24">
        <f t="shared" si="47"/>
        <v>1</v>
      </c>
      <c r="J260" s="675"/>
      <c r="K260" s="24">
        <f t="shared" si="48"/>
        <v>1</v>
      </c>
      <c r="L260" s="675"/>
      <c r="M260" s="24">
        <f t="shared" si="49"/>
        <v>1</v>
      </c>
      <c r="N260" s="675"/>
      <c r="O260" s="24">
        <f t="shared" si="50"/>
        <v>1</v>
      </c>
      <c r="P260" s="675"/>
      <c r="Q260" s="24">
        <f t="shared" si="51"/>
        <v>1</v>
      </c>
      <c r="R260" s="671">
        <f t="shared" si="52"/>
        <v>0</v>
      </c>
      <c r="S260" s="321">
        <f t="shared" si="53"/>
        <v>0</v>
      </c>
    </row>
    <row r="261" spans="1:19">
      <c r="A261" s="154"/>
      <c r="B261" s="57"/>
      <c r="C261" s="24">
        <f t="shared" si="44"/>
        <v>1</v>
      </c>
      <c r="D261" s="675"/>
      <c r="E261" s="24">
        <f t="shared" si="45"/>
        <v>0.02</v>
      </c>
      <c r="F261" s="675"/>
      <c r="G261" s="24">
        <f t="shared" si="46"/>
        <v>1</v>
      </c>
      <c r="H261" s="675"/>
      <c r="I261" s="24">
        <f t="shared" si="47"/>
        <v>1</v>
      </c>
      <c r="J261" s="675"/>
      <c r="K261" s="24">
        <f t="shared" si="48"/>
        <v>1</v>
      </c>
      <c r="L261" s="675"/>
      <c r="M261" s="24">
        <f t="shared" si="49"/>
        <v>1</v>
      </c>
      <c r="N261" s="675"/>
      <c r="O261" s="24">
        <f t="shared" si="50"/>
        <v>1</v>
      </c>
      <c r="P261" s="675"/>
      <c r="Q261" s="24">
        <f t="shared" si="51"/>
        <v>1</v>
      </c>
      <c r="R261" s="671">
        <f t="shared" si="52"/>
        <v>0</v>
      </c>
      <c r="S261" s="321">
        <f t="shared" si="53"/>
        <v>0</v>
      </c>
    </row>
    <row r="262" spans="1:19">
      <c r="A262" s="154"/>
      <c r="B262" s="57"/>
      <c r="C262" s="24">
        <f t="shared" si="44"/>
        <v>1</v>
      </c>
      <c r="D262" s="675"/>
      <c r="E262" s="24">
        <f t="shared" si="45"/>
        <v>0.02</v>
      </c>
      <c r="F262" s="675"/>
      <c r="G262" s="24">
        <f t="shared" si="46"/>
        <v>1</v>
      </c>
      <c r="H262" s="675"/>
      <c r="I262" s="24">
        <f t="shared" si="47"/>
        <v>1</v>
      </c>
      <c r="J262" s="675"/>
      <c r="K262" s="24">
        <f t="shared" si="48"/>
        <v>1</v>
      </c>
      <c r="L262" s="675"/>
      <c r="M262" s="24">
        <f t="shared" si="49"/>
        <v>1</v>
      </c>
      <c r="N262" s="675"/>
      <c r="O262" s="24">
        <f t="shared" si="50"/>
        <v>1</v>
      </c>
      <c r="P262" s="675"/>
      <c r="Q262" s="24">
        <f t="shared" si="51"/>
        <v>1</v>
      </c>
      <c r="R262" s="671">
        <f t="shared" si="52"/>
        <v>0</v>
      </c>
      <c r="S262" s="321">
        <f t="shared" si="53"/>
        <v>0</v>
      </c>
    </row>
    <row r="263" spans="1:19">
      <c r="A263" s="154"/>
      <c r="B263" s="57"/>
      <c r="C263" s="24">
        <f t="shared" si="44"/>
        <v>1</v>
      </c>
      <c r="D263" s="675"/>
      <c r="E263" s="24">
        <f t="shared" si="45"/>
        <v>0.02</v>
      </c>
      <c r="F263" s="675"/>
      <c r="G263" s="24">
        <f t="shared" si="46"/>
        <v>1</v>
      </c>
      <c r="H263" s="675"/>
      <c r="I263" s="24">
        <f t="shared" si="47"/>
        <v>1</v>
      </c>
      <c r="J263" s="675"/>
      <c r="K263" s="24">
        <f t="shared" si="48"/>
        <v>1</v>
      </c>
      <c r="L263" s="675"/>
      <c r="M263" s="24">
        <f t="shared" si="49"/>
        <v>1</v>
      </c>
      <c r="N263" s="675"/>
      <c r="O263" s="24">
        <f t="shared" si="50"/>
        <v>1</v>
      </c>
      <c r="P263" s="675"/>
      <c r="Q263" s="24">
        <f t="shared" si="51"/>
        <v>1</v>
      </c>
      <c r="R263" s="671">
        <f t="shared" si="52"/>
        <v>0</v>
      </c>
      <c r="S263" s="321">
        <f t="shared" si="53"/>
        <v>0</v>
      </c>
    </row>
    <row r="264" spans="1:19">
      <c r="A264" s="154"/>
      <c r="B264" s="57"/>
      <c r="C264" s="24">
        <f t="shared" si="44"/>
        <v>1</v>
      </c>
      <c r="D264" s="675"/>
      <c r="E264" s="24">
        <f t="shared" si="45"/>
        <v>0.02</v>
      </c>
      <c r="F264" s="675"/>
      <c r="G264" s="24">
        <f t="shared" si="46"/>
        <v>1</v>
      </c>
      <c r="H264" s="675"/>
      <c r="I264" s="24">
        <f t="shared" si="47"/>
        <v>1</v>
      </c>
      <c r="J264" s="675"/>
      <c r="K264" s="24">
        <f t="shared" si="48"/>
        <v>1</v>
      </c>
      <c r="L264" s="675"/>
      <c r="M264" s="24">
        <f t="shared" si="49"/>
        <v>1</v>
      </c>
      <c r="N264" s="675"/>
      <c r="O264" s="24">
        <f t="shared" si="50"/>
        <v>1</v>
      </c>
      <c r="P264" s="675"/>
      <c r="Q264" s="24">
        <f t="shared" si="51"/>
        <v>1</v>
      </c>
      <c r="R264" s="671">
        <f t="shared" si="52"/>
        <v>0</v>
      </c>
      <c r="S264" s="321">
        <f t="shared" si="53"/>
        <v>0</v>
      </c>
    </row>
    <row r="265" spans="1:19">
      <c r="A265" s="154"/>
      <c r="B265" s="57"/>
      <c r="C265" s="24">
        <f t="shared" si="44"/>
        <v>1</v>
      </c>
      <c r="D265" s="675"/>
      <c r="E265" s="24">
        <f t="shared" si="45"/>
        <v>0.02</v>
      </c>
      <c r="F265" s="675"/>
      <c r="G265" s="24">
        <f t="shared" si="46"/>
        <v>1</v>
      </c>
      <c r="H265" s="675"/>
      <c r="I265" s="24">
        <f t="shared" si="47"/>
        <v>1</v>
      </c>
      <c r="J265" s="675"/>
      <c r="K265" s="24">
        <f t="shared" si="48"/>
        <v>1</v>
      </c>
      <c r="L265" s="675"/>
      <c r="M265" s="24">
        <f t="shared" si="49"/>
        <v>1</v>
      </c>
      <c r="N265" s="675"/>
      <c r="O265" s="24">
        <f t="shared" si="50"/>
        <v>1</v>
      </c>
      <c r="P265" s="675"/>
      <c r="Q265" s="24">
        <f t="shared" si="51"/>
        <v>1</v>
      </c>
      <c r="R265" s="671">
        <f t="shared" si="52"/>
        <v>0</v>
      </c>
      <c r="S265" s="321">
        <f t="shared" si="53"/>
        <v>0</v>
      </c>
    </row>
    <row r="266" spans="1:19">
      <c r="A266" s="154"/>
      <c r="B266" s="57"/>
      <c r="C266" s="24">
        <f t="shared" si="44"/>
        <v>1</v>
      </c>
      <c r="D266" s="675"/>
      <c r="E266" s="24">
        <f t="shared" si="45"/>
        <v>0.02</v>
      </c>
      <c r="F266" s="675"/>
      <c r="G266" s="24">
        <f t="shared" si="46"/>
        <v>1</v>
      </c>
      <c r="H266" s="675"/>
      <c r="I266" s="24">
        <f t="shared" si="47"/>
        <v>1</v>
      </c>
      <c r="J266" s="675"/>
      <c r="K266" s="24">
        <f t="shared" si="48"/>
        <v>1</v>
      </c>
      <c r="L266" s="675"/>
      <c r="M266" s="24">
        <f t="shared" si="49"/>
        <v>1</v>
      </c>
      <c r="N266" s="675"/>
      <c r="O266" s="24">
        <f t="shared" si="50"/>
        <v>1</v>
      </c>
      <c r="P266" s="675"/>
      <c r="Q266" s="24">
        <f t="shared" si="51"/>
        <v>1</v>
      </c>
      <c r="R266" s="671">
        <f t="shared" si="52"/>
        <v>0</v>
      </c>
      <c r="S266" s="321">
        <f t="shared" si="53"/>
        <v>0</v>
      </c>
    </row>
    <row r="267" spans="1:19">
      <c r="A267" s="154"/>
      <c r="B267" s="57"/>
      <c r="C267" s="24">
        <f t="shared" si="44"/>
        <v>1</v>
      </c>
      <c r="D267" s="675"/>
      <c r="E267" s="24">
        <f t="shared" si="45"/>
        <v>0.02</v>
      </c>
      <c r="F267" s="675"/>
      <c r="G267" s="24">
        <f t="shared" si="46"/>
        <v>1</v>
      </c>
      <c r="H267" s="675"/>
      <c r="I267" s="24">
        <f t="shared" si="47"/>
        <v>1</v>
      </c>
      <c r="J267" s="675"/>
      <c r="K267" s="24">
        <f t="shared" si="48"/>
        <v>1</v>
      </c>
      <c r="L267" s="675"/>
      <c r="M267" s="24">
        <f t="shared" si="49"/>
        <v>1</v>
      </c>
      <c r="N267" s="675"/>
      <c r="O267" s="24">
        <f t="shared" si="50"/>
        <v>1</v>
      </c>
      <c r="P267" s="675"/>
      <c r="Q267" s="24">
        <f t="shared" si="51"/>
        <v>1</v>
      </c>
      <c r="R267" s="671">
        <f t="shared" si="52"/>
        <v>0</v>
      </c>
      <c r="S267" s="321">
        <f t="shared" si="53"/>
        <v>0</v>
      </c>
    </row>
    <row r="268" spans="1:19">
      <c r="A268" s="154"/>
      <c r="B268" s="57"/>
      <c r="C268" s="24">
        <f t="shared" si="44"/>
        <v>1</v>
      </c>
      <c r="D268" s="675"/>
      <c r="E268" s="24">
        <f t="shared" si="45"/>
        <v>0.02</v>
      </c>
      <c r="F268" s="675"/>
      <c r="G268" s="24">
        <f t="shared" si="46"/>
        <v>1</v>
      </c>
      <c r="H268" s="675"/>
      <c r="I268" s="24">
        <f t="shared" si="47"/>
        <v>1</v>
      </c>
      <c r="J268" s="675"/>
      <c r="K268" s="24">
        <f t="shared" si="48"/>
        <v>1</v>
      </c>
      <c r="L268" s="675"/>
      <c r="M268" s="24">
        <f t="shared" si="49"/>
        <v>1</v>
      </c>
      <c r="N268" s="675"/>
      <c r="O268" s="24">
        <f t="shared" si="50"/>
        <v>1</v>
      </c>
      <c r="P268" s="675"/>
      <c r="Q268" s="24">
        <f t="shared" si="51"/>
        <v>1</v>
      </c>
      <c r="R268" s="671">
        <f t="shared" si="52"/>
        <v>0</v>
      </c>
      <c r="S268" s="321">
        <f t="shared" si="53"/>
        <v>0</v>
      </c>
    </row>
    <row r="269" spans="1:19">
      <c r="A269" s="154"/>
      <c r="B269" s="57"/>
      <c r="C269" s="24">
        <f t="shared" si="44"/>
        <v>1</v>
      </c>
      <c r="D269" s="675"/>
      <c r="E269" s="24">
        <f t="shared" si="45"/>
        <v>0.02</v>
      </c>
      <c r="F269" s="675"/>
      <c r="G269" s="24">
        <f t="shared" si="46"/>
        <v>1</v>
      </c>
      <c r="H269" s="675"/>
      <c r="I269" s="24">
        <f t="shared" si="47"/>
        <v>1</v>
      </c>
      <c r="J269" s="675"/>
      <c r="K269" s="24">
        <f t="shared" si="48"/>
        <v>1</v>
      </c>
      <c r="L269" s="675"/>
      <c r="M269" s="24">
        <f t="shared" si="49"/>
        <v>1</v>
      </c>
      <c r="N269" s="675"/>
      <c r="O269" s="24">
        <f t="shared" si="50"/>
        <v>1</v>
      </c>
      <c r="P269" s="675"/>
      <c r="Q269" s="24">
        <f t="shared" si="51"/>
        <v>1</v>
      </c>
      <c r="R269" s="671">
        <f t="shared" si="52"/>
        <v>0</v>
      </c>
      <c r="S269" s="321">
        <f t="shared" si="53"/>
        <v>0</v>
      </c>
    </row>
    <row r="270" spans="1:19">
      <c r="A270" s="154"/>
      <c r="B270" s="57"/>
      <c r="C270" s="24">
        <f t="shared" si="44"/>
        <v>1</v>
      </c>
      <c r="D270" s="675"/>
      <c r="E270" s="24">
        <f t="shared" si="45"/>
        <v>0.02</v>
      </c>
      <c r="F270" s="675"/>
      <c r="G270" s="24">
        <f t="shared" si="46"/>
        <v>1</v>
      </c>
      <c r="H270" s="675"/>
      <c r="I270" s="24">
        <f t="shared" si="47"/>
        <v>1</v>
      </c>
      <c r="J270" s="675"/>
      <c r="K270" s="24">
        <f t="shared" si="48"/>
        <v>1</v>
      </c>
      <c r="L270" s="675"/>
      <c r="M270" s="24">
        <f t="shared" si="49"/>
        <v>1</v>
      </c>
      <c r="N270" s="675"/>
      <c r="O270" s="24">
        <f t="shared" si="50"/>
        <v>1</v>
      </c>
      <c r="P270" s="675"/>
      <c r="Q270" s="24">
        <f t="shared" si="51"/>
        <v>1</v>
      </c>
      <c r="R270" s="671">
        <f t="shared" si="52"/>
        <v>0</v>
      </c>
      <c r="S270" s="321">
        <f t="shared" si="53"/>
        <v>0</v>
      </c>
    </row>
    <row r="271" spans="1:19">
      <c r="A271" s="154"/>
      <c r="B271" s="57"/>
      <c r="C271" s="24">
        <f t="shared" si="44"/>
        <v>1</v>
      </c>
      <c r="D271" s="675"/>
      <c r="E271" s="24">
        <f t="shared" si="45"/>
        <v>0.02</v>
      </c>
      <c r="F271" s="675"/>
      <c r="G271" s="24">
        <f t="shared" si="46"/>
        <v>1</v>
      </c>
      <c r="H271" s="675"/>
      <c r="I271" s="24">
        <f t="shared" si="47"/>
        <v>1</v>
      </c>
      <c r="J271" s="675"/>
      <c r="K271" s="24">
        <f t="shared" si="48"/>
        <v>1</v>
      </c>
      <c r="L271" s="675"/>
      <c r="M271" s="24">
        <f t="shared" si="49"/>
        <v>1</v>
      </c>
      <c r="N271" s="675"/>
      <c r="O271" s="24">
        <f t="shared" si="50"/>
        <v>1</v>
      </c>
      <c r="P271" s="675"/>
      <c r="Q271" s="24">
        <f t="shared" si="51"/>
        <v>1</v>
      </c>
      <c r="R271" s="671">
        <f t="shared" si="52"/>
        <v>0</v>
      </c>
      <c r="S271" s="321">
        <f t="shared" si="53"/>
        <v>0</v>
      </c>
    </row>
    <row r="272" spans="1:19">
      <c r="A272" s="154"/>
      <c r="B272" s="57"/>
      <c r="C272" s="24">
        <f t="shared" si="44"/>
        <v>1</v>
      </c>
      <c r="D272" s="675"/>
      <c r="E272" s="24">
        <f t="shared" si="45"/>
        <v>0.02</v>
      </c>
      <c r="F272" s="675"/>
      <c r="G272" s="24">
        <f t="shared" si="46"/>
        <v>1</v>
      </c>
      <c r="H272" s="675"/>
      <c r="I272" s="24">
        <f t="shared" si="47"/>
        <v>1</v>
      </c>
      <c r="J272" s="675"/>
      <c r="K272" s="24">
        <f t="shared" si="48"/>
        <v>1</v>
      </c>
      <c r="L272" s="675"/>
      <c r="M272" s="24">
        <f t="shared" si="49"/>
        <v>1</v>
      </c>
      <c r="N272" s="675"/>
      <c r="O272" s="24">
        <f t="shared" si="50"/>
        <v>1</v>
      </c>
      <c r="P272" s="675"/>
      <c r="Q272" s="24">
        <f t="shared" si="51"/>
        <v>1</v>
      </c>
      <c r="R272" s="671">
        <f t="shared" si="52"/>
        <v>0</v>
      </c>
      <c r="S272" s="321">
        <f t="shared" si="53"/>
        <v>0</v>
      </c>
    </row>
    <row r="273" spans="1:19">
      <c r="A273" s="154"/>
      <c r="B273" s="57"/>
      <c r="C273" s="24">
        <f t="shared" si="44"/>
        <v>1</v>
      </c>
      <c r="D273" s="675"/>
      <c r="E273" s="24">
        <f t="shared" si="45"/>
        <v>0.02</v>
      </c>
      <c r="F273" s="675"/>
      <c r="G273" s="24">
        <f t="shared" si="46"/>
        <v>1</v>
      </c>
      <c r="H273" s="675"/>
      <c r="I273" s="24">
        <f t="shared" si="47"/>
        <v>1</v>
      </c>
      <c r="J273" s="675"/>
      <c r="K273" s="24">
        <f t="shared" si="48"/>
        <v>1</v>
      </c>
      <c r="L273" s="675"/>
      <c r="M273" s="24">
        <f t="shared" si="49"/>
        <v>1</v>
      </c>
      <c r="N273" s="675"/>
      <c r="O273" s="24">
        <f t="shared" si="50"/>
        <v>1</v>
      </c>
      <c r="P273" s="675"/>
      <c r="Q273" s="24">
        <f t="shared" si="51"/>
        <v>1</v>
      </c>
      <c r="R273" s="671">
        <f t="shared" si="52"/>
        <v>0</v>
      </c>
      <c r="S273" s="321">
        <f t="shared" si="53"/>
        <v>0</v>
      </c>
    </row>
    <row r="274" spans="1:19">
      <c r="A274" s="154"/>
      <c r="B274" s="57"/>
      <c r="C274" s="24">
        <f t="shared" si="44"/>
        <v>1</v>
      </c>
      <c r="D274" s="675"/>
      <c r="E274" s="24">
        <f t="shared" si="45"/>
        <v>0.02</v>
      </c>
      <c r="F274" s="675"/>
      <c r="G274" s="24">
        <f t="shared" si="46"/>
        <v>1</v>
      </c>
      <c r="H274" s="675"/>
      <c r="I274" s="24">
        <f t="shared" si="47"/>
        <v>1</v>
      </c>
      <c r="J274" s="675"/>
      <c r="K274" s="24">
        <f t="shared" si="48"/>
        <v>1</v>
      </c>
      <c r="L274" s="675"/>
      <c r="M274" s="24">
        <f t="shared" si="49"/>
        <v>1</v>
      </c>
      <c r="N274" s="675"/>
      <c r="O274" s="24">
        <f t="shared" si="50"/>
        <v>1</v>
      </c>
      <c r="P274" s="675"/>
      <c r="Q274" s="24">
        <f t="shared" si="51"/>
        <v>1</v>
      </c>
      <c r="R274" s="671">
        <f t="shared" si="52"/>
        <v>0</v>
      </c>
      <c r="S274" s="321">
        <f t="shared" si="53"/>
        <v>0</v>
      </c>
    </row>
    <row r="275" spans="1:19">
      <c r="A275" s="154"/>
      <c r="B275" s="57"/>
      <c r="C275" s="24">
        <f t="shared" si="44"/>
        <v>1</v>
      </c>
      <c r="D275" s="675"/>
      <c r="E275" s="24">
        <f t="shared" si="45"/>
        <v>0.02</v>
      </c>
      <c r="F275" s="675"/>
      <c r="G275" s="24">
        <f t="shared" si="46"/>
        <v>1</v>
      </c>
      <c r="H275" s="675"/>
      <c r="I275" s="24">
        <f t="shared" si="47"/>
        <v>1</v>
      </c>
      <c r="J275" s="675"/>
      <c r="K275" s="24">
        <f t="shared" si="48"/>
        <v>1</v>
      </c>
      <c r="L275" s="675"/>
      <c r="M275" s="24">
        <f t="shared" si="49"/>
        <v>1</v>
      </c>
      <c r="N275" s="675"/>
      <c r="O275" s="24">
        <f t="shared" si="50"/>
        <v>1</v>
      </c>
      <c r="P275" s="675"/>
      <c r="Q275" s="24">
        <f t="shared" si="51"/>
        <v>1</v>
      </c>
      <c r="R275" s="671">
        <f t="shared" si="52"/>
        <v>0</v>
      </c>
      <c r="S275" s="321">
        <f t="shared" si="53"/>
        <v>0</v>
      </c>
    </row>
    <row r="276" spans="1:19">
      <c r="A276" s="154"/>
      <c r="B276" s="57"/>
      <c r="C276" s="24">
        <f t="shared" si="44"/>
        <v>1</v>
      </c>
      <c r="D276" s="675"/>
      <c r="E276" s="24">
        <f t="shared" si="45"/>
        <v>0.02</v>
      </c>
      <c r="F276" s="675"/>
      <c r="G276" s="24">
        <f t="shared" si="46"/>
        <v>1</v>
      </c>
      <c r="H276" s="675"/>
      <c r="I276" s="24">
        <f t="shared" si="47"/>
        <v>1</v>
      </c>
      <c r="J276" s="675"/>
      <c r="K276" s="24">
        <f t="shared" si="48"/>
        <v>1</v>
      </c>
      <c r="L276" s="675"/>
      <c r="M276" s="24">
        <f t="shared" si="49"/>
        <v>1</v>
      </c>
      <c r="N276" s="675"/>
      <c r="O276" s="24">
        <f t="shared" si="50"/>
        <v>1</v>
      </c>
      <c r="P276" s="675"/>
      <c r="Q276" s="24">
        <f t="shared" si="51"/>
        <v>1</v>
      </c>
      <c r="R276" s="671">
        <f t="shared" si="52"/>
        <v>0</v>
      </c>
      <c r="S276" s="321">
        <f t="shared" si="53"/>
        <v>0</v>
      </c>
    </row>
    <row r="277" spans="1:19">
      <c r="A277" s="154"/>
      <c r="B277" s="57"/>
      <c r="C277" s="24">
        <f t="shared" si="44"/>
        <v>1</v>
      </c>
      <c r="D277" s="675"/>
      <c r="E277" s="24">
        <f t="shared" si="45"/>
        <v>0.02</v>
      </c>
      <c r="F277" s="675"/>
      <c r="G277" s="24">
        <f t="shared" si="46"/>
        <v>1</v>
      </c>
      <c r="H277" s="675"/>
      <c r="I277" s="24">
        <f t="shared" si="47"/>
        <v>1</v>
      </c>
      <c r="J277" s="675"/>
      <c r="K277" s="24">
        <f t="shared" si="48"/>
        <v>1</v>
      </c>
      <c r="L277" s="675"/>
      <c r="M277" s="24">
        <f t="shared" si="49"/>
        <v>1</v>
      </c>
      <c r="N277" s="675"/>
      <c r="O277" s="24">
        <f t="shared" si="50"/>
        <v>1</v>
      </c>
      <c r="P277" s="675"/>
      <c r="Q277" s="24">
        <f t="shared" si="51"/>
        <v>1</v>
      </c>
      <c r="R277" s="671">
        <f t="shared" si="52"/>
        <v>0</v>
      </c>
      <c r="S277" s="321">
        <f t="shared" si="53"/>
        <v>0</v>
      </c>
    </row>
    <row r="278" spans="1:19">
      <c r="A278" s="154"/>
      <c r="B278" s="57"/>
      <c r="C278" s="24">
        <f t="shared" si="44"/>
        <v>1</v>
      </c>
      <c r="D278" s="675"/>
      <c r="E278" s="24">
        <f t="shared" si="45"/>
        <v>0.02</v>
      </c>
      <c r="F278" s="675"/>
      <c r="G278" s="24">
        <f t="shared" si="46"/>
        <v>1</v>
      </c>
      <c r="H278" s="675"/>
      <c r="I278" s="24">
        <f t="shared" si="47"/>
        <v>1</v>
      </c>
      <c r="J278" s="675"/>
      <c r="K278" s="24">
        <f t="shared" si="48"/>
        <v>1</v>
      </c>
      <c r="L278" s="675"/>
      <c r="M278" s="24">
        <f t="shared" si="49"/>
        <v>1</v>
      </c>
      <c r="N278" s="675"/>
      <c r="O278" s="24">
        <f t="shared" si="50"/>
        <v>1</v>
      </c>
      <c r="P278" s="675"/>
      <c r="Q278" s="24">
        <f t="shared" si="51"/>
        <v>1</v>
      </c>
      <c r="R278" s="671">
        <f t="shared" si="52"/>
        <v>0</v>
      </c>
      <c r="S278" s="321">
        <f t="shared" si="53"/>
        <v>0</v>
      </c>
    </row>
    <row r="279" spans="1:19">
      <c r="A279" s="154"/>
      <c r="B279" s="57"/>
      <c r="C279" s="24">
        <f t="shared" si="44"/>
        <v>1</v>
      </c>
      <c r="D279" s="675"/>
      <c r="E279" s="24">
        <f t="shared" si="45"/>
        <v>0.02</v>
      </c>
      <c r="F279" s="675"/>
      <c r="G279" s="24">
        <f t="shared" si="46"/>
        <v>1</v>
      </c>
      <c r="H279" s="675"/>
      <c r="I279" s="24">
        <f t="shared" si="47"/>
        <v>1</v>
      </c>
      <c r="J279" s="675"/>
      <c r="K279" s="24">
        <f t="shared" si="48"/>
        <v>1</v>
      </c>
      <c r="L279" s="675"/>
      <c r="M279" s="24">
        <f t="shared" si="49"/>
        <v>1</v>
      </c>
      <c r="N279" s="675"/>
      <c r="O279" s="24">
        <f t="shared" si="50"/>
        <v>1</v>
      </c>
      <c r="P279" s="675"/>
      <c r="Q279" s="24">
        <f t="shared" si="51"/>
        <v>1</v>
      </c>
      <c r="R279" s="671">
        <f t="shared" si="52"/>
        <v>0</v>
      </c>
      <c r="S279" s="321">
        <f t="shared" si="53"/>
        <v>0</v>
      </c>
    </row>
    <row r="280" spans="1:19">
      <c r="A280" s="154"/>
      <c r="B280" s="57"/>
      <c r="C280" s="24">
        <f t="shared" si="44"/>
        <v>1</v>
      </c>
      <c r="D280" s="675"/>
      <c r="E280" s="24">
        <f t="shared" si="45"/>
        <v>0.02</v>
      </c>
      <c r="F280" s="675"/>
      <c r="G280" s="24">
        <f t="shared" si="46"/>
        <v>1</v>
      </c>
      <c r="H280" s="675"/>
      <c r="I280" s="24">
        <f t="shared" si="47"/>
        <v>1</v>
      </c>
      <c r="J280" s="675"/>
      <c r="K280" s="24">
        <f t="shared" si="48"/>
        <v>1</v>
      </c>
      <c r="L280" s="675"/>
      <c r="M280" s="24">
        <f t="shared" si="49"/>
        <v>1</v>
      </c>
      <c r="N280" s="675"/>
      <c r="O280" s="24">
        <f t="shared" si="50"/>
        <v>1</v>
      </c>
      <c r="P280" s="675"/>
      <c r="Q280" s="24">
        <f t="shared" si="51"/>
        <v>1</v>
      </c>
      <c r="R280" s="671">
        <f t="shared" si="52"/>
        <v>0</v>
      </c>
      <c r="S280" s="321">
        <f t="shared" si="53"/>
        <v>0</v>
      </c>
    </row>
    <row r="281" spans="1:19">
      <c r="A281" s="154"/>
      <c r="B281" s="57"/>
      <c r="C281" s="24">
        <f t="shared" si="44"/>
        <v>1</v>
      </c>
      <c r="D281" s="675"/>
      <c r="E281" s="24">
        <f t="shared" si="45"/>
        <v>0.02</v>
      </c>
      <c r="F281" s="675"/>
      <c r="G281" s="24">
        <f t="shared" si="46"/>
        <v>1</v>
      </c>
      <c r="H281" s="675"/>
      <c r="I281" s="24">
        <f t="shared" si="47"/>
        <v>1</v>
      </c>
      <c r="J281" s="675"/>
      <c r="K281" s="24">
        <f t="shared" si="48"/>
        <v>1</v>
      </c>
      <c r="L281" s="675"/>
      <c r="M281" s="24">
        <f t="shared" si="49"/>
        <v>1</v>
      </c>
      <c r="N281" s="675"/>
      <c r="O281" s="24">
        <f t="shared" si="50"/>
        <v>1</v>
      </c>
      <c r="P281" s="675"/>
      <c r="Q281" s="24">
        <f t="shared" si="51"/>
        <v>1</v>
      </c>
      <c r="R281" s="671">
        <f t="shared" si="52"/>
        <v>0</v>
      </c>
      <c r="S281" s="321">
        <f t="shared" si="53"/>
        <v>0</v>
      </c>
    </row>
    <row r="282" spans="1:19">
      <c r="A282" s="154"/>
      <c r="B282" s="57"/>
      <c r="C282" s="24">
        <f t="shared" ref="C282:C345" si="54">IF(B282="",1,(LOOKUP(B282,$3:$3,$4:$4)-LOOKUP($B$24,$3:$3,$4:$4)+100)/100)</f>
        <v>1</v>
      </c>
      <c r="D282" s="675"/>
      <c r="E282" s="24">
        <f t="shared" ref="E282:E345" si="55">(SUMIF($5:$5,D282,$6:$6)-SUMIF($5:$5,$D$24,$6:$6)+100)/100</f>
        <v>0.02</v>
      </c>
      <c r="F282" s="675"/>
      <c r="G282" s="24">
        <f t="shared" ref="G282:G345" si="56">(SUMIF($7:$7,F282,$8:$8)-SUMIF($7:$7,$F$24,$8:$8)+100)/100</f>
        <v>1</v>
      </c>
      <c r="H282" s="675"/>
      <c r="I282" s="24">
        <f t="shared" ref="I282:I345" si="57">(SUMIF($9:$9,H282,$10:$10)-SUMIF($9:$9,$H$24,$10:$10)+100)/100</f>
        <v>1</v>
      </c>
      <c r="J282" s="675"/>
      <c r="K282" s="24">
        <f t="shared" ref="K282:K345" si="58">(SUMIF($11:$11,J282,$12:$12)-SUMIF($11:$11,$J$24,$12:$12)+100)/100</f>
        <v>1</v>
      </c>
      <c r="L282" s="675"/>
      <c r="M282" s="24">
        <f t="shared" ref="M282:M345" si="59">(SUMIF($13:$13,L282,$14:$14)-SUMIF($13:$13,$L$24,$14:$14)+100)/100</f>
        <v>1</v>
      </c>
      <c r="N282" s="675"/>
      <c r="O282" s="24">
        <f t="shared" ref="O282:O345" si="60">(SUMIF($15:$15,N282,$16:$16)-SUMIF($15:$15,$N$24,$16:$16)+100)/100</f>
        <v>1</v>
      </c>
      <c r="P282" s="675"/>
      <c r="Q282" s="24">
        <f t="shared" ref="Q282:Q345" si="61">(SUMIF($17:$17,P282,$18:$18)-SUMIF($17:$17,$P$24,$18:$18)+100)/100</f>
        <v>1</v>
      </c>
      <c r="R282" s="671">
        <f t="shared" ref="R282:R345" si="62">IF(B282="",0,ROUND($R$24*C282*E282*G282*I282*K282*M282*O282*Q282,0))</f>
        <v>0</v>
      </c>
      <c r="S282" s="321">
        <f t="shared" si="53"/>
        <v>0</v>
      </c>
    </row>
    <row r="283" spans="1:19">
      <c r="A283" s="154"/>
      <c r="B283" s="57"/>
      <c r="C283" s="24">
        <f t="shared" si="54"/>
        <v>1</v>
      </c>
      <c r="D283" s="675"/>
      <c r="E283" s="24">
        <f t="shared" si="55"/>
        <v>0.02</v>
      </c>
      <c r="F283" s="675"/>
      <c r="G283" s="24">
        <f t="shared" si="56"/>
        <v>1</v>
      </c>
      <c r="H283" s="675"/>
      <c r="I283" s="24">
        <f t="shared" si="57"/>
        <v>1</v>
      </c>
      <c r="J283" s="675"/>
      <c r="K283" s="24">
        <f t="shared" si="58"/>
        <v>1</v>
      </c>
      <c r="L283" s="675"/>
      <c r="M283" s="24">
        <f t="shared" si="59"/>
        <v>1</v>
      </c>
      <c r="N283" s="675"/>
      <c r="O283" s="24">
        <f t="shared" si="60"/>
        <v>1</v>
      </c>
      <c r="P283" s="675"/>
      <c r="Q283" s="24">
        <f t="shared" si="61"/>
        <v>1</v>
      </c>
      <c r="R283" s="671">
        <f t="shared" si="62"/>
        <v>0</v>
      </c>
      <c r="S283" s="321">
        <f t="shared" si="53"/>
        <v>0</v>
      </c>
    </row>
    <row r="284" spans="1:19">
      <c r="A284" s="154"/>
      <c r="B284" s="57"/>
      <c r="C284" s="24">
        <f t="shared" si="54"/>
        <v>1</v>
      </c>
      <c r="D284" s="675"/>
      <c r="E284" s="24">
        <f t="shared" si="55"/>
        <v>0.02</v>
      </c>
      <c r="F284" s="675"/>
      <c r="G284" s="24">
        <f t="shared" si="56"/>
        <v>1</v>
      </c>
      <c r="H284" s="675"/>
      <c r="I284" s="24">
        <f t="shared" si="57"/>
        <v>1</v>
      </c>
      <c r="J284" s="675"/>
      <c r="K284" s="24">
        <f t="shared" si="58"/>
        <v>1</v>
      </c>
      <c r="L284" s="675"/>
      <c r="M284" s="24">
        <f t="shared" si="59"/>
        <v>1</v>
      </c>
      <c r="N284" s="675"/>
      <c r="O284" s="24">
        <f t="shared" si="60"/>
        <v>1</v>
      </c>
      <c r="P284" s="675"/>
      <c r="Q284" s="24">
        <f t="shared" si="61"/>
        <v>1</v>
      </c>
      <c r="R284" s="671">
        <f t="shared" si="62"/>
        <v>0</v>
      </c>
      <c r="S284" s="321">
        <f t="shared" si="53"/>
        <v>0</v>
      </c>
    </row>
    <row r="285" spans="1:19">
      <c r="A285" s="154"/>
      <c r="B285" s="57"/>
      <c r="C285" s="24">
        <f t="shared" si="54"/>
        <v>1</v>
      </c>
      <c r="D285" s="675"/>
      <c r="E285" s="24">
        <f t="shared" si="55"/>
        <v>0.02</v>
      </c>
      <c r="F285" s="675"/>
      <c r="G285" s="24">
        <f t="shared" si="56"/>
        <v>1</v>
      </c>
      <c r="H285" s="675"/>
      <c r="I285" s="24">
        <f t="shared" si="57"/>
        <v>1</v>
      </c>
      <c r="J285" s="675"/>
      <c r="K285" s="24">
        <f t="shared" si="58"/>
        <v>1</v>
      </c>
      <c r="L285" s="675"/>
      <c r="M285" s="24">
        <f t="shared" si="59"/>
        <v>1</v>
      </c>
      <c r="N285" s="675"/>
      <c r="O285" s="24">
        <f t="shared" si="60"/>
        <v>1</v>
      </c>
      <c r="P285" s="675"/>
      <c r="Q285" s="24">
        <f t="shared" si="61"/>
        <v>1</v>
      </c>
      <c r="R285" s="671">
        <f t="shared" si="62"/>
        <v>0</v>
      </c>
      <c r="S285" s="321">
        <f t="shared" si="53"/>
        <v>0</v>
      </c>
    </row>
    <row r="286" spans="1:19">
      <c r="A286" s="154"/>
      <c r="B286" s="57"/>
      <c r="C286" s="24">
        <f t="shared" si="54"/>
        <v>1</v>
      </c>
      <c r="D286" s="675"/>
      <c r="E286" s="24">
        <f t="shared" si="55"/>
        <v>0.02</v>
      </c>
      <c r="F286" s="675"/>
      <c r="G286" s="24">
        <f t="shared" si="56"/>
        <v>1</v>
      </c>
      <c r="H286" s="675"/>
      <c r="I286" s="24">
        <f t="shared" si="57"/>
        <v>1</v>
      </c>
      <c r="J286" s="675"/>
      <c r="K286" s="24">
        <f t="shared" si="58"/>
        <v>1</v>
      </c>
      <c r="L286" s="675"/>
      <c r="M286" s="24">
        <f t="shared" si="59"/>
        <v>1</v>
      </c>
      <c r="N286" s="675"/>
      <c r="O286" s="24">
        <f t="shared" si="60"/>
        <v>1</v>
      </c>
      <c r="P286" s="675"/>
      <c r="Q286" s="24">
        <f t="shared" si="61"/>
        <v>1</v>
      </c>
      <c r="R286" s="671">
        <f t="shared" si="62"/>
        <v>0</v>
      </c>
      <c r="S286" s="321">
        <f t="shared" si="53"/>
        <v>0</v>
      </c>
    </row>
    <row r="287" spans="1:19">
      <c r="A287" s="154"/>
      <c r="B287" s="57"/>
      <c r="C287" s="24">
        <f t="shared" si="54"/>
        <v>1</v>
      </c>
      <c r="D287" s="675"/>
      <c r="E287" s="24">
        <f t="shared" si="55"/>
        <v>0.02</v>
      </c>
      <c r="F287" s="675"/>
      <c r="G287" s="24">
        <f t="shared" si="56"/>
        <v>1</v>
      </c>
      <c r="H287" s="675"/>
      <c r="I287" s="24">
        <f t="shared" si="57"/>
        <v>1</v>
      </c>
      <c r="J287" s="675"/>
      <c r="K287" s="24">
        <f t="shared" si="58"/>
        <v>1</v>
      </c>
      <c r="L287" s="675"/>
      <c r="M287" s="24">
        <f t="shared" si="59"/>
        <v>1</v>
      </c>
      <c r="N287" s="675"/>
      <c r="O287" s="24">
        <f t="shared" si="60"/>
        <v>1</v>
      </c>
      <c r="P287" s="675"/>
      <c r="Q287" s="24">
        <f t="shared" si="61"/>
        <v>1</v>
      </c>
      <c r="R287" s="671">
        <f t="shared" si="62"/>
        <v>0</v>
      </c>
      <c r="S287" s="321">
        <f t="shared" ref="S287:S320" si="63">ROUND(R287*B287/10000,0)</f>
        <v>0</v>
      </c>
    </row>
    <row r="288" spans="1:19">
      <c r="A288" s="154"/>
      <c r="B288" s="57"/>
      <c r="C288" s="24">
        <f t="shared" si="54"/>
        <v>1</v>
      </c>
      <c r="D288" s="675"/>
      <c r="E288" s="24">
        <f t="shared" si="55"/>
        <v>0.02</v>
      </c>
      <c r="F288" s="675"/>
      <c r="G288" s="24">
        <f t="shared" si="56"/>
        <v>1</v>
      </c>
      <c r="H288" s="675"/>
      <c r="I288" s="24">
        <f t="shared" si="57"/>
        <v>1</v>
      </c>
      <c r="J288" s="675"/>
      <c r="K288" s="24">
        <f t="shared" si="58"/>
        <v>1</v>
      </c>
      <c r="L288" s="675"/>
      <c r="M288" s="24">
        <f t="shared" si="59"/>
        <v>1</v>
      </c>
      <c r="N288" s="675"/>
      <c r="O288" s="24">
        <f t="shared" si="60"/>
        <v>1</v>
      </c>
      <c r="P288" s="675"/>
      <c r="Q288" s="24">
        <f t="shared" si="61"/>
        <v>1</v>
      </c>
      <c r="R288" s="671">
        <f t="shared" si="62"/>
        <v>0</v>
      </c>
      <c r="S288" s="321">
        <f t="shared" si="63"/>
        <v>0</v>
      </c>
    </row>
    <row r="289" spans="1:19">
      <c r="A289" s="154"/>
      <c r="B289" s="57"/>
      <c r="C289" s="24">
        <f t="shared" si="54"/>
        <v>1</v>
      </c>
      <c r="D289" s="675"/>
      <c r="E289" s="24">
        <f t="shared" si="55"/>
        <v>0.02</v>
      </c>
      <c r="F289" s="675"/>
      <c r="G289" s="24">
        <f t="shared" si="56"/>
        <v>1</v>
      </c>
      <c r="H289" s="675"/>
      <c r="I289" s="24">
        <f t="shared" si="57"/>
        <v>1</v>
      </c>
      <c r="J289" s="675"/>
      <c r="K289" s="24">
        <f t="shared" si="58"/>
        <v>1</v>
      </c>
      <c r="L289" s="675"/>
      <c r="M289" s="24">
        <f t="shared" si="59"/>
        <v>1</v>
      </c>
      <c r="N289" s="675"/>
      <c r="O289" s="24">
        <f t="shared" si="60"/>
        <v>1</v>
      </c>
      <c r="P289" s="675"/>
      <c r="Q289" s="24">
        <f t="shared" si="61"/>
        <v>1</v>
      </c>
      <c r="R289" s="671">
        <f t="shared" si="62"/>
        <v>0</v>
      </c>
      <c r="S289" s="321">
        <f t="shared" si="63"/>
        <v>0</v>
      </c>
    </row>
    <row r="290" spans="1:19">
      <c r="A290" s="154"/>
      <c r="B290" s="57"/>
      <c r="C290" s="24">
        <f t="shared" si="54"/>
        <v>1</v>
      </c>
      <c r="D290" s="675"/>
      <c r="E290" s="24">
        <f t="shared" si="55"/>
        <v>0.02</v>
      </c>
      <c r="F290" s="675"/>
      <c r="G290" s="24">
        <f t="shared" si="56"/>
        <v>1</v>
      </c>
      <c r="H290" s="675"/>
      <c r="I290" s="24">
        <f t="shared" si="57"/>
        <v>1</v>
      </c>
      <c r="J290" s="675"/>
      <c r="K290" s="24">
        <f t="shared" si="58"/>
        <v>1</v>
      </c>
      <c r="L290" s="675"/>
      <c r="M290" s="24">
        <f t="shared" si="59"/>
        <v>1</v>
      </c>
      <c r="N290" s="675"/>
      <c r="O290" s="24">
        <f t="shared" si="60"/>
        <v>1</v>
      </c>
      <c r="P290" s="675"/>
      <c r="Q290" s="24">
        <f t="shared" si="61"/>
        <v>1</v>
      </c>
      <c r="R290" s="671">
        <f t="shared" si="62"/>
        <v>0</v>
      </c>
      <c r="S290" s="321">
        <f t="shared" si="63"/>
        <v>0</v>
      </c>
    </row>
    <row r="291" spans="1:19">
      <c r="A291" s="154"/>
      <c r="B291" s="57"/>
      <c r="C291" s="24">
        <f t="shared" si="54"/>
        <v>1</v>
      </c>
      <c r="D291" s="675"/>
      <c r="E291" s="24">
        <f t="shared" si="55"/>
        <v>0.02</v>
      </c>
      <c r="F291" s="675"/>
      <c r="G291" s="24">
        <f t="shared" si="56"/>
        <v>1</v>
      </c>
      <c r="H291" s="675"/>
      <c r="I291" s="24">
        <f t="shared" si="57"/>
        <v>1</v>
      </c>
      <c r="J291" s="675"/>
      <c r="K291" s="24">
        <f t="shared" si="58"/>
        <v>1</v>
      </c>
      <c r="L291" s="675"/>
      <c r="M291" s="24">
        <f t="shared" si="59"/>
        <v>1</v>
      </c>
      <c r="N291" s="675"/>
      <c r="O291" s="24">
        <f t="shared" si="60"/>
        <v>1</v>
      </c>
      <c r="P291" s="675"/>
      <c r="Q291" s="24">
        <f t="shared" si="61"/>
        <v>1</v>
      </c>
      <c r="R291" s="671">
        <f t="shared" si="62"/>
        <v>0</v>
      </c>
      <c r="S291" s="321">
        <f t="shared" si="63"/>
        <v>0</v>
      </c>
    </row>
    <row r="292" spans="1:19">
      <c r="A292" s="154"/>
      <c r="B292" s="57"/>
      <c r="C292" s="24">
        <f t="shared" si="54"/>
        <v>1</v>
      </c>
      <c r="D292" s="675"/>
      <c r="E292" s="24">
        <f t="shared" si="55"/>
        <v>0.02</v>
      </c>
      <c r="F292" s="675"/>
      <c r="G292" s="24">
        <f t="shared" si="56"/>
        <v>1</v>
      </c>
      <c r="H292" s="675"/>
      <c r="I292" s="24">
        <f t="shared" si="57"/>
        <v>1</v>
      </c>
      <c r="J292" s="675"/>
      <c r="K292" s="24">
        <f t="shared" si="58"/>
        <v>1</v>
      </c>
      <c r="L292" s="675"/>
      <c r="M292" s="24">
        <f t="shared" si="59"/>
        <v>1</v>
      </c>
      <c r="N292" s="675"/>
      <c r="O292" s="24">
        <f t="shared" si="60"/>
        <v>1</v>
      </c>
      <c r="P292" s="675"/>
      <c r="Q292" s="24">
        <f t="shared" si="61"/>
        <v>1</v>
      </c>
      <c r="R292" s="671">
        <f t="shared" si="62"/>
        <v>0</v>
      </c>
      <c r="S292" s="321">
        <f t="shared" si="63"/>
        <v>0</v>
      </c>
    </row>
    <row r="293" spans="1:19">
      <c r="A293" s="154"/>
      <c r="B293" s="57"/>
      <c r="C293" s="24">
        <f t="shared" si="54"/>
        <v>1</v>
      </c>
      <c r="D293" s="675"/>
      <c r="E293" s="24">
        <f t="shared" si="55"/>
        <v>0.02</v>
      </c>
      <c r="F293" s="675"/>
      <c r="G293" s="24">
        <f t="shared" si="56"/>
        <v>1</v>
      </c>
      <c r="H293" s="675"/>
      <c r="I293" s="24">
        <f t="shared" si="57"/>
        <v>1</v>
      </c>
      <c r="J293" s="675"/>
      <c r="K293" s="24">
        <f t="shared" si="58"/>
        <v>1</v>
      </c>
      <c r="L293" s="675"/>
      <c r="M293" s="24">
        <f t="shared" si="59"/>
        <v>1</v>
      </c>
      <c r="N293" s="675"/>
      <c r="O293" s="24">
        <f t="shared" si="60"/>
        <v>1</v>
      </c>
      <c r="P293" s="675"/>
      <c r="Q293" s="24">
        <f t="shared" si="61"/>
        <v>1</v>
      </c>
      <c r="R293" s="671">
        <f t="shared" si="62"/>
        <v>0</v>
      </c>
      <c r="S293" s="321">
        <f t="shared" si="63"/>
        <v>0</v>
      </c>
    </row>
    <row r="294" spans="1:19">
      <c r="A294" s="154"/>
      <c r="B294" s="57"/>
      <c r="C294" s="24">
        <f t="shared" si="54"/>
        <v>1</v>
      </c>
      <c r="D294" s="675"/>
      <c r="E294" s="24">
        <f t="shared" si="55"/>
        <v>0.02</v>
      </c>
      <c r="F294" s="675"/>
      <c r="G294" s="24">
        <f t="shared" si="56"/>
        <v>1</v>
      </c>
      <c r="H294" s="675"/>
      <c r="I294" s="24">
        <f t="shared" si="57"/>
        <v>1</v>
      </c>
      <c r="J294" s="675"/>
      <c r="K294" s="24">
        <f t="shared" si="58"/>
        <v>1</v>
      </c>
      <c r="L294" s="675"/>
      <c r="M294" s="24">
        <f t="shared" si="59"/>
        <v>1</v>
      </c>
      <c r="N294" s="675"/>
      <c r="O294" s="24">
        <f t="shared" si="60"/>
        <v>1</v>
      </c>
      <c r="P294" s="675"/>
      <c r="Q294" s="24">
        <f t="shared" si="61"/>
        <v>1</v>
      </c>
      <c r="R294" s="671">
        <f t="shared" si="62"/>
        <v>0</v>
      </c>
      <c r="S294" s="321">
        <f t="shared" si="63"/>
        <v>0</v>
      </c>
    </row>
    <row r="295" spans="1:19">
      <c r="A295" s="154"/>
      <c r="B295" s="57"/>
      <c r="C295" s="24">
        <f t="shared" si="54"/>
        <v>1</v>
      </c>
      <c r="D295" s="675"/>
      <c r="E295" s="24">
        <f t="shared" si="55"/>
        <v>0.02</v>
      </c>
      <c r="F295" s="675"/>
      <c r="G295" s="24">
        <f t="shared" si="56"/>
        <v>1</v>
      </c>
      <c r="H295" s="675"/>
      <c r="I295" s="24">
        <f t="shared" si="57"/>
        <v>1</v>
      </c>
      <c r="J295" s="675"/>
      <c r="K295" s="24">
        <f t="shared" si="58"/>
        <v>1</v>
      </c>
      <c r="L295" s="675"/>
      <c r="M295" s="24">
        <f t="shared" si="59"/>
        <v>1</v>
      </c>
      <c r="N295" s="675"/>
      <c r="O295" s="24">
        <f t="shared" si="60"/>
        <v>1</v>
      </c>
      <c r="P295" s="675"/>
      <c r="Q295" s="24">
        <f t="shared" si="61"/>
        <v>1</v>
      </c>
      <c r="R295" s="671">
        <f t="shared" si="62"/>
        <v>0</v>
      </c>
      <c r="S295" s="321">
        <f t="shared" si="63"/>
        <v>0</v>
      </c>
    </row>
    <row r="296" spans="1:19">
      <c r="A296" s="154"/>
      <c r="B296" s="57"/>
      <c r="C296" s="24">
        <f t="shared" si="54"/>
        <v>1</v>
      </c>
      <c r="D296" s="675"/>
      <c r="E296" s="24">
        <f t="shared" si="55"/>
        <v>0.02</v>
      </c>
      <c r="F296" s="675"/>
      <c r="G296" s="24">
        <f t="shared" si="56"/>
        <v>1</v>
      </c>
      <c r="H296" s="675"/>
      <c r="I296" s="24">
        <f t="shared" si="57"/>
        <v>1</v>
      </c>
      <c r="J296" s="675"/>
      <c r="K296" s="24">
        <f t="shared" si="58"/>
        <v>1</v>
      </c>
      <c r="L296" s="675"/>
      <c r="M296" s="24">
        <f t="shared" si="59"/>
        <v>1</v>
      </c>
      <c r="N296" s="675"/>
      <c r="O296" s="24">
        <f t="shared" si="60"/>
        <v>1</v>
      </c>
      <c r="P296" s="675"/>
      <c r="Q296" s="24">
        <f t="shared" si="61"/>
        <v>1</v>
      </c>
      <c r="R296" s="671">
        <f t="shared" si="62"/>
        <v>0</v>
      </c>
      <c r="S296" s="321">
        <f t="shared" si="63"/>
        <v>0</v>
      </c>
    </row>
    <row r="297" spans="1:19">
      <c r="A297" s="154"/>
      <c r="B297" s="57"/>
      <c r="C297" s="24">
        <f t="shared" si="54"/>
        <v>1</v>
      </c>
      <c r="D297" s="675"/>
      <c r="E297" s="24">
        <f t="shared" si="55"/>
        <v>0.02</v>
      </c>
      <c r="F297" s="675"/>
      <c r="G297" s="24">
        <f t="shared" si="56"/>
        <v>1</v>
      </c>
      <c r="H297" s="675"/>
      <c r="I297" s="24">
        <f t="shared" si="57"/>
        <v>1</v>
      </c>
      <c r="J297" s="675"/>
      <c r="K297" s="24">
        <f t="shared" si="58"/>
        <v>1</v>
      </c>
      <c r="L297" s="675"/>
      <c r="M297" s="24">
        <f t="shared" si="59"/>
        <v>1</v>
      </c>
      <c r="N297" s="675"/>
      <c r="O297" s="24">
        <f t="shared" si="60"/>
        <v>1</v>
      </c>
      <c r="P297" s="675"/>
      <c r="Q297" s="24">
        <f t="shared" si="61"/>
        <v>1</v>
      </c>
      <c r="R297" s="671">
        <f t="shared" si="62"/>
        <v>0</v>
      </c>
      <c r="S297" s="321">
        <f t="shared" si="63"/>
        <v>0</v>
      </c>
    </row>
    <row r="298" spans="1:19">
      <c r="A298" s="154"/>
      <c r="B298" s="57"/>
      <c r="C298" s="24">
        <f t="shared" si="54"/>
        <v>1</v>
      </c>
      <c r="D298" s="675"/>
      <c r="E298" s="24">
        <f t="shared" si="55"/>
        <v>0.02</v>
      </c>
      <c r="F298" s="675"/>
      <c r="G298" s="24">
        <f t="shared" si="56"/>
        <v>1</v>
      </c>
      <c r="H298" s="675"/>
      <c r="I298" s="24">
        <f t="shared" si="57"/>
        <v>1</v>
      </c>
      <c r="J298" s="675"/>
      <c r="K298" s="24">
        <f t="shared" si="58"/>
        <v>1</v>
      </c>
      <c r="L298" s="675"/>
      <c r="M298" s="24">
        <f t="shared" si="59"/>
        <v>1</v>
      </c>
      <c r="N298" s="675"/>
      <c r="O298" s="24">
        <f t="shared" si="60"/>
        <v>1</v>
      </c>
      <c r="P298" s="675"/>
      <c r="Q298" s="24">
        <f t="shared" si="61"/>
        <v>1</v>
      </c>
      <c r="R298" s="671">
        <f t="shared" si="62"/>
        <v>0</v>
      </c>
      <c r="S298" s="321">
        <f t="shared" si="63"/>
        <v>0</v>
      </c>
    </row>
    <row r="299" spans="1:19">
      <c r="A299" s="154"/>
      <c r="B299" s="57"/>
      <c r="C299" s="24">
        <f t="shared" si="54"/>
        <v>1</v>
      </c>
      <c r="D299" s="675"/>
      <c r="E299" s="24">
        <f t="shared" si="55"/>
        <v>0.02</v>
      </c>
      <c r="F299" s="675"/>
      <c r="G299" s="24">
        <f t="shared" si="56"/>
        <v>1</v>
      </c>
      <c r="H299" s="675"/>
      <c r="I299" s="24">
        <f t="shared" si="57"/>
        <v>1</v>
      </c>
      <c r="J299" s="675"/>
      <c r="K299" s="24">
        <f t="shared" si="58"/>
        <v>1</v>
      </c>
      <c r="L299" s="675"/>
      <c r="M299" s="24">
        <f t="shared" si="59"/>
        <v>1</v>
      </c>
      <c r="N299" s="675"/>
      <c r="O299" s="24">
        <f t="shared" si="60"/>
        <v>1</v>
      </c>
      <c r="P299" s="675"/>
      <c r="Q299" s="24">
        <f t="shared" si="61"/>
        <v>1</v>
      </c>
      <c r="R299" s="671">
        <f t="shared" si="62"/>
        <v>0</v>
      </c>
      <c r="S299" s="321">
        <f t="shared" si="63"/>
        <v>0</v>
      </c>
    </row>
    <row r="300" spans="1:19">
      <c r="A300" s="154"/>
      <c r="B300" s="57"/>
      <c r="C300" s="24">
        <f t="shared" si="54"/>
        <v>1</v>
      </c>
      <c r="D300" s="675"/>
      <c r="E300" s="24">
        <f t="shared" si="55"/>
        <v>0.02</v>
      </c>
      <c r="F300" s="675"/>
      <c r="G300" s="24">
        <f t="shared" si="56"/>
        <v>1</v>
      </c>
      <c r="H300" s="675"/>
      <c r="I300" s="24">
        <f t="shared" si="57"/>
        <v>1</v>
      </c>
      <c r="J300" s="675"/>
      <c r="K300" s="24">
        <f t="shared" si="58"/>
        <v>1</v>
      </c>
      <c r="L300" s="675"/>
      <c r="M300" s="24">
        <f t="shared" si="59"/>
        <v>1</v>
      </c>
      <c r="N300" s="675"/>
      <c r="O300" s="24">
        <f t="shared" si="60"/>
        <v>1</v>
      </c>
      <c r="P300" s="675"/>
      <c r="Q300" s="24">
        <f t="shared" si="61"/>
        <v>1</v>
      </c>
      <c r="R300" s="671">
        <f t="shared" si="62"/>
        <v>0</v>
      </c>
      <c r="S300" s="321">
        <f t="shared" si="63"/>
        <v>0</v>
      </c>
    </row>
    <row r="301" spans="1:19">
      <c r="A301" s="154"/>
      <c r="B301" s="57"/>
      <c r="C301" s="24">
        <f t="shared" si="54"/>
        <v>1</v>
      </c>
      <c r="D301" s="675"/>
      <c r="E301" s="24">
        <f t="shared" si="55"/>
        <v>0.02</v>
      </c>
      <c r="F301" s="675"/>
      <c r="G301" s="24">
        <f t="shared" si="56"/>
        <v>1</v>
      </c>
      <c r="H301" s="675"/>
      <c r="I301" s="24">
        <f t="shared" si="57"/>
        <v>1</v>
      </c>
      <c r="J301" s="675"/>
      <c r="K301" s="24">
        <f t="shared" si="58"/>
        <v>1</v>
      </c>
      <c r="L301" s="675"/>
      <c r="M301" s="24">
        <f t="shared" si="59"/>
        <v>1</v>
      </c>
      <c r="N301" s="675"/>
      <c r="O301" s="24">
        <f t="shared" si="60"/>
        <v>1</v>
      </c>
      <c r="P301" s="675"/>
      <c r="Q301" s="24">
        <f t="shared" si="61"/>
        <v>1</v>
      </c>
      <c r="R301" s="671">
        <f t="shared" si="62"/>
        <v>0</v>
      </c>
      <c r="S301" s="321">
        <f t="shared" si="63"/>
        <v>0</v>
      </c>
    </row>
    <row r="302" spans="1:19">
      <c r="A302" s="154"/>
      <c r="B302" s="57"/>
      <c r="C302" s="24">
        <f t="shared" si="54"/>
        <v>1</v>
      </c>
      <c r="D302" s="675"/>
      <c r="E302" s="24">
        <f t="shared" si="55"/>
        <v>0.02</v>
      </c>
      <c r="F302" s="675"/>
      <c r="G302" s="24">
        <f t="shared" si="56"/>
        <v>1</v>
      </c>
      <c r="H302" s="675"/>
      <c r="I302" s="24">
        <f t="shared" si="57"/>
        <v>1</v>
      </c>
      <c r="J302" s="675"/>
      <c r="K302" s="24">
        <f t="shared" si="58"/>
        <v>1</v>
      </c>
      <c r="L302" s="675"/>
      <c r="M302" s="24">
        <f t="shared" si="59"/>
        <v>1</v>
      </c>
      <c r="N302" s="675"/>
      <c r="O302" s="24">
        <f t="shared" si="60"/>
        <v>1</v>
      </c>
      <c r="P302" s="675"/>
      <c r="Q302" s="24">
        <f t="shared" si="61"/>
        <v>1</v>
      </c>
      <c r="R302" s="671">
        <f t="shared" si="62"/>
        <v>0</v>
      </c>
      <c r="S302" s="321">
        <f t="shared" si="63"/>
        <v>0</v>
      </c>
    </row>
    <row r="303" spans="1:19">
      <c r="A303" s="154"/>
      <c r="B303" s="57"/>
      <c r="C303" s="24">
        <f t="shared" si="54"/>
        <v>1</v>
      </c>
      <c r="D303" s="675"/>
      <c r="E303" s="24">
        <f t="shared" si="55"/>
        <v>0.02</v>
      </c>
      <c r="F303" s="675"/>
      <c r="G303" s="24">
        <f t="shared" si="56"/>
        <v>1</v>
      </c>
      <c r="H303" s="675"/>
      <c r="I303" s="24">
        <f t="shared" si="57"/>
        <v>1</v>
      </c>
      <c r="J303" s="675"/>
      <c r="K303" s="24">
        <f t="shared" si="58"/>
        <v>1</v>
      </c>
      <c r="L303" s="675"/>
      <c r="M303" s="24">
        <f t="shared" si="59"/>
        <v>1</v>
      </c>
      <c r="N303" s="675"/>
      <c r="O303" s="24">
        <f t="shared" si="60"/>
        <v>1</v>
      </c>
      <c r="P303" s="675"/>
      <c r="Q303" s="24">
        <f t="shared" si="61"/>
        <v>1</v>
      </c>
      <c r="R303" s="671">
        <f t="shared" si="62"/>
        <v>0</v>
      </c>
      <c r="S303" s="321">
        <f t="shared" si="63"/>
        <v>0</v>
      </c>
    </row>
    <row r="304" spans="1:19">
      <c r="A304" s="154"/>
      <c r="B304" s="57"/>
      <c r="C304" s="24">
        <f t="shared" si="54"/>
        <v>1</v>
      </c>
      <c r="D304" s="675"/>
      <c r="E304" s="24">
        <f t="shared" si="55"/>
        <v>0.02</v>
      </c>
      <c r="F304" s="675"/>
      <c r="G304" s="24">
        <f t="shared" si="56"/>
        <v>1</v>
      </c>
      <c r="H304" s="675"/>
      <c r="I304" s="24">
        <f t="shared" si="57"/>
        <v>1</v>
      </c>
      <c r="J304" s="675"/>
      <c r="K304" s="24">
        <f t="shared" si="58"/>
        <v>1</v>
      </c>
      <c r="L304" s="675"/>
      <c r="M304" s="24">
        <f t="shared" si="59"/>
        <v>1</v>
      </c>
      <c r="N304" s="675"/>
      <c r="O304" s="24">
        <f t="shared" si="60"/>
        <v>1</v>
      </c>
      <c r="P304" s="675"/>
      <c r="Q304" s="24">
        <f t="shared" si="61"/>
        <v>1</v>
      </c>
      <c r="R304" s="671">
        <f t="shared" si="62"/>
        <v>0</v>
      </c>
      <c r="S304" s="321">
        <f t="shared" si="63"/>
        <v>0</v>
      </c>
    </row>
    <row r="305" spans="1:19">
      <c r="A305" s="154"/>
      <c r="B305" s="57"/>
      <c r="C305" s="24">
        <f t="shared" si="54"/>
        <v>1</v>
      </c>
      <c r="D305" s="675"/>
      <c r="E305" s="24">
        <f t="shared" si="55"/>
        <v>0.02</v>
      </c>
      <c r="F305" s="675"/>
      <c r="G305" s="24">
        <f t="shared" si="56"/>
        <v>1</v>
      </c>
      <c r="H305" s="675"/>
      <c r="I305" s="24">
        <f t="shared" si="57"/>
        <v>1</v>
      </c>
      <c r="J305" s="675"/>
      <c r="K305" s="24">
        <f t="shared" si="58"/>
        <v>1</v>
      </c>
      <c r="L305" s="675"/>
      <c r="M305" s="24">
        <f t="shared" si="59"/>
        <v>1</v>
      </c>
      <c r="N305" s="675"/>
      <c r="O305" s="24">
        <f t="shared" si="60"/>
        <v>1</v>
      </c>
      <c r="P305" s="675"/>
      <c r="Q305" s="24">
        <f t="shared" si="61"/>
        <v>1</v>
      </c>
      <c r="R305" s="671">
        <f t="shared" si="62"/>
        <v>0</v>
      </c>
      <c r="S305" s="321">
        <f t="shared" si="63"/>
        <v>0</v>
      </c>
    </row>
    <row r="306" spans="1:19">
      <c r="A306" s="154"/>
      <c r="B306" s="57"/>
      <c r="C306" s="24">
        <f t="shared" si="54"/>
        <v>1</v>
      </c>
      <c r="D306" s="675"/>
      <c r="E306" s="24">
        <f t="shared" si="55"/>
        <v>0.02</v>
      </c>
      <c r="F306" s="675"/>
      <c r="G306" s="24">
        <f t="shared" si="56"/>
        <v>1</v>
      </c>
      <c r="H306" s="675"/>
      <c r="I306" s="24">
        <f t="shared" si="57"/>
        <v>1</v>
      </c>
      <c r="J306" s="675"/>
      <c r="K306" s="24">
        <f t="shared" si="58"/>
        <v>1</v>
      </c>
      <c r="L306" s="675"/>
      <c r="M306" s="24">
        <f t="shared" si="59"/>
        <v>1</v>
      </c>
      <c r="N306" s="675"/>
      <c r="O306" s="24">
        <f t="shared" si="60"/>
        <v>1</v>
      </c>
      <c r="P306" s="675"/>
      <c r="Q306" s="24">
        <f t="shared" si="61"/>
        <v>1</v>
      </c>
      <c r="R306" s="671">
        <f t="shared" si="62"/>
        <v>0</v>
      </c>
      <c r="S306" s="321">
        <f t="shared" si="63"/>
        <v>0</v>
      </c>
    </row>
    <row r="307" spans="1:19">
      <c r="A307" s="154"/>
      <c r="B307" s="57"/>
      <c r="C307" s="24">
        <f t="shared" si="54"/>
        <v>1</v>
      </c>
      <c r="D307" s="675"/>
      <c r="E307" s="24">
        <f t="shared" si="55"/>
        <v>0.02</v>
      </c>
      <c r="F307" s="675"/>
      <c r="G307" s="24">
        <f t="shared" si="56"/>
        <v>1</v>
      </c>
      <c r="H307" s="675"/>
      <c r="I307" s="24">
        <f t="shared" si="57"/>
        <v>1</v>
      </c>
      <c r="J307" s="675"/>
      <c r="K307" s="24">
        <f t="shared" si="58"/>
        <v>1</v>
      </c>
      <c r="L307" s="675"/>
      <c r="M307" s="24">
        <f t="shared" si="59"/>
        <v>1</v>
      </c>
      <c r="N307" s="675"/>
      <c r="O307" s="24">
        <f t="shared" si="60"/>
        <v>1</v>
      </c>
      <c r="P307" s="675"/>
      <c r="Q307" s="24">
        <f t="shared" si="61"/>
        <v>1</v>
      </c>
      <c r="R307" s="671">
        <f t="shared" si="62"/>
        <v>0</v>
      </c>
      <c r="S307" s="321">
        <f t="shared" si="63"/>
        <v>0</v>
      </c>
    </row>
    <row r="308" spans="1:19">
      <c r="A308" s="154"/>
      <c r="B308" s="57"/>
      <c r="C308" s="24">
        <f t="shared" si="54"/>
        <v>1</v>
      </c>
      <c r="D308" s="675"/>
      <c r="E308" s="24">
        <f t="shared" si="55"/>
        <v>0.02</v>
      </c>
      <c r="F308" s="675"/>
      <c r="G308" s="24">
        <f t="shared" si="56"/>
        <v>1</v>
      </c>
      <c r="H308" s="675"/>
      <c r="I308" s="24">
        <f t="shared" si="57"/>
        <v>1</v>
      </c>
      <c r="J308" s="675"/>
      <c r="K308" s="24">
        <f t="shared" si="58"/>
        <v>1</v>
      </c>
      <c r="L308" s="675"/>
      <c r="M308" s="24">
        <f t="shared" si="59"/>
        <v>1</v>
      </c>
      <c r="N308" s="675"/>
      <c r="O308" s="24">
        <f t="shared" si="60"/>
        <v>1</v>
      </c>
      <c r="P308" s="675"/>
      <c r="Q308" s="24">
        <f t="shared" si="61"/>
        <v>1</v>
      </c>
      <c r="R308" s="671">
        <f t="shared" si="62"/>
        <v>0</v>
      </c>
      <c r="S308" s="321">
        <f t="shared" si="63"/>
        <v>0</v>
      </c>
    </row>
    <row r="309" spans="1:19">
      <c r="A309" s="154"/>
      <c r="B309" s="57"/>
      <c r="C309" s="24">
        <f t="shared" si="54"/>
        <v>1</v>
      </c>
      <c r="D309" s="675"/>
      <c r="E309" s="24">
        <f t="shared" si="55"/>
        <v>0.02</v>
      </c>
      <c r="F309" s="675"/>
      <c r="G309" s="24">
        <f t="shared" si="56"/>
        <v>1</v>
      </c>
      <c r="H309" s="675"/>
      <c r="I309" s="24">
        <f t="shared" si="57"/>
        <v>1</v>
      </c>
      <c r="J309" s="675"/>
      <c r="K309" s="24">
        <f t="shared" si="58"/>
        <v>1</v>
      </c>
      <c r="L309" s="675"/>
      <c r="M309" s="24">
        <f t="shared" si="59"/>
        <v>1</v>
      </c>
      <c r="N309" s="675"/>
      <c r="O309" s="24">
        <f t="shared" si="60"/>
        <v>1</v>
      </c>
      <c r="P309" s="675"/>
      <c r="Q309" s="24">
        <f t="shared" si="61"/>
        <v>1</v>
      </c>
      <c r="R309" s="671">
        <f t="shared" si="62"/>
        <v>0</v>
      </c>
      <c r="S309" s="321">
        <f t="shared" si="63"/>
        <v>0</v>
      </c>
    </row>
    <row r="310" spans="1:19">
      <c r="A310" s="154"/>
      <c r="B310" s="57"/>
      <c r="C310" s="24">
        <f t="shared" si="54"/>
        <v>1</v>
      </c>
      <c r="D310" s="675"/>
      <c r="E310" s="24">
        <f t="shared" si="55"/>
        <v>0.02</v>
      </c>
      <c r="F310" s="675"/>
      <c r="G310" s="24">
        <f t="shared" si="56"/>
        <v>1</v>
      </c>
      <c r="H310" s="675"/>
      <c r="I310" s="24">
        <f t="shared" si="57"/>
        <v>1</v>
      </c>
      <c r="J310" s="675"/>
      <c r="K310" s="24">
        <f t="shared" si="58"/>
        <v>1</v>
      </c>
      <c r="L310" s="675"/>
      <c r="M310" s="24">
        <f t="shared" si="59"/>
        <v>1</v>
      </c>
      <c r="N310" s="675"/>
      <c r="O310" s="24">
        <f t="shared" si="60"/>
        <v>1</v>
      </c>
      <c r="P310" s="675"/>
      <c r="Q310" s="24">
        <f t="shared" si="61"/>
        <v>1</v>
      </c>
      <c r="R310" s="671">
        <f t="shared" si="62"/>
        <v>0</v>
      </c>
      <c r="S310" s="321">
        <f t="shared" si="63"/>
        <v>0</v>
      </c>
    </row>
    <row r="311" spans="1:19">
      <c r="A311" s="154"/>
      <c r="B311" s="57"/>
      <c r="C311" s="24">
        <f t="shared" si="54"/>
        <v>1</v>
      </c>
      <c r="D311" s="675"/>
      <c r="E311" s="24">
        <f t="shared" si="55"/>
        <v>0.02</v>
      </c>
      <c r="F311" s="675"/>
      <c r="G311" s="24">
        <f t="shared" si="56"/>
        <v>1</v>
      </c>
      <c r="H311" s="675"/>
      <c r="I311" s="24">
        <f t="shared" si="57"/>
        <v>1</v>
      </c>
      <c r="J311" s="675"/>
      <c r="K311" s="24">
        <f t="shared" si="58"/>
        <v>1</v>
      </c>
      <c r="L311" s="675"/>
      <c r="M311" s="24">
        <f t="shared" si="59"/>
        <v>1</v>
      </c>
      <c r="N311" s="675"/>
      <c r="O311" s="24">
        <f t="shared" si="60"/>
        <v>1</v>
      </c>
      <c r="P311" s="675"/>
      <c r="Q311" s="24">
        <f t="shared" si="61"/>
        <v>1</v>
      </c>
      <c r="R311" s="671">
        <f t="shared" si="62"/>
        <v>0</v>
      </c>
      <c r="S311" s="321">
        <f t="shared" si="63"/>
        <v>0</v>
      </c>
    </row>
    <row r="312" spans="1:19">
      <c r="A312" s="154"/>
      <c r="B312" s="57"/>
      <c r="C312" s="24">
        <f t="shared" si="54"/>
        <v>1</v>
      </c>
      <c r="D312" s="675"/>
      <c r="E312" s="24">
        <f t="shared" si="55"/>
        <v>0.02</v>
      </c>
      <c r="F312" s="675"/>
      <c r="G312" s="24">
        <f t="shared" si="56"/>
        <v>1</v>
      </c>
      <c r="H312" s="675"/>
      <c r="I312" s="24">
        <f t="shared" si="57"/>
        <v>1</v>
      </c>
      <c r="J312" s="675"/>
      <c r="K312" s="24">
        <f t="shared" si="58"/>
        <v>1</v>
      </c>
      <c r="L312" s="675"/>
      <c r="M312" s="24">
        <f t="shared" si="59"/>
        <v>1</v>
      </c>
      <c r="N312" s="675"/>
      <c r="O312" s="24">
        <f t="shared" si="60"/>
        <v>1</v>
      </c>
      <c r="P312" s="675"/>
      <c r="Q312" s="24">
        <f t="shared" si="61"/>
        <v>1</v>
      </c>
      <c r="R312" s="671">
        <f t="shared" si="62"/>
        <v>0</v>
      </c>
      <c r="S312" s="321">
        <f t="shared" si="63"/>
        <v>0</v>
      </c>
    </row>
    <row r="313" spans="1:19">
      <c r="A313" s="154"/>
      <c r="B313" s="57"/>
      <c r="C313" s="24">
        <f t="shared" si="54"/>
        <v>1</v>
      </c>
      <c r="D313" s="675"/>
      <c r="E313" s="24">
        <f t="shared" si="55"/>
        <v>0.02</v>
      </c>
      <c r="F313" s="675"/>
      <c r="G313" s="24">
        <f t="shared" si="56"/>
        <v>1</v>
      </c>
      <c r="H313" s="675"/>
      <c r="I313" s="24">
        <f t="shared" si="57"/>
        <v>1</v>
      </c>
      <c r="J313" s="675"/>
      <c r="K313" s="24">
        <f t="shared" si="58"/>
        <v>1</v>
      </c>
      <c r="L313" s="675"/>
      <c r="M313" s="24">
        <f t="shared" si="59"/>
        <v>1</v>
      </c>
      <c r="N313" s="675"/>
      <c r="O313" s="24">
        <f t="shared" si="60"/>
        <v>1</v>
      </c>
      <c r="P313" s="675"/>
      <c r="Q313" s="24">
        <f t="shared" si="61"/>
        <v>1</v>
      </c>
      <c r="R313" s="671">
        <f t="shared" si="62"/>
        <v>0</v>
      </c>
      <c r="S313" s="321">
        <f t="shared" si="63"/>
        <v>0</v>
      </c>
    </row>
    <row r="314" spans="1:19">
      <c r="A314" s="154"/>
      <c r="B314" s="57"/>
      <c r="C314" s="24">
        <f t="shared" si="54"/>
        <v>1</v>
      </c>
      <c r="D314" s="675"/>
      <c r="E314" s="24">
        <f t="shared" si="55"/>
        <v>0.02</v>
      </c>
      <c r="F314" s="675"/>
      <c r="G314" s="24">
        <f t="shared" si="56"/>
        <v>1</v>
      </c>
      <c r="H314" s="675"/>
      <c r="I314" s="24">
        <f t="shared" si="57"/>
        <v>1</v>
      </c>
      <c r="J314" s="675"/>
      <c r="K314" s="24">
        <f t="shared" si="58"/>
        <v>1</v>
      </c>
      <c r="L314" s="675"/>
      <c r="M314" s="24">
        <f t="shared" si="59"/>
        <v>1</v>
      </c>
      <c r="N314" s="675"/>
      <c r="O314" s="24">
        <f t="shared" si="60"/>
        <v>1</v>
      </c>
      <c r="P314" s="675"/>
      <c r="Q314" s="24">
        <f t="shared" si="61"/>
        <v>1</v>
      </c>
      <c r="R314" s="671">
        <f t="shared" si="62"/>
        <v>0</v>
      </c>
      <c r="S314" s="321">
        <f t="shared" si="63"/>
        <v>0</v>
      </c>
    </row>
    <row r="315" spans="1:19">
      <c r="A315" s="154"/>
      <c r="B315" s="57"/>
      <c r="C315" s="24">
        <f t="shared" si="54"/>
        <v>1</v>
      </c>
      <c r="D315" s="675"/>
      <c r="E315" s="24">
        <f t="shared" si="55"/>
        <v>0.02</v>
      </c>
      <c r="F315" s="675"/>
      <c r="G315" s="24">
        <f t="shared" si="56"/>
        <v>1</v>
      </c>
      <c r="H315" s="675"/>
      <c r="I315" s="24">
        <f t="shared" si="57"/>
        <v>1</v>
      </c>
      <c r="J315" s="675"/>
      <c r="K315" s="24">
        <f t="shared" si="58"/>
        <v>1</v>
      </c>
      <c r="L315" s="675"/>
      <c r="M315" s="24">
        <f t="shared" si="59"/>
        <v>1</v>
      </c>
      <c r="N315" s="675"/>
      <c r="O315" s="24">
        <f t="shared" si="60"/>
        <v>1</v>
      </c>
      <c r="P315" s="675"/>
      <c r="Q315" s="24">
        <f t="shared" si="61"/>
        <v>1</v>
      </c>
      <c r="R315" s="671">
        <f t="shared" si="62"/>
        <v>0</v>
      </c>
      <c r="S315" s="321">
        <f t="shared" si="63"/>
        <v>0</v>
      </c>
    </row>
    <row r="316" spans="1:19">
      <c r="A316" s="154"/>
      <c r="B316" s="57"/>
      <c r="C316" s="24">
        <f t="shared" si="54"/>
        <v>1</v>
      </c>
      <c r="D316" s="675"/>
      <c r="E316" s="24">
        <f t="shared" si="55"/>
        <v>0.02</v>
      </c>
      <c r="F316" s="675"/>
      <c r="G316" s="24">
        <f t="shared" si="56"/>
        <v>1</v>
      </c>
      <c r="H316" s="675"/>
      <c r="I316" s="24">
        <f t="shared" si="57"/>
        <v>1</v>
      </c>
      <c r="J316" s="675"/>
      <c r="K316" s="24">
        <f t="shared" si="58"/>
        <v>1</v>
      </c>
      <c r="L316" s="675"/>
      <c r="M316" s="24">
        <f t="shared" si="59"/>
        <v>1</v>
      </c>
      <c r="N316" s="675"/>
      <c r="O316" s="24">
        <f t="shared" si="60"/>
        <v>1</v>
      </c>
      <c r="P316" s="675"/>
      <c r="Q316" s="24">
        <f t="shared" si="61"/>
        <v>1</v>
      </c>
      <c r="R316" s="671">
        <f t="shared" si="62"/>
        <v>0</v>
      </c>
      <c r="S316" s="321">
        <f t="shared" si="63"/>
        <v>0</v>
      </c>
    </row>
    <row r="317" spans="1:19">
      <c r="A317" s="154"/>
      <c r="B317" s="57"/>
      <c r="C317" s="24">
        <f t="shared" si="54"/>
        <v>1</v>
      </c>
      <c r="D317" s="675"/>
      <c r="E317" s="24">
        <f t="shared" si="55"/>
        <v>0.02</v>
      </c>
      <c r="F317" s="675"/>
      <c r="G317" s="24">
        <f t="shared" si="56"/>
        <v>1</v>
      </c>
      <c r="H317" s="675"/>
      <c r="I317" s="24">
        <f t="shared" si="57"/>
        <v>1</v>
      </c>
      <c r="J317" s="675"/>
      <c r="K317" s="24">
        <f t="shared" si="58"/>
        <v>1</v>
      </c>
      <c r="L317" s="675"/>
      <c r="M317" s="24">
        <f t="shared" si="59"/>
        <v>1</v>
      </c>
      <c r="N317" s="675"/>
      <c r="O317" s="24">
        <f t="shared" si="60"/>
        <v>1</v>
      </c>
      <c r="P317" s="675"/>
      <c r="Q317" s="24">
        <f t="shared" si="61"/>
        <v>1</v>
      </c>
      <c r="R317" s="671">
        <f t="shared" si="62"/>
        <v>0</v>
      </c>
      <c r="S317" s="321">
        <f t="shared" si="63"/>
        <v>0</v>
      </c>
    </row>
    <row r="318" spans="1:19">
      <c r="A318" s="154"/>
      <c r="B318" s="57"/>
      <c r="C318" s="24">
        <f t="shared" si="54"/>
        <v>1</v>
      </c>
      <c r="D318" s="675"/>
      <c r="E318" s="24">
        <f t="shared" si="55"/>
        <v>0.02</v>
      </c>
      <c r="F318" s="675"/>
      <c r="G318" s="24">
        <f t="shared" si="56"/>
        <v>1</v>
      </c>
      <c r="H318" s="675"/>
      <c r="I318" s="24">
        <f t="shared" si="57"/>
        <v>1</v>
      </c>
      <c r="J318" s="675"/>
      <c r="K318" s="24">
        <f t="shared" si="58"/>
        <v>1</v>
      </c>
      <c r="L318" s="675"/>
      <c r="M318" s="24">
        <f t="shared" si="59"/>
        <v>1</v>
      </c>
      <c r="N318" s="675"/>
      <c r="O318" s="24">
        <f t="shared" si="60"/>
        <v>1</v>
      </c>
      <c r="P318" s="675"/>
      <c r="Q318" s="24">
        <f t="shared" si="61"/>
        <v>1</v>
      </c>
      <c r="R318" s="671">
        <f t="shared" si="62"/>
        <v>0</v>
      </c>
      <c r="S318" s="321">
        <f t="shared" si="63"/>
        <v>0</v>
      </c>
    </row>
    <row r="319" spans="1:19">
      <c r="A319" s="154"/>
      <c r="B319" s="57"/>
      <c r="C319" s="24">
        <f t="shared" si="54"/>
        <v>1</v>
      </c>
      <c r="D319" s="675"/>
      <c r="E319" s="24">
        <f t="shared" si="55"/>
        <v>0.02</v>
      </c>
      <c r="F319" s="675"/>
      <c r="G319" s="24">
        <f t="shared" si="56"/>
        <v>1</v>
      </c>
      <c r="H319" s="675"/>
      <c r="I319" s="24">
        <f t="shared" si="57"/>
        <v>1</v>
      </c>
      <c r="J319" s="675"/>
      <c r="K319" s="24">
        <f t="shared" si="58"/>
        <v>1</v>
      </c>
      <c r="L319" s="675"/>
      <c r="M319" s="24">
        <f t="shared" si="59"/>
        <v>1</v>
      </c>
      <c r="N319" s="675"/>
      <c r="O319" s="24">
        <f t="shared" si="60"/>
        <v>1</v>
      </c>
      <c r="P319" s="675"/>
      <c r="Q319" s="24">
        <f t="shared" si="61"/>
        <v>1</v>
      </c>
      <c r="R319" s="671">
        <f t="shared" si="62"/>
        <v>0</v>
      </c>
      <c r="S319" s="321">
        <f t="shared" si="63"/>
        <v>0</v>
      </c>
    </row>
    <row r="320" spans="1:19">
      <c r="A320" s="154"/>
      <c r="B320" s="57"/>
      <c r="C320" s="24">
        <f t="shared" si="54"/>
        <v>1</v>
      </c>
      <c r="D320" s="675"/>
      <c r="E320" s="24">
        <f t="shared" si="55"/>
        <v>0.02</v>
      </c>
      <c r="F320" s="675"/>
      <c r="G320" s="24">
        <f t="shared" si="56"/>
        <v>1</v>
      </c>
      <c r="H320" s="675"/>
      <c r="I320" s="24">
        <f t="shared" si="57"/>
        <v>1</v>
      </c>
      <c r="J320" s="675"/>
      <c r="K320" s="24">
        <f t="shared" si="58"/>
        <v>1</v>
      </c>
      <c r="L320" s="675"/>
      <c r="M320" s="24">
        <f t="shared" si="59"/>
        <v>1</v>
      </c>
      <c r="N320" s="675"/>
      <c r="O320" s="24">
        <f t="shared" si="60"/>
        <v>1</v>
      </c>
      <c r="P320" s="675"/>
      <c r="Q320" s="24">
        <f t="shared" si="61"/>
        <v>1</v>
      </c>
      <c r="R320" s="671">
        <f t="shared" si="62"/>
        <v>0</v>
      </c>
      <c r="S320" s="321">
        <f t="shared" si="63"/>
        <v>0</v>
      </c>
    </row>
    <row r="321" spans="1:19">
      <c r="A321" s="154"/>
      <c r="B321" s="57"/>
      <c r="C321" s="24">
        <f t="shared" si="54"/>
        <v>1</v>
      </c>
      <c r="D321" s="675"/>
      <c r="E321" s="24">
        <f t="shared" si="55"/>
        <v>0.02</v>
      </c>
      <c r="F321" s="675"/>
      <c r="G321" s="24">
        <f t="shared" si="56"/>
        <v>1</v>
      </c>
      <c r="H321" s="675"/>
      <c r="I321" s="24">
        <f t="shared" si="57"/>
        <v>1</v>
      </c>
      <c r="J321" s="675"/>
      <c r="K321" s="24">
        <f t="shared" si="58"/>
        <v>1</v>
      </c>
      <c r="L321" s="675"/>
      <c r="M321" s="24">
        <f t="shared" si="59"/>
        <v>1</v>
      </c>
      <c r="N321" s="675"/>
      <c r="O321" s="24">
        <f t="shared" si="60"/>
        <v>1</v>
      </c>
      <c r="P321" s="675"/>
      <c r="Q321" s="24">
        <f t="shared" si="61"/>
        <v>1</v>
      </c>
      <c r="R321" s="671">
        <f t="shared" si="62"/>
        <v>0</v>
      </c>
      <c r="S321" s="321">
        <f t="shared" ref="S321:S384" si="64">ROUND(R321*B321/10000,0)</f>
        <v>0</v>
      </c>
    </row>
    <row r="322" spans="1:19">
      <c r="A322" s="154"/>
      <c r="B322" s="57"/>
      <c r="C322" s="24">
        <f t="shared" si="54"/>
        <v>1</v>
      </c>
      <c r="D322" s="675"/>
      <c r="E322" s="24">
        <f t="shared" si="55"/>
        <v>0.02</v>
      </c>
      <c r="F322" s="675"/>
      <c r="G322" s="24">
        <f t="shared" si="56"/>
        <v>1</v>
      </c>
      <c r="H322" s="675"/>
      <c r="I322" s="24">
        <f t="shared" si="57"/>
        <v>1</v>
      </c>
      <c r="J322" s="675"/>
      <c r="K322" s="24">
        <f t="shared" si="58"/>
        <v>1</v>
      </c>
      <c r="L322" s="675"/>
      <c r="M322" s="24">
        <f t="shared" si="59"/>
        <v>1</v>
      </c>
      <c r="N322" s="675"/>
      <c r="O322" s="24">
        <f t="shared" si="60"/>
        <v>1</v>
      </c>
      <c r="P322" s="675"/>
      <c r="Q322" s="24">
        <f t="shared" si="61"/>
        <v>1</v>
      </c>
      <c r="R322" s="671">
        <f t="shared" si="62"/>
        <v>0</v>
      </c>
      <c r="S322" s="321">
        <f t="shared" si="64"/>
        <v>0</v>
      </c>
    </row>
    <row r="323" spans="1:19">
      <c r="A323" s="154"/>
      <c r="B323" s="57"/>
      <c r="C323" s="24">
        <f t="shared" si="54"/>
        <v>1</v>
      </c>
      <c r="D323" s="675"/>
      <c r="E323" s="24">
        <f t="shared" si="55"/>
        <v>0.02</v>
      </c>
      <c r="F323" s="675"/>
      <c r="G323" s="24">
        <f t="shared" si="56"/>
        <v>1</v>
      </c>
      <c r="H323" s="675"/>
      <c r="I323" s="24">
        <f t="shared" si="57"/>
        <v>1</v>
      </c>
      <c r="J323" s="675"/>
      <c r="K323" s="24">
        <f t="shared" si="58"/>
        <v>1</v>
      </c>
      <c r="L323" s="675"/>
      <c r="M323" s="24">
        <f t="shared" si="59"/>
        <v>1</v>
      </c>
      <c r="N323" s="675"/>
      <c r="O323" s="24">
        <f t="shared" si="60"/>
        <v>1</v>
      </c>
      <c r="P323" s="675"/>
      <c r="Q323" s="24">
        <f t="shared" si="61"/>
        <v>1</v>
      </c>
      <c r="R323" s="671">
        <f t="shared" si="62"/>
        <v>0</v>
      </c>
      <c r="S323" s="321">
        <f t="shared" si="64"/>
        <v>0</v>
      </c>
    </row>
    <row r="324" spans="1:19">
      <c r="A324" s="154"/>
      <c r="B324" s="57"/>
      <c r="C324" s="24">
        <f t="shared" si="54"/>
        <v>1</v>
      </c>
      <c r="D324" s="675"/>
      <c r="E324" s="24">
        <f t="shared" si="55"/>
        <v>0.02</v>
      </c>
      <c r="F324" s="675"/>
      <c r="G324" s="24">
        <f t="shared" si="56"/>
        <v>1</v>
      </c>
      <c r="H324" s="675"/>
      <c r="I324" s="24">
        <f t="shared" si="57"/>
        <v>1</v>
      </c>
      <c r="J324" s="675"/>
      <c r="K324" s="24">
        <f t="shared" si="58"/>
        <v>1</v>
      </c>
      <c r="L324" s="675"/>
      <c r="M324" s="24">
        <f t="shared" si="59"/>
        <v>1</v>
      </c>
      <c r="N324" s="675"/>
      <c r="O324" s="24">
        <f t="shared" si="60"/>
        <v>1</v>
      </c>
      <c r="P324" s="675"/>
      <c r="Q324" s="24">
        <f t="shared" si="61"/>
        <v>1</v>
      </c>
      <c r="R324" s="671">
        <f t="shared" si="62"/>
        <v>0</v>
      </c>
      <c r="S324" s="321">
        <f t="shared" si="64"/>
        <v>0</v>
      </c>
    </row>
    <row r="325" spans="1:19">
      <c r="A325" s="154"/>
      <c r="B325" s="57"/>
      <c r="C325" s="24">
        <f t="shared" si="54"/>
        <v>1</v>
      </c>
      <c r="D325" s="675"/>
      <c r="E325" s="24">
        <f t="shared" si="55"/>
        <v>0.02</v>
      </c>
      <c r="F325" s="675"/>
      <c r="G325" s="24">
        <f t="shared" si="56"/>
        <v>1</v>
      </c>
      <c r="H325" s="675"/>
      <c r="I325" s="24">
        <f t="shared" si="57"/>
        <v>1</v>
      </c>
      <c r="J325" s="675"/>
      <c r="K325" s="24">
        <f t="shared" si="58"/>
        <v>1</v>
      </c>
      <c r="L325" s="675"/>
      <c r="M325" s="24">
        <f t="shared" si="59"/>
        <v>1</v>
      </c>
      <c r="N325" s="675"/>
      <c r="O325" s="24">
        <f t="shared" si="60"/>
        <v>1</v>
      </c>
      <c r="P325" s="675"/>
      <c r="Q325" s="24">
        <f t="shared" si="61"/>
        <v>1</v>
      </c>
      <c r="R325" s="671">
        <f t="shared" si="62"/>
        <v>0</v>
      </c>
      <c r="S325" s="321">
        <f t="shared" si="64"/>
        <v>0</v>
      </c>
    </row>
    <row r="326" spans="1:19">
      <c r="A326" s="154"/>
      <c r="B326" s="57"/>
      <c r="C326" s="24">
        <f t="shared" si="54"/>
        <v>1</v>
      </c>
      <c r="D326" s="675"/>
      <c r="E326" s="24">
        <f t="shared" si="55"/>
        <v>0.02</v>
      </c>
      <c r="F326" s="675"/>
      <c r="G326" s="24">
        <f t="shared" si="56"/>
        <v>1</v>
      </c>
      <c r="H326" s="675"/>
      <c r="I326" s="24">
        <f t="shared" si="57"/>
        <v>1</v>
      </c>
      <c r="J326" s="675"/>
      <c r="K326" s="24">
        <f t="shared" si="58"/>
        <v>1</v>
      </c>
      <c r="L326" s="675"/>
      <c r="M326" s="24">
        <f t="shared" si="59"/>
        <v>1</v>
      </c>
      <c r="N326" s="675"/>
      <c r="O326" s="24">
        <f t="shared" si="60"/>
        <v>1</v>
      </c>
      <c r="P326" s="675"/>
      <c r="Q326" s="24">
        <f t="shared" si="61"/>
        <v>1</v>
      </c>
      <c r="R326" s="671">
        <f t="shared" si="62"/>
        <v>0</v>
      </c>
      <c r="S326" s="321">
        <f t="shared" si="64"/>
        <v>0</v>
      </c>
    </row>
    <row r="327" spans="1:19">
      <c r="A327" s="154"/>
      <c r="B327" s="57"/>
      <c r="C327" s="24">
        <f t="shared" si="54"/>
        <v>1</v>
      </c>
      <c r="D327" s="675"/>
      <c r="E327" s="24">
        <f t="shared" si="55"/>
        <v>0.02</v>
      </c>
      <c r="F327" s="675"/>
      <c r="G327" s="24">
        <f t="shared" si="56"/>
        <v>1</v>
      </c>
      <c r="H327" s="675"/>
      <c r="I327" s="24">
        <f t="shared" si="57"/>
        <v>1</v>
      </c>
      <c r="J327" s="675"/>
      <c r="K327" s="24">
        <f t="shared" si="58"/>
        <v>1</v>
      </c>
      <c r="L327" s="675"/>
      <c r="M327" s="24">
        <f t="shared" si="59"/>
        <v>1</v>
      </c>
      <c r="N327" s="675"/>
      <c r="O327" s="24">
        <f t="shared" si="60"/>
        <v>1</v>
      </c>
      <c r="P327" s="675"/>
      <c r="Q327" s="24">
        <f t="shared" si="61"/>
        <v>1</v>
      </c>
      <c r="R327" s="671">
        <f t="shared" si="62"/>
        <v>0</v>
      </c>
      <c r="S327" s="321">
        <f t="shared" si="64"/>
        <v>0</v>
      </c>
    </row>
    <row r="328" spans="1:19">
      <c r="A328" s="154"/>
      <c r="B328" s="57"/>
      <c r="C328" s="24">
        <f t="shared" si="54"/>
        <v>1</v>
      </c>
      <c r="D328" s="675"/>
      <c r="E328" s="24">
        <f t="shared" si="55"/>
        <v>0.02</v>
      </c>
      <c r="F328" s="675"/>
      <c r="G328" s="24">
        <f t="shared" si="56"/>
        <v>1</v>
      </c>
      <c r="H328" s="675"/>
      <c r="I328" s="24">
        <f t="shared" si="57"/>
        <v>1</v>
      </c>
      <c r="J328" s="675"/>
      <c r="K328" s="24">
        <f t="shared" si="58"/>
        <v>1</v>
      </c>
      <c r="L328" s="675"/>
      <c r="M328" s="24">
        <f t="shared" si="59"/>
        <v>1</v>
      </c>
      <c r="N328" s="675"/>
      <c r="O328" s="24">
        <f t="shared" si="60"/>
        <v>1</v>
      </c>
      <c r="P328" s="675"/>
      <c r="Q328" s="24">
        <f t="shared" si="61"/>
        <v>1</v>
      </c>
      <c r="R328" s="671">
        <f t="shared" si="62"/>
        <v>0</v>
      </c>
      <c r="S328" s="321">
        <f t="shared" si="64"/>
        <v>0</v>
      </c>
    </row>
    <row r="329" spans="1:19">
      <c r="A329" s="154"/>
      <c r="B329" s="57"/>
      <c r="C329" s="24">
        <f t="shared" si="54"/>
        <v>1</v>
      </c>
      <c r="D329" s="675"/>
      <c r="E329" s="24">
        <f t="shared" si="55"/>
        <v>0.02</v>
      </c>
      <c r="F329" s="675"/>
      <c r="G329" s="24">
        <f t="shared" si="56"/>
        <v>1</v>
      </c>
      <c r="H329" s="675"/>
      <c r="I329" s="24">
        <f t="shared" si="57"/>
        <v>1</v>
      </c>
      <c r="J329" s="675"/>
      <c r="K329" s="24">
        <f t="shared" si="58"/>
        <v>1</v>
      </c>
      <c r="L329" s="675"/>
      <c r="M329" s="24">
        <f t="shared" si="59"/>
        <v>1</v>
      </c>
      <c r="N329" s="675"/>
      <c r="O329" s="24">
        <f t="shared" si="60"/>
        <v>1</v>
      </c>
      <c r="P329" s="675"/>
      <c r="Q329" s="24">
        <f t="shared" si="61"/>
        <v>1</v>
      </c>
      <c r="R329" s="671">
        <f t="shared" si="62"/>
        <v>0</v>
      </c>
      <c r="S329" s="321">
        <f t="shared" si="64"/>
        <v>0</v>
      </c>
    </row>
    <row r="330" spans="1:19">
      <c r="A330" s="154"/>
      <c r="B330" s="57"/>
      <c r="C330" s="24">
        <f t="shared" si="54"/>
        <v>1</v>
      </c>
      <c r="D330" s="675"/>
      <c r="E330" s="24">
        <f t="shared" si="55"/>
        <v>0.02</v>
      </c>
      <c r="F330" s="675"/>
      <c r="G330" s="24">
        <f t="shared" si="56"/>
        <v>1</v>
      </c>
      <c r="H330" s="675"/>
      <c r="I330" s="24">
        <f t="shared" si="57"/>
        <v>1</v>
      </c>
      <c r="J330" s="675"/>
      <c r="K330" s="24">
        <f t="shared" si="58"/>
        <v>1</v>
      </c>
      <c r="L330" s="675"/>
      <c r="M330" s="24">
        <f t="shared" si="59"/>
        <v>1</v>
      </c>
      <c r="N330" s="675"/>
      <c r="O330" s="24">
        <f t="shared" si="60"/>
        <v>1</v>
      </c>
      <c r="P330" s="675"/>
      <c r="Q330" s="24">
        <f t="shared" si="61"/>
        <v>1</v>
      </c>
      <c r="R330" s="671">
        <f t="shared" si="62"/>
        <v>0</v>
      </c>
      <c r="S330" s="321">
        <f t="shared" si="64"/>
        <v>0</v>
      </c>
    </row>
    <row r="331" spans="1:19">
      <c r="A331" s="154"/>
      <c r="B331" s="57"/>
      <c r="C331" s="24">
        <f t="shared" si="54"/>
        <v>1</v>
      </c>
      <c r="D331" s="675"/>
      <c r="E331" s="24">
        <f t="shared" si="55"/>
        <v>0.02</v>
      </c>
      <c r="F331" s="675"/>
      <c r="G331" s="24">
        <f t="shared" si="56"/>
        <v>1</v>
      </c>
      <c r="H331" s="675"/>
      <c r="I331" s="24">
        <f t="shared" si="57"/>
        <v>1</v>
      </c>
      <c r="J331" s="675"/>
      <c r="K331" s="24">
        <f t="shared" si="58"/>
        <v>1</v>
      </c>
      <c r="L331" s="675"/>
      <c r="M331" s="24">
        <f t="shared" si="59"/>
        <v>1</v>
      </c>
      <c r="N331" s="675"/>
      <c r="O331" s="24">
        <f t="shared" si="60"/>
        <v>1</v>
      </c>
      <c r="P331" s="675"/>
      <c r="Q331" s="24">
        <f t="shared" si="61"/>
        <v>1</v>
      </c>
      <c r="R331" s="671">
        <f t="shared" si="62"/>
        <v>0</v>
      </c>
      <c r="S331" s="321">
        <f t="shared" si="64"/>
        <v>0</v>
      </c>
    </row>
    <row r="332" spans="1:19">
      <c r="A332" s="154"/>
      <c r="B332" s="57"/>
      <c r="C332" s="24">
        <f t="shared" si="54"/>
        <v>1</v>
      </c>
      <c r="D332" s="675"/>
      <c r="E332" s="24">
        <f t="shared" si="55"/>
        <v>0.02</v>
      </c>
      <c r="F332" s="675"/>
      <c r="G332" s="24">
        <f t="shared" si="56"/>
        <v>1</v>
      </c>
      <c r="H332" s="675"/>
      <c r="I332" s="24">
        <f t="shared" si="57"/>
        <v>1</v>
      </c>
      <c r="J332" s="675"/>
      <c r="K332" s="24">
        <f t="shared" si="58"/>
        <v>1</v>
      </c>
      <c r="L332" s="675"/>
      <c r="M332" s="24">
        <f t="shared" si="59"/>
        <v>1</v>
      </c>
      <c r="N332" s="675"/>
      <c r="O332" s="24">
        <f t="shared" si="60"/>
        <v>1</v>
      </c>
      <c r="P332" s="675"/>
      <c r="Q332" s="24">
        <f t="shared" si="61"/>
        <v>1</v>
      </c>
      <c r="R332" s="671">
        <f t="shared" si="62"/>
        <v>0</v>
      </c>
      <c r="S332" s="321">
        <f t="shared" si="64"/>
        <v>0</v>
      </c>
    </row>
    <row r="333" spans="1:19">
      <c r="A333" s="154"/>
      <c r="B333" s="57"/>
      <c r="C333" s="24">
        <f t="shared" si="54"/>
        <v>1</v>
      </c>
      <c r="D333" s="675"/>
      <c r="E333" s="24">
        <f t="shared" si="55"/>
        <v>0.02</v>
      </c>
      <c r="F333" s="675"/>
      <c r="G333" s="24">
        <f t="shared" si="56"/>
        <v>1</v>
      </c>
      <c r="H333" s="675"/>
      <c r="I333" s="24">
        <f t="shared" si="57"/>
        <v>1</v>
      </c>
      <c r="J333" s="675"/>
      <c r="K333" s="24">
        <f t="shared" si="58"/>
        <v>1</v>
      </c>
      <c r="L333" s="675"/>
      <c r="M333" s="24">
        <f t="shared" si="59"/>
        <v>1</v>
      </c>
      <c r="N333" s="675"/>
      <c r="O333" s="24">
        <f t="shared" si="60"/>
        <v>1</v>
      </c>
      <c r="P333" s="675"/>
      <c r="Q333" s="24">
        <f t="shared" si="61"/>
        <v>1</v>
      </c>
      <c r="R333" s="671">
        <f t="shared" si="62"/>
        <v>0</v>
      </c>
      <c r="S333" s="321">
        <f t="shared" si="64"/>
        <v>0</v>
      </c>
    </row>
    <row r="334" spans="1:19">
      <c r="A334" s="154"/>
      <c r="B334" s="57"/>
      <c r="C334" s="24">
        <f t="shared" si="54"/>
        <v>1</v>
      </c>
      <c r="D334" s="675"/>
      <c r="E334" s="24">
        <f t="shared" si="55"/>
        <v>0.02</v>
      </c>
      <c r="F334" s="675"/>
      <c r="G334" s="24">
        <f t="shared" si="56"/>
        <v>1</v>
      </c>
      <c r="H334" s="675"/>
      <c r="I334" s="24">
        <f t="shared" si="57"/>
        <v>1</v>
      </c>
      <c r="J334" s="675"/>
      <c r="K334" s="24">
        <f t="shared" si="58"/>
        <v>1</v>
      </c>
      <c r="L334" s="675"/>
      <c r="M334" s="24">
        <f t="shared" si="59"/>
        <v>1</v>
      </c>
      <c r="N334" s="675"/>
      <c r="O334" s="24">
        <f t="shared" si="60"/>
        <v>1</v>
      </c>
      <c r="P334" s="675"/>
      <c r="Q334" s="24">
        <f t="shared" si="61"/>
        <v>1</v>
      </c>
      <c r="R334" s="671">
        <f t="shared" si="62"/>
        <v>0</v>
      </c>
      <c r="S334" s="321">
        <f t="shared" si="64"/>
        <v>0</v>
      </c>
    </row>
    <row r="335" spans="1:19">
      <c r="A335" s="154"/>
      <c r="B335" s="57"/>
      <c r="C335" s="24">
        <f t="shared" si="54"/>
        <v>1</v>
      </c>
      <c r="D335" s="675"/>
      <c r="E335" s="24">
        <f t="shared" si="55"/>
        <v>0.02</v>
      </c>
      <c r="F335" s="675"/>
      <c r="G335" s="24">
        <f t="shared" si="56"/>
        <v>1</v>
      </c>
      <c r="H335" s="675"/>
      <c r="I335" s="24">
        <f t="shared" si="57"/>
        <v>1</v>
      </c>
      <c r="J335" s="675"/>
      <c r="K335" s="24">
        <f t="shared" si="58"/>
        <v>1</v>
      </c>
      <c r="L335" s="675"/>
      <c r="M335" s="24">
        <f t="shared" si="59"/>
        <v>1</v>
      </c>
      <c r="N335" s="675"/>
      <c r="O335" s="24">
        <f t="shared" si="60"/>
        <v>1</v>
      </c>
      <c r="P335" s="675"/>
      <c r="Q335" s="24">
        <f t="shared" si="61"/>
        <v>1</v>
      </c>
      <c r="R335" s="671">
        <f t="shared" si="62"/>
        <v>0</v>
      </c>
      <c r="S335" s="321">
        <f t="shared" si="64"/>
        <v>0</v>
      </c>
    </row>
    <row r="336" spans="1:19">
      <c r="A336" s="154"/>
      <c r="B336" s="57"/>
      <c r="C336" s="24">
        <f t="shared" si="54"/>
        <v>1</v>
      </c>
      <c r="D336" s="675"/>
      <c r="E336" s="24">
        <f t="shared" si="55"/>
        <v>0.02</v>
      </c>
      <c r="F336" s="675"/>
      <c r="G336" s="24">
        <f t="shared" si="56"/>
        <v>1</v>
      </c>
      <c r="H336" s="675"/>
      <c r="I336" s="24">
        <f t="shared" si="57"/>
        <v>1</v>
      </c>
      <c r="J336" s="675"/>
      <c r="K336" s="24">
        <f t="shared" si="58"/>
        <v>1</v>
      </c>
      <c r="L336" s="675"/>
      <c r="M336" s="24">
        <f t="shared" si="59"/>
        <v>1</v>
      </c>
      <c r="N336" s="675"/>
      <c r="O336" s="24">
        <f t="shared" si="60"/>
        <v>1</v>
      </c>
      <c r="P336" s="675"/>
      <c r="Q336" s="24">
        <f t="shared" si="61"/>
        <v>1</v>
      </c>
      <c r="R336" s="671">
        <f t="shared" si="62"/>
        <v>0</v>
      </c>
      <c r="S336" s="321">
        <f t="shared" si="64"/>
        <v>0</v>
      </c>
    </row>
    <row r="337" spans="1:19">
      <c r="A337" s="154"/>
      <c r="B337" s="57"/>
      <c r="C337" s="24">
        <f t="shared" si="54"/>
        <v>1</v>
      </c>
      <c r="D337" s="675"/>
      <c r="E337" s="24">
        <f t="shared" si="55"/>
        <v>0.02</v>
      </c>
      <c r="F337" s="675"/>
      <c r="G337" s="24">
        <f t="shared" si="56"/>
        <v>1</v>
      </c>
      <c r="H337" s="675"/>
      <c r="I337" s="24">
        <f t="shared" si="57"/>
        <v>1</v>
      </c>
      <c r="J337" s="675"/>
      <c r="K337" s="24">
        <f t="shared" si="58"/>
        <v>1</v>
      </c>
      <c r="L337" s="675"/>
      <c r="M337" s="24">
        <f t="shared" si="59"/>
        <v>1</v>
      </c>
      <c r="N337" s="675"/>
      <c r="O337" s="24">
        <f t="shared" si="60"/>
        <v>1</v>
      </c>
      <c r="P337" s="675"/>
      <c r="Q337" s="24">
        <f t="shared" si="61"/>
        <v>1</v>
      </c>
      <c r="R337" s="671">
        <f t="shared" si="62"/>
        <v>0</v>
      </c>
      <c r="S337" s="321">
        <f t="shared" si="64"/>
        <v>0</v>
      </c>
    </row>
    <row r="338" spans="1:19">
      <c r="A338" s="154"/>
      <c r="B338" s="57"/>
      <c r="C338" s="24">
        <f t="shared" si="54"/>
        <v>1</v>
      </c>
      <c r="D338" s="675"/>
      <c r="E338" s="24">
        <f t="shared" si="55"/>
        <v>0.02</v>
      </c>
      <c r="F338" s="675"/>
      <c r="G338" s="24">
        <f t="shared" si="56"/>
        <v>1</v>
      </c>
      <c r="H338" s="675"/>
      <c r="I338" s="24">
        <f t="shared" si="57"/>
        <v>1</v>
      </c>
      <c r="J338" s="675"/>
      <c r="K338" s="24">
        <f t="shared" si="58"/>
        <v>1</v>
      </c>
      <c r="L338" s="675"/>
      <c r="M338" s="24">
        <f t="shared" si="59"/>
        <v>1</v>
      </c>
      <c r="N338" s="675"/>
      <c r="O338" s="24">
        <f t="shared" si="60"/>
        <v>1</v>
      </c>
      <c r="P338" s="675"/>
      <c r="Q338" s="24">
        <f t="shared" si="61"/>
        <v>1</v>
      </c>
      <c r="R338" s="671">
        <f t="shared" si="62"/>
        <v>0</v>
      </c>
      <c r="S338" s="321">
        <f t="shared" si="64"/>
        <v>0</v>
      </c>
    </row>
    <row r="339" spans="1:19">
      <c r="A339" s="154"/>
      <c r="B339" s="57"/>
      <c r="C339" s="24">
        <f t="shared" si="54"/>
        <v>1</v>
      </c>
      <c r="D339" s="675"/>
      <c r="E339" s="24">
        <f t="shared" si="55"/>
        <v>0.02</v>
      </c>
      <c r="F339" s="675"/>
      <c r="G339" s="24">
        <f t="shared" si="56"/>
        <v>1</v>
      </c>
      <c r="H339" s="675"/>
      <c r="I339" s="24">
        <f t="shared" si="57"/>
        <v>1</v>
      </c>
      <c r="J339" s="675"/>
      <c r="K339" s="24">
        <f t="shared" si="58"/>
        <v>1</v>
      </c>
      <c r="L339" s="675"/>
      <c r="M339" s="24">
        <f t="shared" si="59"/>
        <v>1</v>
      </c>
      <c r="N339" s="675"/>
      <c r="O339" s="24">
        <f t="shared" si="60"/>
        <v>1</v>
      </c>
      <c r="P339" s="675"/>
      <c r="Q339" s="24">
        <f t="shared" si="61"/>
        <v>1</v>
      </c>
      <c r="R339" s="671">
        <f t="shared" si="62"/>
        <v>0</v>
      </c>
      <c r="S339" s="321">
        <f t="shared" si="64"/>
        <v>0</v>
      </c>
    </row>
    <row r="340" spans="1:19">
      <c r="A340" s="154"/>
      <c r="B340" s="57"/>
      <c r="C340" s="24">
        <f t="shared" si="54"/>
        <v>1</v>
      </c>
      <c r="D340" s="675"/>
      <c r="E340" s="24">
        <f t="shared" si="55"/>
        <v>0.02</v>
      </c>
      <c r="F340" s="675"/>
      <c r="G340" s="24">
        <f t="shared" si="56"/>
        <v>1</v>
      </c>
      <c r="H340" s="675"/>
      <c r="I340" s="24">
        <f t="shared" si="57"/>
        <v>1</v>
      </c>
      <c r="J340" s="675"/>
      <c r="K340" s="24">
        <f t="shared" si="58"/>
        <v>1</v>
      </c>
      <c r="L340" s="675"/>
      <c r="M340" s="24">
        <f t="shared" si="59"/>
        <v>1</v>
      </c>
      <c r="N340" s="675"/>
      <c r="O340" s="24">
        <f t="shared" si="60"/>
        <v>1</v>
      </c>
      <c r="P340" s="675"/>
      <c r="Q340" s="24">
        <f t="shared" si="61"/>
        <v>1</v>
      </c>
      <c r="R340" s="671">
        <f t="shared" si="62"/>
        <v>0</v>
      </c>
      <c r="S340" s="321">
        <f t="shared" si="64"/>
        <v>0</v>
      </c>
    </row>
    <row r="341" spans="1:19">
      <c r="A341" s="154"/>
      <c r="B341" s="57"/>
      <c r="C341" s="24">
        <f t="shared" si="54"/>
        <v>1</v>
      </c>
      <c r="D341" s="675"/>
      <c r="E341" s="24">
        <f t="shared" si="55"/>
        <v>0.02</v>
      </c>
      <c r="F341" s="675"/>
      <c r="G341" s="24">
        <f t="shared" si="56"/>
        <v>1</v>
      </c>
      <c r="H341" s="675"/>
      <c r="I341" s="24">
        <f t="shared" si="57"/>
        <v>1</v>
      </c>
      <c r="J341" s="675"/>
      <c r="K341" s="24">
        <f t="shared" si="58"/>
        <v>1</v>
      </c>
      <c r="L341" s="675"/>
      <c r="M341" s="24">
        <f t="shared" si="59"/>
        <v>1</v>
      </c>
      <c r="N341" s="675"/>
      <c r="O341" s="24">
        <f t="shared" si="60"/>
        <v>1</v>
      </c>
      <c r="P341" s="675"/>
      <c r="Q341" s="24">
        <f t="shared" si="61"/>
        <v>1</v>
      </c>
      <c r="R341" s="671">
        <f t="shared" si="62"/>
        <v>0</v>
      </c>
      <c r="S341" s="321">
        <f t="shared" si="64"/>
        <v>0</v>
      </c>
    </row>
    <row r="342" spans="1:19">
      <c r="A342" s="154"/>
      <c r="B342" s="57"/>
      <c r="C342" s="24">
        <f t="shared" si="54"/>
        <v>1</v>
      </c>
      <c r="D342" s="675"/>
      <c r="E342" s="24">
        <f t="shared" si="55"/>
        <v>0.02</v>
      </c>
      <c r="F342" s="675"/>
      <c r="G342" s="24">
        <f t="shared" si="56"/>
        <v>1</v>
      </c>
      <c r="H342" s="675"/>
      <c r="I342" s="24">
        <f t="shared" si="57"/>
        <v>1</v>
      </c>
      <c r="J342" s="675"/>
      <c r="K342" s="24">
        <f t="shared" si="58"/>
        <v>1</v>
      </c>
      <c r="L342" s="675"/>
      <c r="M342" s="24">
        <f t="shared" si="59"/>
        <v>1</v>
      </c>
      <c r="N342" s="675"/>
      <c r="O342" s="24">
        <f t="shared" si="60"/>
        <v>1</v>
      </c>
      <c r="P342" s="675"/>
      <c r="Q342" s="24">
        <f t="shared" si="61"/>
        <v>1</v>
      </c>
      <c r="R342" s="671">
        <f t="shared" si="62"/>
        <v>0</v>
      </c>
      <c r="S342" s="321">
        <f t="shared" si="64"/>
        <v>0</v>
      </c>
    </row>
    <row r="343" spans="1:19">
      <c r="A343" s="154"/>
      <c r="B343" s="57"/>
      <c r="C343" s="24">
        <f t="shared" si="54"/>
        <v>1</v>
      </c>
      <c r="D343" s="675"/>
      <c r="E343" s="24">
        <f t="shared" si="55"/>
        <v>0.02</v>
      </c>
      <c r="F343" s="675"/>
      <c r="G343" s="24">
        <f t="shared" si="56"/>
        <v>1</v>
      </c>
      <c r="H343" s="675"/>
      <c r="I343" s="24">
        <f t="shared" si="57"/>
        <v>1</v>
      </c>
      <c r="J343" s="675"/>
      <c r="K343" s="24">
        <f t="shared" si="58"/>
        <v>1</v>
      </c>
      <c r="L343" s="675"/>
      <c r="M343" s="24">
        <f t="shared" si="59"/>
        <v>1</v>
      </c>
      <c r="N343" s="675"/>
      <c r="O343" s="24">
        <f t="shared" si="60"/>
        <v>1</v>
      </c>
      <c r="P343" s="675"/>
      <c r="Q343" s="24">
        <f t="shared" si="61"/>
        <v>1</v>
      </c>
      <c r="R343" s="671">
        <f t="shared" si="62"/>
        <v>0</v>
      </c>
      <c r="S343" s="321">
        <f t="shared" si="64"/>
        <v>0</v>
      </c>
    </row>
    <row r="344" spans="1:19">
      <c r="A344" s="154"/>
      <c r="B344" s="57"/>
      <c r="C344" s="24">
        <f t="shared" si="54"/>
        <v>1</v>
      </c>
      <c r="D344" s="675"/>
      <c r="E344" s="24">
        <f t="shared" si="55"/>
        <v>0.02</v>
      </c>
      <c r="F344" s="675"/>
      <c r="G344" s="24">
        <f t="shared" si="56"/>
        <v>1</v>
      </c>
      <c r="H344" s="675"/>
      <c r="I344" s="24">
        <f t="shared" si="57"/>
        <v>1</v>
      </c>
      <c r="J344" s="675"/>
      <c r="K344" s="24">
        <f t="shared" si="58"/>
        <v>1</v>
      </c>
      <c r="L344" s="675"/>
      <c r="M344" s="24">
        <f t="shared" si="59"/>
        <v>1</v>
      </c>
      <c r="N344" s="675"/>
      <c r="O344" s="24">
        <f t="shared" si="60"/>
        <v>1</v>
      </c>
      <c r="P344" s="675"/>
      <c r="Q344" s="24">
        <f t="shared" si="61"/>
        <v>1</v>
      </c>
      <c r="R344" s="671">
        <f t="shared" si="62"/>
        <v>0</v>
      </c>
      <c r="S344" s="321">
        <f t="shared" si="64"/>
        <v>0</v>
      </c>
    </row>
    <row r="345" spans="1:19">
      <c r="A345" s="154"/>
      <c r="B345" s="57"/>
      <c r="C345" s="24">
        <f t="shared" si="54"/>
        <v>1</v>
      </c>
      <c r="D345" s="675"/>
      <c r="E345" s="24">
        <f t="shared" si="55"/>
        <v>0.02</v>
      </c>
      <c r="F345" s="675"/>
      <c r="G345" s="24">
        <f t="shared" si="56"/>
        <v>1</v>
      </c>
      <c r="H345" s="675"/>
      <c r="I345" s="24">
        <f t="shared" si="57"/>
        <v>1</v>
      </c>
      <c r="J345" s="675"/>
      <c r="K345" s="24">
        <f t="shared" si="58"/>
        <v>1</v>
      </c>
      <c r="L345" s="675"/>
      <c r="M345" s="24">
        <f t="shared" si="59"/>
        <v>1</v>
      </c>
      <c r="N345" s="675"/>
      <c r="O345" s="24">
        <f t="shared" si="60"/>
        <v>1</v>
      </c>
      <c r="P345" s="675"/>
      <c r="Q345" s="24">
        <f t="shared" si="61"/>
        <v>1</v>
      </c>
      <c r="R345" s="671">
        <f t="shared" si="62"/>
        <v>0</v>
      </c>
      <c r="S345" s="321">
        <f t="shared" si="64"/>
        <v>0</v>
      </c>
    </row>
    <row r="346" spans="1:19">
      <c r="A346" s="154"/>
      <c r="B346" s="57"/>
      <c r="C346" s="24">
        <f t="shared" ref="C346:C409" si="65">IF(B346="",1,(LOOKUP(B346,$3:$3,$4:$4)-LOOKUP($B$24,$3:$3,$4:$4)+100)/100)</f>
        <v>1</v>
      </c>
      <c r="D346" s="675"/>
      <c r="E346" s="24">
        <f t="shared" ref="E346:E409" si="66">(SUMIF($5:$5,D346,$6:$6)-SUMIF($5:$5,$D$24,$6:$6)+100)/100</f>
        <v>0.02</v>
      </c>
      <c r="F346" s="675"/>
      <c r="G346" s="24">
        <f t="shared" ref="G346:G409" si="67">(SUMIF($7:$7,F346,$8:$8)-SUMIF($7:$7,$F$24,$8:$8)+100)/100</f>
        <v>1</v>
      </c>
      <c r="H346" s="675"/>
      <c r="I346" s="24">
        <f t="shared" ref="I346:I409" si="68">(SUMIF($9:$9,H346,$10:$10)-SUMIF($9:$9,$H$24,$10:$10)+100)/100</f>
        <v>1</v>
      </c>
      <c r="J346" s="675"/>
      <c r="K346" s="24">
        <f t="shared" ref="K346:K409" si="69">(SUMIF($11:$11,J346,$12:$12)-SUMIF($11:$11,$J$24,$12:$12)+100)/100</f>
        <v>1</v>
      </c>
      <c r="L346" s="675"/>
      <c r="M346" s="24">
        <f t="shared" ref="M346:M409" si="70">(SUMIF($13:$13,L346,$14:$14)-SUMIF($13:$13,$L$24,$14:$14)+100)/100</f>
        <v>1</v>
      </c>
      <c r="N346" s="675"/>
      <c r="O346" s="24">
        <f t="shared" ref="O346:O409" si="71">(SUMIF($15:$15,N346,$16:$16)-SUMIF($15:$15,$N$24,$16:$16)+100)/100</f>
        <v>1</v>
      </c>
      <c r="P346" s="675"/>
      <c r="Q346" s="24">
        <f t="shared" ref="Q346:Q409" si="72">(SUMIF($17:$17,P346,$18:$18)-SUMIF($17:$17,$P$24,$18:$18)+100)/100</f>
        <v>1</v>
      </c>
      <c r="R346" s="671">
        <f t="shared" ref="R346:R409" si="73">IF(B346="",0,ROUND($R$24*C346*E346*G346*I346*K346*M346*O346*Q346,0))</f>
        <v>0</v>
      </c>
      <c r="S346" s="321">
        <f t="shared" si="64"/>
        <v>0</v>
      </c>
    </row>
    <row r="347" spans="1:19">
      <c r="A347" s="154"/>
      <c r="B347" s="57"/>
      <c r="C347" s="24">
        <f t="shared" si="65"/>
        <v>1</v>
      </c>
      <c r="D347" s="675"/>
      <c r="E347" s="24">
        <f t="shared" si="66"/>
        <v>0.02</v>
      </c>
      <c r="F347" s="675"/>
      <c r="G347" s="24">
        <f t="shared" si="67"/>
        <v>1</v>
      </c>
      <c r="H347" s="675"/>
      <c r="I347" s="24">
        <f t="shared" si="68"/>
        <v>1</v>
      </c>
      <c r="J347" s="675"/>
      <c r="K347" s="24">
        <f t="shared" si="69"/>
        <v>1</v>
      </c>
      <c r="L347" s="675"/>
      <c r="M347" s="24">
        <f t="shared" si="70"/>
        <v>1</v>
      </c>
      <c r="N347" s="675"/>
      <c r="O347" s="24">
        <f t="shared" si="71"/>
        <v>1</v>
      </c>
      <c r="P347" s="675"/>
      <c r="Q347" s="24">
        <f t="shared" si="72"/>
        <v>1</v>
      </c>
      <c r="R347" s="671">
        <f t="shared" si="73"/>
        <v>0</v>
      </c>
      <c r="S347" s="321">
        <f t="shared" si="64"/>
        <v>0</v>
      </c>
    </row>
    <row r="348" spans="1:19">
      <c r="A348" s="154"/>
      <c r="B348" s="57"/>
      <c r="C348" s="24">
        <f t="shared" si="65"/>
        <v>1</v>
      </c>
      <c r="D348" s="675"/>
      <c r="E348" s="24">
        <f t="shared" si="66"/>
        <v>0.02</v>
      </c>
      <c r="F348" s="675"/>
      <c r="G348" s="24">
        <f t="shared" si="67"/>
        <v>1</v>
      </c>
      <c r="H348" s="675"/>
      <c r="I348" s="24">
        <f t="shared" si="68"/>
        <v>1</v>
      </c>
      <c r="J348" s="675"/>
      <c r="K348" s="24">
        <f t="shared" si="69"/>
        <v>1</v>
      </c>
      <c r="L348" s="675"/>
      <c r="M348" s="24">
        <f t="shared" si="70"/>
        <v>1</v>
      </c>
      <c r="N348" s="675"/>
      <c r="O348" s="24">
        <f t="shared" si="71"/>
        <v>1</v>
      </c>
      <c r="P348" s="675"/>
      <c r="Q348" s="24">
        <f t="shared" si="72"/>
        <v>1</v>
      </c>
      <c r="R348" s="671">
        <f t="shared" si="73"/>
        <v>0</v>
      </c>
      <c r="S348" s="321">
        <f t="shared" si="64"/>
        <v>0</v>
      </c>
    </row>
    <row r="349" spans="1:19">
      <c r="A349" s="154"/>
      <c r="B349" s="57"/>
      <c r="C349" s="24">
        <f t="shared" si="65"/>
        <v>1</v>
      </c>
      <c r="D349" s="675"/>
      <c r="E349" s="24">
        <f t="shared" si="66"/>
        <v>0.02</v>
      </c>
      <c r="F349" s="675"/>
      <c r="G349" s="24">
        <f t="shared" si="67"/>
        <v>1</v>
      </c>
      <c r="H349" s="675"/>
      <c r="I349" s="24">
        <f t="shared" si="68"/>
        <v>1</v>
      </c>
      <c r="J349" s="675"/>
      <c r="K349" s="24">
        <f t="shared" si="69"/>
        <v>1</v>
      </c>
      <c r="L349" s="675"/>
      <c r="M349" s="24">
        <f t="shared" si="70"/>
        <v>1</v>
      </c>
      <c r="N349" s="675"/>
      <c r="O349" s="24">
        <f t="shared" si="71"/>
        <v>1</v>
      </c>
      <c r="P349" s="675"/>
      <c r="Q349" s="24">
        <f t="shared" si="72"/>
        <v>1</v>
      </c>
      <c r="R349" s="671">
        <f t="shared" si="73"/>
        <v>0</v>
      </c>
      <c r="S349" s="321">
        <f t="shared" si="64"/>
        <v>0</v>
      </c>
    </row>
    <row r="350" spans="1:19">
      <c r="A350" s="154"/>
      <c r="B350" s="57"/>
      <c r="C350" s="24">
        <f t="shared" si="65"/>
        <v>1</v>
      </c>
      <c r="D350" s="675"/>
      <c r="E350" s="24">
        <f t="shared" si="66"/>
        <v>0.02</v>
      </c>
      <c r="F350" s="675"/>
      <c r="G350" s="24">
        <f t="shared" si="67"/>
        <v>1</v>
      </c>
      <c r="H350" s="675"/>
      <c r="I350" s="24">
        <f t="shared" si="68"/>
        <v>1</v>
      </c>
      <c r="J350" s="675"/>
      <c r="K350" s="24">
        <f t="shared" si="69"/>
        <v>1</v>
      </c>
      <c r="L350" s="675"/>
      <c r="M350" s="24">
        <f t="shared" si="70"/>
        <v>1</v>
      </c>
      <c r="N350" s="675"/>
      <c r="O350" s="24">
        <f t="shared" si="71"/>
        <v>1</v>
      </c>
      <c r="P350" s="675"/>
      <c r="Q350" s="24">
        <f t="shared" si="72"/>
        <v>1</v>
      </c>
      <c r="R350" s="671">
        <f t="shared" si="73"/>
        <v>0</v>
      </c>
      <c r="S350" s="321">
        <f t="shared" si="64"/>
        <v>0</v>
      </c>
    </row>
    <row r="351" spans="1:19">
      <c r="A351" s="154"/>
      <c r="B351" s="57"/>
      <c r="C351" s="24">
        <f t="shared" si="65"/>
        <v>1</v>
      </c>
      <c r="D351" s="675"/>
      <c r="E351" s="24">
        <f t="shared" si="66"/>
        <v>0.02</v>
      </c>
      <c r="F351" s="675"/>
      <c r="G351" s="24">
        <f t="shared" si="67"/>
        <v>1</v>
      </c>
      <c r="H351" s="675"/>
      <c r="I351" s="24">
        <f t="shared" si="68"/>
        <v>1</v>
      </c>
      <c r="J351" s="675"/>
      <c r="K351" s="24">
        <f t="shared" si="69"/>
        <v>1</v>
      </c>
      <c r="L351" s="675"/>
      <c r="M351" s="24">
        <f t="shared" si="70"/>
        <v>1</v>
      </c>
      <c r="N351" s="675"/>
      <c r="O351" s="24">
        <f t="shared" si="71"/>
        <v>1</v>
      </c>
      <c r="P351" s="675"/>
      <c r="Q351" s="24">
        <f t="shared" si="72"/>
        <v>1</v>
      </c>
      <c r="R351" s="671">
        <f t="shared" si="73"/>
        <v>0</v>
      </c>
      <c r="S351" s="321">
        <f t="shared" si="64"/>
        <v>0</v>
      </c>
    </row>
    <row r="352" spans="1:19">
      <c r="A352" s="154"/>
      <c r="B352" s="57"/>
      <c r="C352" s="24">
        <f t="shared" si="65"/>
        <v>1</v>
      </c>
      <c r="D352" s="675"/>
      <c r="E352" s="24">
        <f t="shared" si="66"/>
        <v>0.02</v>
      </c>
      <c r="F352" s="675"/>
      <c r="G352" s="24">
        <f t="shared" si="67"/>
        <v>1</v>
      </c>
      <c r="H352" s="675"/>
      <c r="I352" s="24">
        <f t="shared" si="68"/>
        <v>1</v>
      </c>
      <c r="J352" s="675"/>
      <c r="K352" s="24">
        <f t="shared" si="69"/>
        <v>1</v>
      </c>
      <c r="L352" s="675"/>
      <c r="M352" s="24">
        <f t="shared" si="70"/>
        <v>1</v>
      </c>
      <c r="N352" s="675"/>
      <c r="O352" s="24">
        <f t="shared" si="71"/>
        <v>1</v>
      </c>
      <c r="P352" s="675"/>
      <c r="Q352" s="24">
        <f t="shared" si="72"/>
        <v>1</v>
      </c>
      <c r="R352" s="671">
        <f t="shared" si="73"/>
        <v>0</v>
      </c>
      <c r="S352" s="321">
        <f t="shared" si="64"/>
        <v>0</v>
      </c>
    </row>
    <row r="353" spans="1:19">
      <c r="A353" s="154"/>
      <c r="B353" s="57"/>
      <c r="C353" s="24">
        <f t="shared" si="65"/>
        <v>1</v>
      </c>
      <c r="D353" s="675"/>
      <c r="E353" s="24">
        <f t="shared" si="66"/>
        <v>0.02</v>
      </c>
      <c r="F353" s="675"/>
      <c r="G353" s="24">
        <f t="shared" si="67"/>
        <v>1</v>
      </c>
      <c r="H353" s="675"/>
      <c r="I353" s="24">
        <f t="shared" si="68"/>
        <v>1</v>
      </c>
      <c r="J353" s="675"/>
      <c r="K353" s="24">
        <f t="shared" si="69"/>
        <v>1</v>
      </c>
      <c r="L353" s="675"/>
      <c r="M353" s="24">
        <f t="shared" si="70"/>
        <v>1</v>
      </c>
      <c r="N353" s="675"/>
      <c r="O353" s="24">
        <f t="shared" si="71"/>
        <v>1</v>
      </c>
      <c r="P353" s="675"/>
      <c r="Q353" s="24">
        <f t="shared" si="72"/>
        <v>1</v>
      </c>
      <c r="R353" s="671">
        <f t="shared" si="73"/>
        <v>0</v>
      </c>
      <c r="S353" s="321">
        <f t="shared" si="64"/>
        <v>0</v>
      </c>
    </row>
    <row r="354" spans="1:19">
      <c r="A354" s="154"/>
      <c r="B354" s="57"/>
      <c r="C354" s="24">
        <f t="shared" si="65"/>
        <v>1</v>
      </c>
      <c r="D354" s="675"/>
      <c r="E354" s="24">
        <f t="shared" si="66"/>
        <v>0.02</v>
      </c>
      <c r="F354" s="675"/>
      <c r="G354" s="24">
        <f t="shared" si="67"/>
        <v>1</v>
      </c>
      <c r="H354" s="675"/>
      <c r="I354" s="24">
        <f t="shared" si="68"/>
        <v>1</v>
      </c>
      <c r="J354" s="675"/>
      <c r="K354" s="24">
        <f t="shared" si="69"/>
        <v>1</v>
      </c>
      <c r="L354" s="675"/>
      <c r="M354" s="24">
        <f t="shared" si="70"/>
        <v>1</v>
      </c>
      <c r="N354" s="675"/>
      <c r="O354" s="24">
        <f t="shared" si="71"/>
        <v>1</v>
      </c>
      <c r="P354" s="675"/>
      <c r="Q354" s="24">
        <f t="shared" si="72"/>
        <v>1</v>
      </c>
      <c r="R354" s="671">
        <f t="shared" si="73"/>
        <v>0</v>
      </c>
      <c r="S354" s="321">
        <f t="shared" si="64"/>
        <v>0</v>
      </c>
    </row>
    <row r="355" spans="1:19">
      <c r="A355" s="154"/>
      <c r="B355" s="57"/>
      <c r="C355" s="24">
        <f t="shared" si="65"/>
        <v>1</v>
      </c>
      <c r="D355" s="675"/>
      <c r="E355" s="24">
        <f t="shared" si="66"/>
        <v>0.02</v>
      </c>
      <c r="F355" s="675"/>
      <c r="G355" s="24">
        <f t="shared" si="67"/>
        <v>1</v>
      </c>
      <c r="H355" s="675"/>
      <c r="I355" s="24">
        <f t="shared" si="68"/>
        <v>1</v>
      </c>
      <c r="J355" s="675"/>
      <c r="K355" s="24">
        <f t="shared" si="69"/>
        <v>1</v>
      </c>
      <c r="L355" s="675"/>
      <c r="M355" s="24">
        <f t="shared" si="70"/>
        <v>1</v>
      </c>
      <c r="N355" s="675"/>
      <c r="O355" s="24">
        <f t="shared" si="71"/>
        <v>1</v>
      </c>
      <c r="P355" s="675"/>
      <c r="Q355" s="24">
        <f t="shared" si="72"/>
        <v>1</v>
      </c>
      <c r="R355" s="671">
        <f t="shared" si="73"/>
        <v>0</v>
      </c>
      <c r="S355" s="321">
        <f t="shared" si="64"/>
        <v>0</v>
      </c>
    </row>
    <row r="356" spans="1:19">
      <c r="A356" s="154"/>
      <c r="B356" s="57"/>
      <c r="C356" s="24">
        <f t="shared" si="65"/>
        <v>1</v>
      </c>
      <c r="D356" s="675"/>
      <c r="E356" s="24">
        <f t="shared" si="66"/>
        <v>0.02</v>
      </c>
      <c r="F356" s="675"/>
      <c r="G356" s="24">
        <f t="shared" si="67"/>
        <v>1</v>
      </c>
      <c r="H356" s="675"/>
      <c r="I356" s="24">
        <f t="shared" si="68"/>
        <v>1</v>
      </c>
      <c r="J356" s="675"/>
      <c r="K356" s="24">
        <f t="shared" si="69"/>
        <v>1</v>
      </c>
      <c r="L356" s="675"/>
      <c r="M356" s="24">
        <f t="shared" si="70"/>
        <v>1</v>
      </c>
      <c r="N356" s="675"/>
      <c r="O356" s="24">
        <f t="shared" si="71"/>
        <v>1</v>
      </c>
      <c r="P356" s="675"/>
      <c r="Q356" s="24">
        <f t="shared" si="72"/>
        <v>1</v>
      </c>
      <c r="R356" s="671">
        <f t="shared" si="73"/>
        <v>0</v>
      </c>
      <c r="S356" s="321">
        <f t="shared" si="64"/>
        <v>0</v>
      </c>
    </row>
    <row r="357" spans="1:19">
      <c r="A357" s="154"/>
      <c r="B357" s="57"/>
      <c r="C357" s="24">
        <f t="shared" si="65"/>
        <v>1</v>
      </c>
      <c r="D357" s="675"/>
      <c r="E357" s="24">
        <f t="shared" si="66"/>
        <v>0.02</v>
      </c>
      <c r="F357" s="675"/>
      <c r="G357" s="24">
        <f t="shared" si="67"/>
        <v>1</v>
      </c>
      <c r="H357" s="675"/>
      <c r="I357" s="24">
        <f t="shared" si="68"/>
        <v>1</v>
      </c>
      <c r="J357" s="675"/>
      <c r="K357" s="24">
        <f t="shared" si="69"/>
        <v>1</v>
      </c>
      <c r="L357" s="675"/>
      <c r="M357" s="24">
        <f t="shared" si="70"/>
        <v>1</v>
      </c>
      <c r="N357" s="675"/>
      <c r="O357" s="24">
        <f t="shared" si="71"/>
        <v>1</v>
      </c>
      <c r="P357" s="675"/>
      <c r="Q357" s="24">
        <f t="shared" si="72"/>
        <v>1</v>
      </c>
      <c r="R357" s="671">
        <f t="shared" si="73"/>
        <v>0</v>
      </c>
      <c r="S357" s="321">
        <f t="shared" si="64"/>
        <v>0</v>
      </c>
    </row>
    <row r="358" spans="1:19">
      <c r="A358" s="154"/>
      <c r="B358" s="57"/>
      <c r="C358" s="24">
        <f t="shared" si="65"/>
        <v>1</v>
      </c>
      <c r="D358" s="675"/>
      <c r="E358" s="24">
        <f t="shared" si="66"/>
        <v>0.02</v>
      </c>
      <c r="F358" s="675"/>
      <c r="G358" s="24">
        <f t="shared" si="67"/>
        <v>1</v>
      </c>
      <c r="H358" s="675"/>
      <c r="I358" s="24">
        <f t="shared" si="68"/>
        <v>1</v>
      </c>
      <c r="J358" s="675"/>
      <c r="K358" s="24">
        <f t="shared" si="69"/>
        <v>1</v>
      </c>
      <c r="L358" s="675"/>
      <c r="M358" s="24">
        <f t="shared" si="70"/>
        <v>1</v>
      </c>
      <c r="N358" s="675"/>
      <c r="O358" s="24">
        <f t="shared" si="71"/>
        <v>1</v>
      </c>
      <c r="P358" s="675"/>
      <c r="Q358" s="24">
        <f t="shared" si="72"/>
        <v>1</v>
      </c>
      <c r="R358" s="671">
        <f t="shared" si="73"/>
        <v>0</v>
      </c>
      <c r="S358" s="321">
        <f t="shared" si="64"/>
        <v>0</v>
      </c>
    </row>
    <row r="359" spans="1:19">
      <c r="A359" s="154"/>
      <c r="B359" s="57"/>
      <c r="C359" s="24">
        <f t="shared" si="65"/>
        <v>1</v>
      </c>
      <c r="D359" s="675"/>
      <c r="E359" s="24">
        <f t="shared" si="66"/>
        <v>0.02</v>
      </c>
      <c r="F359" s="675"/>
      <c r="G359" s="24">
        <f t="shared" si="67"/>
        <v>1</v>
      </c>
      <c r="H359" s="675"/>
      <c r="I359" s="24">
        <f t="shared" si="68"/>
        <v>1</v>
      </c>
      <c r="J359" s="675"/>
      <c r="K359" s="24">
        <f t="shared" si="69"/>
        <v>1</v>
      </c>
      <c r="L359" s="675"/>
      <c r="M359" s="24">
        <f t="shared" si="70"/>
        <v>1</v>
      </c>
      <c r="N359" s="675"/>
      <c r="O359" s="24">
        <f t="shared" si="71"/>
        <v>1</v>
      </c>
      <c r="P359" s="675"/>
      <c r="Q359" s="24">
        <f t="shared" si="72"/>
        <v>1</v>
      </c>
      <c r="R359" s="671">
        <f t="shared" si="73"/>
        <v>0</v>
      </c>
      <c r="S359" s="321">
        <f t="shared" si="64"/>
        <v>0</v>
      </c>
    </row>
    <row r="360" spans="1:19">
      <c r="A360" s="154"/>
      <c r="B360" s="57"/>
      <c r="C360" s="24">
        <f t="shared" si="65"/>
        <v>1</v>
      </c>
      <c r="D360" s="675"/>
      <c r="E360" s="24">
        <f t="shared" si="66"/>
        <v>0.02</v>
      </c>
      <c r="F360" s="675"/>
      <c r="G360" s="24">
        <f t="shared" si="67"/>
        <v>1</v>
      </c>
      <c r="H360" s="675"/>
      <c r="I360" s="24">
        <f t="shared" si="68"/>
        <v>1</v>
      </c>
      <c r="J360" s="675"/>
      <c r="K360" s="24">
        <f t="shared" si="69"/>
        <v>1</v>
      </c>
      <c r="L360" s="675"/>
      <c r="M360" s="24">
        <f t="shared" si="70"/>
        <v>1</v>
      </c>
      <c r="N360" s="675"/>
      <c r="O360" s="24">
        <f t="shared" si="71"/>
        <v>1</v>
      </c>
      <c r="P360" s="675"/>
      <c r="Q360" s="24">
        <f t="shared" si="72"/>
        <v>1</v>
      </c>
      <c r="R360" s="671">
        <f t="shared" si="73"/>
        <v>0</v>
      </c>
      <c r="S360" s="321">
        <f t="shared" si="64"/>
        <v>0</v>
      </c>
    </row>
    <row r="361" spans="1:19">
      <c r="A361" s="154"/>
      <c r="B361" s="57"/>
      <c r="C361" s="24">
        <f t="shared" si="65"/>
        <v>1</v>
      </c>
      <c r="D361" s="675"/>
      <c r="E361" s="24">
        <f t="shared" si="66"/>
        <v>0.02</v>
      </c>
      <c r="F361" s="675"/>
      <c r="G361" s="24">
        <f t="shared" si="67"/>
        <v>1</v>
      </c>
      <c r="H361" s="675"/>
      <c r="I361" s="24">
        <f t="shared" si="68"/>
        <v>1</v>
      </c>
      <c r="J361" s="675"/>
      <c r="K361" s="24">
        <f t="shared" si="69"/>
        <v>1</v>
      </c>
      <c r="L361" s="675"/>
      <c r="M361" s="24">
        <f t="shared" si="70"/>
        <v>1</v>
      </c>
      <c r="N361" s="675"/>
      <c r="O361" s="24">
        <f t="shared" si="71"/>
        <v>1</v>
      </c>
      <c r="P361" s="675"/>
      <c r="Q361" s="24">
        <f t="shared" si="72"/>
        <v>1</v>
      </c>
      <c r="R361" s="671">
        <f t="shared" si="73"/>
        <v>0</v>
      </c>
      <c r="S361" s="321">
        <f t="shared" si="64"/>
        <v>0</v>
      </c>
    </row>
    <row r="362" spans="1:19">
      <c r="A362" s="154"/>
      <c r="B362" s="57"/>
      <c r="C362" s="24">
        <f t="shared" si="65"/>
        <v>1</v>
      </c>
      <c r="D362" s="675"/>
      <c r="E362" s="24">
        <f t="shared" si="66"/>
        <v>0.02</v>
      </c>
      <c r="F362" s="675"/>
      <c r="G362" s="24">
        <f t="shared" si="67"/>
        <v>1</v>
      </c>
      <c r="H362" s="675"/>
      <c r="I362" s="24">
        <f t="shared" si="68"/>
        <v>1</v>
      </c>
      <c r="J362" s="675"/>
      <c r="K362" s="24">
        <f t="shared" si="69"/>
        <v>1</v>
      </c>
      <c r="L362" s="675"/>
      <c r="M362" s="24">
        <f t="shared" si="70"/>
        <v>1</v>
      </c>
      <c r="N362" s="675"/>
      <c r="O362" s="24">
        <f t="shared" si="71"/>
        <v>1</v>
      </c>
      <c r="P362" s="675"/>
      <c r="Q362" s="24">
        <f t="shared" si="72"/>
        <v>1</v>
      </c>
      <c r="R362" s="671">
        <f t="shared" si="73"/>
        <v>0</v>
      </c>
      <c r="S362" s="321">
        <f t="shared" si="64"/>
        <v>0</v>
      </c>
    </row>
    <row r="363" spans="1:19">
      <c r="A363" s="154"/>
      <c r="B363" s="57"/>
      <c r="C363" s="24">
        <f t="shared" si="65"/>
        <v>1</v>
      </c>
      <c r="D363" s="675"/>
      <c r="E363" s="24">
        <f t="shared" si="66"/>
        <v>0.02</v>
      </c>
      <c r="F363" s="675"/>
      <c r="G363" s="24">
        <f t="shared" si="67"/>
        <v>1</v>
      </c>
      <c r="H363" s="675"/>
      <c r="I363" s="24">
        <f t="shared" si="68"/>
        <v>1</v>
      </c>
      <c r="J363" s="675"/>
      <c r="K363" s="24">
        <f t="shared" si="69"/>
        <v>1</v>
      </c>
      <c r="L363" s="675"/>
      <c r="M363" s="24">
        <f t="shared" si="70"/>
        <v>1</v>
      </c>
      <c r="N363" s="675"/>
      <c r="O363" s="24">
        <f t="shared" si="71"/>
        <v>1</v>
      </c>
      <c r="P363" s="675"/>
      <c r="Q363" s="24">
        <f t="shared" si="72"/>
        <v>1</v>
      </c>
      <c r="R363" s="671">
        <f t="shared" si="73"/>
        <v>0</v>
      </c>
      <c r="S363" s="321">
        <f t="shared" si="64"/>
        <v>0</v>
      </c>
    </row>
    <row r="364" spans="1:19">
      <c r="A364" s="154"/>
      <c r="B364" s="57"/>
      <c r="C364" s="24">
        <f t="shared" si="65"/>
        <v>1</v>
      </c>
      <c r="D364" s="675"/>
      <c r="E364" s="24">
        <f t="shared" si="66"/>
        <v>0.02</v>
      </c>
      <c r="F364" s="675"/>
      <c r="G364" s="24">
        <f t="shared" si="67"/>
        <v>1</v>
      </c>
      <c r="H364" s="675"/>
      <c r="I364" s="24">
        <f t="shared" si="68"/>
        <v>1</v>
      </c>
      <c r="J364" s="675"/>
      <c r="K364" s="24">
        <f t="shared" si="69"/>
        <v>1</v>
      </c>
      <c r="L364" s="675"/>
      <c r="M364" s="24">
        <f t="shared" si="70"/>
        <v>1</v>
      </c>
      <c r="N364" s="675"/>
      <c r="O364" s="24">
        <f t="shared" si="71"/>
        <v>1</v>
      </c>
      <c r="P364" s="675"/>
      <c r="Q364" s="24">
        <f t="shared" si="72"/>
        <v>1</v>
      </c>
      <c r="R364" s="671">
        <f t="shared" si="73"/>
        <v>0</v>
      </c>
      <c r="S364" s="321">
        <f t="shared" si="64"/>
        <v>0</v>
      </c>
    </row>
    <row r="365" spans="1:19">
      <c r="A365" s="154"/>
      <c r="B365" s="57"/>
      <c r="C365" s="24">
        <f t="shared" si="65"/>
        <v>1</v>
      </c>
      <c r="D365" s="675"/>
      <c r="E365" s="24">
        <f t="shared" si="66"/>
        <v>0.02</v>
      </c>
      <c r="F365" s="675"/>
      <c r="G365" s="24">
        <f t="shared" si="67"/>
        <v>1</v>
      </c>
      <c r="H365" s="675"/>
      <c r="I365" s="24">
        <f t="shared" si="68"/>
        <v>1</v>
      </c>
      <c r="J365" s="675"/>
      <c r="K365" s="24">
        <f t="shared" si="69"/>
        <v>1</v>
      </c>
      <c r="L365" s="675"/>
      <c r="M365" s="24">
        <f t="shared" si="70"/>
        <v>1</v>
      </c>
      <c r="N365" s="675"/>
      <c r="O365" s="24">
        <f t="shared" si="71"/>
        <v>1</v>
      </c>
      <c r="P365" s="675"/>
      <c r="Q365" s="24">
        <f t="shared" si="72"/>
        <v>1</v>
      </c>
      <c r="R365" s="671">
        <f t="shared" si="73"/>
        <v>0</v>
      </c>
      <c r="S365" s="321">
        <f t="shared" si="64"/>
        <v>0</v>
      </c>
    </row>
    <row r="366" spans="1:19">
      <c r="A366" s="154"/>
      <c r="B366" s="57"/>
      <c r="C366" s="24">
        <f t="shared" si="65"/>
        <v>1</v>
      </c>
      <c r="D366" s="675"/>
      <c r="E366" s="24">
        <f t="shared" si="66"/>
        <v>0.02</v>
      </c>
      <c r="F366" s="675"/>
      <c r="G366" s="24">
        <f t="shared" si="67"/>
        <v>1</v>
      </c>
      <c r="H366" s="675"/>
      <c r="I366" s="24">
        <f t="shared" si="68"/>
        <v>1</v>
      </c>
      <c r="J366" s="675"/>
      <c r="K366" s="24">
        <f t="shared" si="69"/>
        <v>1</v>
      </c>
      <c r="L366" s="675"/>
      <c r="M366" s="24">
        <f t="shared" si="70"/>
        <v>1</v>
      </c>
      <c r="N366" s="675"/>
      <c r="O366" s="24">
        <f t="shared" si="71"/>
        <v>1</v>
      </c>
      <c r="P366" s="675"/>
      <c r="Q366" s="24">
        <f t="shared" si="72"/>
        <v>1</v>
      </c>
      <c r="R366" s="671">
        <f t="shared" si="73"/>
        <v>0</v>
      </c>
      <c r="S366" s="321">
        <f t="shared" si="64"/>
        <v>0</v>
      </c>
    </row>
    <row r="367" spans="1:19">
      <c r="A367" s="154"/>
      <c r="B367" s="57"/>
      <c r="C367" s="24">
        <f t="shared" si="65"/>
        <v>1</v>
      </c>
      <c r="D367" s="675"/>
      <c r="E367" s="24">
        <f t="shared" si="66"/>
        <v>0.02</v>
      </c>
      <c r="F367" s="675"/>
      <c r="G367" s="24">
        <f t="shared" si="67"/>
        <v>1</v>
      </c>
      <c r="H367" s="675"/>
      <c r="I367" s="24">
        <f t="shared" si="68"/>
        <v>1</v>
      </c>
      <c r="J367" s="675"/>
      <c r="K367" s="24">
        <f t="shared" si="69"/>
        <v>1</v>
      </c>
      <c r="L367" s="675"/>
      <c r="M367" s="24">
        <f t="shared" si="70"/>
        <v>1</v>
      </c>
      <c r="N367" s="675"/>
      <c r="O367" s="24">
        <f t="shared" si="71"/>
        <v>1</v>
      </c>
      <c r="P367" s="675"/>
      <c r="Q367" s="24">
        <f t="shared" si="72"/>
        <v>1</v>
      </c>
      <c r="R367" s="671">
        <f t="shared" si="73"/>
        <v>0</v>
      </c>
      <c r="S367" s="321">
        <f t="shared" si="64"/>
        <v>0</v>
      </c>
    </row>
    <row r="368" spans="1:19">
      <c r="A368" s="154"/>
      <c r="B368" s="57"/>
      <c r="C368" s="24">
        <f t="shared" si="65"/>
        <v>1</v>
      </c>
      <c r="D368" s="675"/>
      <c r="E368" s="24">
        <f t="shared" si="66"/>
        <v>0.02</v>
      </c>
      <c r="F368" s="675"/>
      <c r="G368" s="24">
        <f t="shared" si="67"/>
        <v>1</v>
      </c>
      <c r="H368" s="675"/>
      <c r="I368" s="24">
        <f t="shared" si="68"/>
        <v>1</v>
      </c>
      <c r="J368" s="675"/>
      <c r="K368" s="24">
        <f t="shared" si="69"/>
        <v>1</v>
      </c>
      <c r="L368" s="675"/>
      <c r="M368" s="24">
        <f t="shared" si="70"/>
        <v>1</v>
      </c>
      <c r="N368" s="675"/>
      <c r="O368" s="24">
        <f t="shared" si="71"/>
        <v>1</v>
      </c>
      <c r="P368" s="675"/>
      <c r="Q368" s="24">
        <f t="shared" si="72"/>
        <v>1</v>
      </c>
      <c r="R368" s="671">
        <f t="shared" si="73"/>
        <v>0</v>
      </c>
      <c r="S368" s="321">
        <f t="shared" si="64"/>
        <v>0</v>
      </c>
    </row>
    <row r="369" spans="1:19">
      <c r="A369" s="154"/>
      <c r="B369" s="57"/>
      <c r="C369" s="24">
        <f t="shared" si="65"/>
        <v>1</v>
      </c>
      <c r="D369" s="675"/>
      <c r="E369" s="24">
        <f t="shared" si="66"/>
        <v>0.02</v>
      </c>
      <c r="F369" s="675"/>
      <c r="G369" s="24">
        <f t="shared" si="67"/>
        <v>1</v>
      </c>
      <c r="H369" s="675"/>
      <c r="I369" s="24">
        <f t="shared" si="68"/>
        <v>1</v>
      </c>
      <c r="J369" s="675"/>
      <c r="K369" s="24">
        <f t="shared" si="69"/>
        <v>1</v>
      </c>
      <c r="L369" s="675"/>
      <c r="M369" s="24">
        <f t="shared" si="70"/>
        <v>1</v>
      </c>
      <c r="N369" s="675"/>
      <c r="O369" s="24">
        <f t="shared" si="71"/>
        <v>1</v>
      </c>
      <c r="P369" s="675"/>
      <c r="Q369" s="24">
        <f t="shared" si="72"/>
        <v>1</v>
      </c>
      <c r="R369" s="671">
        <f t="shared" si="73"/>
        <v>0</v>
      </c>
      <c r="S369" s="321">
        <f t="shared" si="64"/>
        <v>0</v>
      </c>
    </row>
    <row r="370" spans="1:19">
      <c r="A370" s="154"/>
      <c r="B370" s="57"/>
      <c r="C370" s="24">
        <f t="shared" si="65"/>
        <v>1</v>
      </c>
      <c r="D370" s="675"/>
      <c r="E370" s="24">
        <f t="shared" si="66"/>
        <v>0.02</v>
      </c>
      <c r="F370" s="675"/>
      <c r="G370" s="24">
        <f t="shared" si="67"/>
        <v>1</v>
      </c>
      <c r="H370" s="675"/>
      <c r="I370" s="24">
        <f t="shared" si="68"/>
        <v>1</v>
      </c>
      <c r="J370" s="675"/>
      <c r="K370" s="24">
        <f t="shared" si="69"/>
        <v>1</v>
      </c>
      <c r="L370" s="675"/>
      <c r="M370" s="24">
        <f t="shared" si="70"/>
        <v>1</v>
      </c>
      <c r="N370" s="675"/>
      <c r="O370" s="24">
        <f t="shared" si="71"/>
        <v>1</v>
      </c>
      <c r="P370" s="675"/>
      <c r="Q370" s="24">
        <f t="shared" si="72"/>
        <v>1</v>
      </c>
      <c r="R370" s="671">
        <f t="shared" si="73"/>
        <v>0</v>
      </c>
      <c r="S370" s="321">
        <f t="shared" si="64"/>
        <v>0</v>
      </c>
    </row>
    <row r="371" spans="1:19">
      <c r="A371" s="154"/>
      <c r="B371" s="57"/>
      <c r="C371" s="24">
        <f t="shared" si="65"/>
        <v>1</v>
      </c>
      <c r="D371" s="675"/>
      <c r="E371" s="24">
        <f t="shared" si="66"/>
        <v>0.02</v>
      </c>
      <c r="F371" s="675"/>
      <c r="G371" s="24">
        <f t="shared" si="67"/>
        <v>1</v>
      </c>
      <c r="H371" s="675"/>
      <c r="I371" s="24">
        <f t="shared" si="68"/>
        <v>1</v>
      </c>
      <c r="J371" s="675"/>
      <c r="K371" s="24">
        <f t="shared" si="69"/>
        <v>1</v>
      </c>
      <c r="L371" s="675"/>
      <c r="M371" s="24">
        <f t="shared" si="70"/>
        <v>1</v>
      </c>
      <c r="N371" s="675"/>
      <c r="O371" s="24">
        <f t="shared" si="71"/>
        <v>1</v>
      </c>
      <c r="P371" s="675"/>
      <c r="Q371" s="24">
        <f t="shared" si="72"/>
        <v>1</v>
      </c>
      <c r="R371" s="671">
        <f t="shared" si="73"/>
        <v>0</v>
      </c>
      <c r="S371" s="321">
        <f t="shared" si="64"/>
        <v>0</v>
      </c>
    </row>
    <row r="372" spans="1:19">
      <c r="A372" s="154"/>
      <c r="B372" s="57"/>
      <c r="C372" s="24">
        <f t="shared" si="65"/>
        <v>1</v>
      </c>
      <c r="D372" s="675"/>
      <c r="E372" s="24">
        <f t="shared" si="66"/>
        <v>0.02</v>
      </c>
      <c r="F372" s="675"/>
      <c r="G372" s="24">
        <f t="shared" si="67"/>
        <v>1</v>
      </c>
      <c r="H372" s="675"/>
      <c r="I372" s="24">
        <f t="shared" si="68"/>
        <v>1</v>
      </c>
      <c r="J372" s="675"/>
      <c r="K372" s="24">
        <f t="shared" si="69"/>
        <v>1</v>
      </c>
      <c r="L372" s="675"/>
      <c r="M372" s="24">
        <f t="shared" si="70"/>
        <v>1</v>
      </c>
      <c r="N372" s="675"/>
      <c r="O372" s="24">
        <f t="shared" si="71"/>
        <v>1</v>
      </c>
      <c r="P372" s="675"/>
      <c r="Q372" s="24">
        <f t="shared" si="72"/>
        <v>1</v>
      </c>
      <c r="R372" s="671">
        <f t="shared" si="73"/>
        <v>0</v>
      </c>
      <c r="S372" s="321">
        <f t="shared" si="64"/>
        <v>0</v>
      </c>
    </row>
    <row r="373" spans="1:19">
      <c r="A373" s="154"/>
      <c r="B373" s="57"/>
      <c r="C373" s="24">
        <f t="shared" si="65"/>
        <v>1</v>
      </c>
      <c r="D373" s="675"/>
      <c r="E373" s="24">
        <f t="shared" si="66"/>
        <v>0.02</v>
      </c>
      <c r="F373" s="675"/>
      <c r="G373" s="24">
        <f t="shared" si="67"/>
        <v>1</v>
      </c>
      <c r="H373" s="675"/>
      <c r="I373" s="24">
        <f t="shared" si="68"/>
        <v>1</v>
      </c>
      <c r="J373" s="675"/>
      <c r="K373" s="24">
        <f t="shared" si="69"/>
        <v>1</v>
      </c>
      <c r="L373" s="675"/>
      <c r="M373" s="24">
        <f t="shared" si="70"/>
        <v>1</v>
      </c>
      <c r="N373" s="675"/>
      <c r="O373" s="24">
        <f t="shared" si="71"/>
        <v>1</v>
      </c>
      <c r="P373" s="675"/>
      <c r="Q373" s="24">
        <f t="shared" si="72"/>
        <v>1</v>
      </c>
      <c r="R373" s="671">
        <f t="shared" si="73"/>
        <v>0</v>
      </c>
      <c r="S373" s="321">
        <f t="shared" si="64"/>
        <v>0</v>
      </c>
    </row>
    <row r="374" spans="1:19">
      <c r="A374" s="154"/>
      <c r="B374" s="57"/>
      <c r="C374" s="24">
        <f t="shared" si="65"/>
        <v>1</v>
      </c>
      <c r="D374" s="675"/>
      <c r="E374" s="24">
        <f t="shared" si="66"/>
        <v>0.02</v>
      </c>
      <c r="F374" s="675"/>
      <c r="G374" s="24">
        <f t="shared" si="67"/>
        <v>1</v>
      </c>
      <c r="H374" s="675"/>
      <c r="I374" s="24">
        <f t="shared" si="68"/>
        <v>1</v>
      </c>
      <c r="J374" s="675"/>
      <c r="K374" s="24">
        <f t="shared" si="69"/>
        <v>1</v>
      </c>
      <c r="L374" s="675"/>
      <c r="M374" s="24">
        <f t="shared" si="70"/>
        <v>1</v>
      </c>
      <c r="N374" s="675"/>
      <c r="O374" s="24">
        <f t="shared" si="71"/>
        <v>1</v>
      </c>
      <c r="P374" s="675"/>
      <c r="Q374" s="24">
        <f t="shared" si="72"/>
        <v>1</v>
      </c>
      <c r="R374" s="671">
        <f t="shared" si="73"/>
        <v>0</v>
      </c>
      <c r="S374" s="321">
        <f t="shared" si="64"/>
        <v>0</v>
      </c>
    </row>
    <row r="375" spans="1:19">
      <c r="A375" s="154"/>
      <c r="B375" s="57"/>
      <c r="C375" s="24">
        <f t="shared" si="65"/>
        <v>1</v>
      </c>
      <c r="D375" s="675"/>
      <c r="E375" s="24">
        <f t="shared" si="66"/>
        <v>0.02</v>
      </c>
      <c r="F375" s="675"/>
      <c r="G375" s="24">
        <f t="shared" si="67"/>
        <v>1</v>
      </c>
      <c r="H375" s="675"/>
      <c r="I375" s="24">
        <f t="shared" si="68"/>
        <v>1</v>
      </c>
      <c r="J375" s="675"/>
      <c r="K375" s="24">
        <f t="shared" si="69"/>
        <v>1</v>
      </c>
      <c r="L375" s="675"/>
      <c r="M375" s="24">
        <f t="shared" si="70"/>
        <v>1</v>
      </c>
      <c r="N375" s="675"/>
      <c r="O375" s="24">
        <f t="shared" si="71"/>
        <v>1</v>
      </c>
      <c r="P375" s="675"/>
      <c r="Q375" s="24">
        <f t="shared" si="72"/>
        <v>1</v>
      </c>
      <c r="R375" s="671">
        <f t="shared" si="73"/>
        <v>0</v>
      </c>
      <c r="S375" s="321">
        <f t="shared" si="64"/>
        <v>0</v>
      </c>
    </row>
    <row r="376" spans="1:19">
      <c r="A376" s="154"/>
      <c r="B376" s="57"/>
      <c r="C376" s="24">
        <f t="shared" si="65"/>
        <v>1</v>
      </c>
      <c r="D376" s="675"/>
      <c r="E376" s="24">
        <f t="shared" si="66"/>
        <v>0.02</v>
      </c>
      <c r="F376" s="675"/>
      <c r="G376" s="24">
        <f t="shared" si="67"/>
        <v>1</v>
      </c>
      <c r="H376" s="675"/>
      <c r="I376" s="24">
        <f t="shared" si="68"/>
        <v>1</v>
      </c>
      <c r="J376" s="675"/>
      <c r="K376" s="24">
        <f t="shared" si="69"/>
        <v>1</v>
      </c>
      <c r="L376" s="675"/>
      <c r="M376" s="24">
        <f t="shared" si="70"/>
        <v>1</v>
      </c>
      <c r="N376" s="675"/>
      <c r="O376" s="24">
        <f t="shared" si="71"/>
        <v>1</v>
      </c>
      <c r="P376" s="675"/>
      <c r="Q376" s="24">
        <f t="shared" si="72"/>
        <v>1</v>
      </c>
      <c r="R376" s="671">
        <f t="shared" si="73"/>
        <v>0</v>
      </c>
      <c r="S376" s="321">
        <f t="shared" si="64"/>
        <v>0</v>
      </c>
    </row>
    <row r="377" spans="1:19">
      <c r="A377" s="154"/>
      <c r="B377" s="57"/>
      <c r="C377" s="24">
        <f t="shared" si="65"/>
        <v>1</v>
      </c>
      <c r="D377" s="675"/>
      <c r="E377" s="24">
        <f t="shared" si="66"/>
        <v>0.02</v>
      </c>
      <c r="F377" s="675"/>
      <c r="G377" s="24">
        <f t="shared" si="67"/>
        <v>1</v>
      </c>
      <c r="H377" s="675"/>
      <c r="I377" s="24">
        <f t="shared" si="68"/>
        <v>1</v>
      </c>
      <c r="J377" s="675"/>
      <c r="K377" s="24">
        <f t="shared" si="69"/>
        <v>1</v>
      </c>
      <c r="L377" s="675"/>
      <c r="M377" s="24">
        <f t="shared" si="70"/>
        <v>1</v>
      </c>
      <c r="N377" s="675"/>
      <c r="O377" s="24">
        <f t="shared" si="71"/>
        <v>1</v>
      </c>
      <c r="P377" s="675"/>
      <c r="Q377" s="24">
        <f t="shared" si="72"/>
        <v>1</v>
      </c>
      <c r="R377" s="671">
        <f t="shared" si="73"/>
        <v>0</v>
      </c>
      <c r="S377" s="321">
        <f t="shared" si="64"/>
        <v>0</v>
      </c>
    </row>
    <row r="378" spans="1:19">
      <c r="A378" s="154"/>
      <c r="B378" s="57"/>
      <c r="C378" s="24">
        <f t="shared" si="65"/>
        <v>1</v>
      </c>
      <c r="D378" s="675"/>
      <c r="E378" s="24">
        <f t="shared" si="66"/>
        <v>0.02</v>
      </c>
      <c r="F378" s="675"/>
      <c r="G378" s="24">
        <f t="shared" si="67"/>
        <v>1</v>
      </c>
      <c r="H378" s="675"/>
      <c r="I378" s="24">
        <f t="shared" si="68"/>
        <v>1</v>
      </c>
      <c r="J378" s="675"/>
      <c r="K378" s="24">
        <f t="shared" si="69"/>
        <v>1</v>
      </c>
      <c r="L378" s="675"/>
      <c r="M378" s="24">
        <f t="shared" si="70"/>
        <v>1</v>
      </c>
      <c r="N378" s="675"/>
      <c r="O378" s="24">
        <f t="shared" si="71"/>
        <v>1</v>
      </c>
      <c r="P378" s="675"/>
      <c r="Q378" s="24">
        <f t="shared" si="72"/>
        <v>1</v>
      </c>
      <c r="R378" s="671">
        <f t="shared" si="73"/>
        <v>0</v>
      </c>
      <c r="S378" s="321">
        <f t="shared" si="64"/>
        <v>0</v>
      </c>
    </row>
    <row r="379" spans="1:19">
      <c r="A379" s="154"/>
      <c r="B379" s="57"/>
      <c r="C379" s="24">
        <f t="shared" si="65"/>
        <v>1</v>
      </c>
      <c r="D379" s="675"/>
      <c r="E379" s="24">
        <f t="shared" si="66"/>
        <v>0.02</v>
      </c>
      <c r="F379" s="675"/>
      <c r="G379" s="24">
        <f t="shared" si="67"/>
        <v>1</v>
      </c>
      <c r="H379" s="675"/>
      <c r="I379" s="24">
        <f t="shared" si="68"/>
        <v>1</v>
      </c>
      <c r="J379" s="675"/>
      <c r="K379" s="24">
        <f t="shared" si="69"/>
        <v>1</v>
      </c>
      <c r="L379" s="675"/>
      <c r="M379" s="24">
        <f t="shared" si="70"/>
        <v>1</v>
      </c>
      <c r="N379" s="675"/>
      <c r="O379" s="24">
        <f t="shared" si="71"/>
        <v>1</v>
      </c>
      <c r="P379" s="675"/>
      <c r="Q379" s="24">
        <f t="shared" si="72"/>
        <v>1</v>
      </c>
      <c r="R379" s="671">
        <f t="shared" si="73"/>
        <v>0</v>
      </c>
      <c r="S379" s="321">
        <f t="shared" si="64"/>
        <v>0</v>
      </c>
    </row>
    <row r="380" spans="1:19">
      <c r="A380" s="154"/>
      <c r="B380" s="57"/>
      <c r="C380" s="24">
        <f t="shared" si="65"/>
        <v>1</v>
      </c>
      <c r="D380" s="675"/>
      <c r="E380" s="24">
        <f t="shared" si="66"/>
        <v>0.02</v>
      </c>
      <c r="F380" s="675"/>
      <c r="G380" s="24">
        <f t="shared" si="67"/>
        <v>1</v>
      </c>
      <c r="H380" s="675"/>
      <c r="I380" s="24">
        <f t="shared" si="68"/>
        <v>1</v>
      </c>
      <c r="J380" s="675"/>
      <c r="K380" s="24">
        <f t="shared" si="69"/>
        <v>1</v>
      </c>
      <c r="L380" s="675"/>
      <c r="M380" s="24">
        <f t="shared" si="70"/>
        <v>1</v>
      </c>
      <c r="N380" s="675"/>
      <c r="O380" s="24">
        <f t="shared" si="71"/>
        <v>1</v>
      </c>
      <c r="P380" s="675"/>
      <c r="Q380" s="24">
        <f t="shared" si="72"/>
        <v>1</v>
      </c>
      <c r="R380" s="671">
        <f t="shared" si="73"/>
        <v>0</v>
      </c>
      <c r="S380" s="321">
        <f t="shared" si="64"/>
        <v>0</v>
      </c>
    </row>
    <row r="381" spans="1:19">
      <c r="A381" s="154"/>
      <c r="B381" s="57"/>
      <c r="C381" s="24">
        <f t="shared" si="65"/>
        <v>1</v>
      </c>
      <c r="D381" s="675"/>
      <c r="E381" s="24">
        <f t="shared" si="66"/>
        <v>0.02</v>
      </c>
      <c r="F381" s="675"/>
      <c r="G381" s="24">
        <f t="shared" si="67"/>
        <v>1</v>
      </c>
      <c r="H381" s="675"/>
      <c r="I381" s="24">
        <f t="shared" si="68"/>
        <v>1</v>
      </c>
      <c r="J381" s="675"/>
      <c r="K381" s="24">
        <f t="shared" si="69"/>
        <v>1</v>
      </c>
      <c r="L381" s="675"/>
      <c r="M381" s="24">
        <f t="shared" si="70"/>
        <v>1</v>
      </c>
      <c r="N381" s="675"/>
      <c r="O381" s="24">
        <f t="shared" si="71"/>
        <v>1</v>
      </c>
      <c r="P381" s="675"/>
      <c r="Q381" s="24">
        <f t="shared" si="72"/>
        <v>1</v>
      </c>
      <c r="R381" s="671">
        <f t="shared" si="73"/>
        <v>0</v>
      </c>
      <c r="S381" s="321">
        <f t="shared" si="64"/>
        <v>0</v>
      </c>
    </row>
    <row r="382" spans="1:19">
      <c r="A382" s="154"/>
      <c r="B382" s="57"/>
      <c r="C382" s="24">
        <f t="shared" si="65"/>
        <v>1</v>
      </c>
      <c r="D382" s="675"/>
      <c r="E382" s="24">
        <f t="shared" si="66"/>
        <v>0.02</v>
      </c>
      <c r="F382" s="675"/>
      <c r="G382" s="24">
        <f t="shared" si="67"/>
        <v>1</v>
      </c>
      <c r="H382" s="675"/>
      <c r="I382" s="24">
        <f t="shared" si="68"/>
        <v>1</v>
      </c>
      <c r="J382" s="675"/>
      <c r="K382" s="24">
        <f t="shared" si="69"/>
        <v>1</v>
      </c>
      <c r="L382" s="675"/>
      <c r="M382" s="24">
        <f t="shared" si="70"/>
        <v>1</v>
      </c>
      <c r="N382" s="675"/>
      <c r="O382" s="24">
        <f t="shared" si="71"/>
        <v>1</v>
      </c>
      <c r="P382" s="675"/>
      <c r="Q382" s="24">
        <f t="shared" si="72"/>
        <v>1</v>
      </c>
      <c r="R382" s="671">
        <f t="shared" si="73"/>
        <v>0</v>
      </c>
      <c r="S382" s="321">
        <f t="shared" si="64"/>
        <v>0</v>
      </c>
    </row>
    <row r="383" spans="1:19">
      <c r="A383" s="154"/>
      <c r="B383" s="57"/>
      <c r="C383" s="24">
        <f t="shared" si="65"/>
        <v>1</v>
      </c>
      <c r="D383" s="675"/>
      <c r="E383" s="24">
        <f t="shared" si="66"/>
        <v>0.02</v>
      </c>
      <c r="F383" s="675"/>
      <c r="G383" s="24">
        <f t="shared" si="67"/>
        <v>1</v>
      </c>
      <c r="H383" s="675"/>
      <c r="I383" s="24">
        <f t="shared" si="68"/>
        <v>1</v>
      </c>
      <c r="J383" s="675"/>
      <c r="K383" s="24">
        <f t="shared" si="69"/>
        <v>1</v>
      </c>
      <c r="L383" s="675"/>
      <c r="M383" s="24">
        <f t="shared" si="70"/>
        <v>1</v>
      </c>
      <c r="N383" s="675"/>
      <c r="O383" s="24">
        <f t="shared" si="71"/>
        <v>1</v>
      </c>
      <c r="P383" s="675"/>
      <c r="Q383" s="24">
        <f t="shared" si="72"/>
        <v>1</v>
      </c>
      <c r="R383" s="671">
        <f t="shared" si="73"/>
        <v>0</v>
      </c>
      <c r="S383" s="321">
        <f t="shared" si="64"/>
        <v>0</v>
      </c>
    </row>
    <row r="384" spans="1:19">
      <c r="A384" s="154"/>
      <c r="B384" s="57"/>
      <c r="C384" s="24">
        <f t="shared" si="65"/>
        <v>1</v>
      </c>
      <c r="D384" s="675"/>
      <c r="E384" s="24">
        <f t="shared" si="66"/>
        <v>0.02</v>
      </c>
      <c r="F384" s="675"/>
      <c r="G384" s="24">
        <f t="shared" si="67"/>
        <v>1</v>
      </c>
      <c r="H384" s="675"/>
      <c r="I384" s="24">
        <f t="shared" si="68"/>
        <v>1</v>
      </c>
      <c r="J384" s="675"/>
      <c r="K384" s="24">
        <f t="shared" si="69"/>
        <v>1</v>
      </c>
      <c r="L384" s="675"/>
      <c r="M384" s="24">
        <f t="shared" si="70"/>
        <v>1</v>
      </c>
      <c r="N384" s="675"/>
      <c r="O384" s="24">
        <f t="shared" si="71"/>
        <v>1</v>
      </c>
      <c r="P384" s="675"/>
      <c r="Q384" s="24">
        <f t="shared" si="72"/>
        <v>1</v>
      </c>
      <c r="R384" s="671">
        <f t="shared" si="73"/>
        <v>0</v>
      </c>
      <c r="S384" s="321">
        <f t="shared" si="64"/>
        <v>0</v>
      </c>
    </row>
    <row r="385" spans="1:19">
      <c r="A385" s="154"/>
      <c r="B385" s="57"/>
      <c r="C385" s="24">
        <f t="shared" si="65"/>
        <v>1</v>
      </c>
      <c r="D385" s="675"/>
      <c r="E385" s="24">
        <f t="shared" si="66"/>
        <v>0.02</v>
      </c>
      <c r="F385" s="675"/>
      <c r="G385" s="24">
        <f t="shared" si="67"/>
        <v>1</v>
      </c>
      <c r="H385" s="675"/>
      <c r="I385" s="24">
        <f t="shared" si="68"/>
        <v>1</v>
      </c>
      <c r="J385" s="675"/>
      <c r="K385" s="24">
        <f t="shared" si="69"/>
        <v>1</v>
      </c>
      <c r="L385" s="675"/>
      <c r="M385" s="24">
        <f t="shared" si="70"/>
        <v>1</v>
      </c>
      <c r="N385" s="675"/>
      <c r="O385" s="24">
        <f t="shared" si="71"/>
        <v>1</v>
      </c>
      <c r="P385" s="675"/>
      <c r="Q385" s="24">
        <f t="shared" si="72"/>
        <v>1</v>
      </c>
      <c r="R385" s="671">
        <f t="shared" si="73"/>
        <v>0</v>
      </c>
      <c r="S385" s="321">
        <f t="shared" ref="S385:S422" si="74">ROUND(R385*B385/10000,0)</f>
        <v>0</v>
      </c>
    </row>
    <row r="386" spans="1:19">
      <c r="A386" s="154"/>
      <c r="B386" s="57"/>
      <c r="C386" s="24">
        <f t="shared" si="65"/>
        <v>1</v>
      </c>
      <c r="D386" s="675"/>
      <c r="E386" s="24">
        <f t="shared" si="66"/>
        <v>0.02</v>
      </c>
      <c r="F386" s="675"/>
      <c r="G386" s="24">
        <f t="shared" si="67"/>
        <v>1</v>
      </c>
      <c r="H386" s="675"/>
      <c r="I386" s="24">
        <f t="shared" si="68"/>
        <v>1</v>
      </c>
      <c r="J386" s="675"/>
      <c r="K386" s="24">
        <f t="shared" si="69"/>
        <v>1</v>
      </c>
      <c r="L386" s="675"/>
      <c r="M386" s="24">
        <f t="shared" si="70"/>
        <v>1</v>
      </c>
      <c r="N386" s="675"/>
      <c r="O386" s="24">
        <f t="shared" si="71"/>
        <v>1</v>
      </c>
      <c r="P386" s="675"/>
      <c r="Q386" s="24">
        <f t="shared" si="72"/>
        <v>1</v>
      </c>
      <c r="R386" s="671">
        <f t="shared" si="73"/>
        <v>0</v>
      </c>
      <c r="S386" s="321">
        <f t="shared" si="74"/>
        <v>0</v>
      </c>
    </row>
    <row r="387" spans="1:19">
      <c r="A387" s="154"/>
      <c r="B387" s="57"/>
      <c r="C387" s="24">
        <f t="shared" si="65"/>
        <v>1</v>
      </c>
      <c r="D387" s="675"/>
      <c r="E387" s="24">
        <f t="shared" si="66"/>
        <v>0.02</v>
      </c>
      <c r="F387" s="675"/>
      <c r="G387" s="24">
        <f t="shared" si="67"/>
        <v>1</v>
      </c>
      <c r="H387" s="675"/>
      <c r="I387" s="24">
        <f t="shared" si="68"/>
        <v>1</v>
      </c>
      <c r="J387" s="675"/>
      <c r="K387" s="24">
        <f t="shared" si="69"/>
        <v>1</v>
      </c>
      <c r="L387" s="675"/>
      <c r="M387" s="24">
        <f t="shared" si="70"/>
        <v>1</v>
      </c>
      <c r="N387" s="675"/>
      <c r="O387" s="24">
        <f t="shared" si="71"/>
        <v>1</v>
      </c>
      <c r="P387" s="675"/>
      <c r="Q387" s="24">
        <f t="shared" si="72"/>
        <v>1</v>
      </c>
      <c r="R387" s="671">
        <f t="shared" si="73"/>
        <v>0</v>
      </c>
      <c r="S387" s="321">
        <f t="shared" si="74"/>
        <v>0</v>
      </c>
    </row>
    <row r="388" spans="1:19">
      <c r="A388" s="154"/>
      <c r="B388" s="57"/>
      <c r="C388" s="24">
        <f t="shared" si="65"/>
        <v>1</v>
      </c>
      <c r="D388" s="675"/>
      <c r="E388" s="24">
        <f t="shared" si="66"/>
        <v>0.02</v>
      </c>
      <c r="F388" s="675"/>
      <c r="G388" s="24">
        <f t="shared" si="67"/>
        <v>1</v>
      </c>
      <c r="H388" s="675"/>
      <c r="I388" s="24">
        <f t="shared" si="68"/>
        <v>1</v>
      </c>
      <c r="J388" s="675"/>
      <c r="K388" s="24">
        <f t="shared" si="69"/>
        <v>1</v>
      </c>
      <c r="L388" s="675"/>
      <c r="M388" s="24">
        <f t="shared" si="70"/>
        <v>1</v>
      </c>
      <c r="N388" s="675"/>
      <c r="O388" s="24">
        <f t="shared" si="71"/>
        <v>1</v>
      </c>
      <c r="P388" s="675"/>
      <c r="Q388" s="24">
        <f t="shared" si="72"/>
        <v>1</v>
      </c>
      <c r="R388" s="671">
        <f t="shared" si="73"/>
        <v>0</v>
      </c>
      <c r="S388" s="321">
        <f t="shared" si="74"/>
        <v>0</v>
      </c>
    </row>
    <row r="389" spans="1:19">
      <c r="A389" s="154"/>
      <c r="B389" s="57"/>
      <c r="C389" s="24">
        <f t="shared" si="65"/>
        <v>1</v>
      </c>
      <c r="D389" s="675"/>
      <c r="E389" s="24">
        <f t="shared" si="66"/>
        <v>0.02</v>
      </c>
      <c r="F389" s="675"/>
      <c r="G389" s="24">
        <f t="shared" si="67"/>
        <v>1</v>
      </c>
      <c r="H389" s="675"/>
      <c r="I389" s="24">
        <f t="shared" si="68"/>
        <v>1</v>
      </c>
      <c r="J389" s="675"/>
      <c r="K389" s="24">
        <f t="shared" si="69"/>
        <v>1</v>
      </c>
      <c r="L389" s="675"/>
      <c r="M389" s="24">
        <f t="shared" si="70"/>
        <v>1</v>
      </c>
      <c r="N389" s="675"/>
      <c r="O389" s="24">
        <f t="shared" si="71"/>
        <v>1</v>
      </c>
      <c r="P389" s="675"/>
      <c r="Q389" s="24">
        <f t="shared" si="72"/>
        <v>1</v>
      </c>
      <c r="R389" s="671">
        <f t="shared" si="73"/>
        <v>0</v>
      </c>
      <c r="S389" s="321">
        <f t="shared" si="74"/>
        <v>0</v>
      </c>
    </row>
    <row r="390" spans="1:19">
      <c r="A390" s="154"/>
      <c r="B390" s="57"/>
      <c r="C390" s="24">
        <f t="shared" si="65"/>
        <v>1</v>
      </c>
      <c r="D390" s="675"/>
      <c r="E390" s="24">
        <f t="shared" si="66"/>
        <v>0.02</v>
      </c>
      <c r="F390" s="675"/>
      <c r="G390" s="24">
        <f t="shared" si="67"/>
        <v>1</v>
      </c>
      <c r="H390" s="675"/>
      <c r="I390" s="24">
        <f t="shared" si="68"/>
        <v>1</v>
      </c>
      <c r="J390" s="675"/>
      <c r="K390" s="24">
        <f t="shared" si="69"/>
        <v>1</v>
      </c>
      <c r="L390" s="675"/>
      <c r="M390" s="24">
        <f t="shared" si="70"/>
        <v>1</v>
      </c>
      <c r="N390" s="675"/>
      <c r="O390" s="24">
        <f t="shared" si="71"/>
        <v>1</v>
      </c>
      <c r="P390" s="675"/>
      <c r="Q390" s="24">
        <f t="shared" si="72"/>
        <v>1</v>
      </c>
      <c r="R390" s="671">
        <f t="shared" si="73"/>
        <v>0</v>
      </c>
      <c r="S390" s="321">
        <f t="shared" si="74"/>
        <v>0</v>
      </c>
    </row>
    <row r="391" spans="1:19">
      <c r="A391" s="154"/>
      <c r="B391" s="57"/>
      <c r="C391" s="24">
        <f t="shared" si="65"/>
        <v>1</v>
      </c>
      <c r="D391" s="675"/>
      <c r="E391" s="24">
        <f t="shared" si="66"/>
        <v>0.02</v>
      </c>
      <c r="F391" s="675"/>
      <c r="G391" s="24">
        <f t="shared" si="67"/>
        <v>1</v>
      </c>
      <c r="H391" s="675"/>
      <c r="I391" s="24">
        <f t="shared" si="68"/>
        <v>1</v>
      </c>
      <c r="J391" s="675"/>
      <c r="K391" s="24">
        <f t="shared" si="69"/>
        <v>1</v>
      </c>
      <c r="L391" s="675"/>
      <c r="M391" s="24">
        <f t="shared" si="70"/>
        <v>1</v>
      </c>
      <c r="N391" s="675"/>
      <c r="O391" s="24">
        <f t="shared" si="71"/>
        <v>1</v>
      </c>
      <c r="P391" s="675"/>
      <c r="Q391" s="24">
        <f t="shared" si="72"/>
        <v>1</v>
      </c>
      <c r="R391" s="671">
        <f t="shared" si="73"/>
        <v>0</v>
      </c>
      <c r="S391" s="321">
        <f t="shared" si="74"/>
        <v>0</v>
      </c>
    </row>
    <row r="392" spans="1:19">
      <c r="A392" s="154"/>
      <c r="B392" s="57"/>
      <c r="C392" s="24">
        <f t="shared" si="65"/>
        <v>1</v>
      </c>
      <c r="D392" s="675"/>
      <c r="E392" s="24">
        <f t="shared" si="66"/>
        <v>0.02</v>
      </c>
      <c r="F392" s="675"/>
      <c r="G392" s="24">
        <f t="shared" si="67"/>
        <v>1</v>
      </c>
      <c r="H392" s="675"/>
      <c r="I392" s="24">
        <f t="shared" si="68"/>
        <v>1</v>
      </c>
      <c r="J392" s="675"/>
      <c r="K392" s="24">
        <f t="shared" si="69"/>
        <v>1</v>
      </c>
      <c r="L392" s="675"/>
      <c r="M392" s="24">
        <f t="shared" si="70"/>
        <v>1</v>
      </c>
      <c r="N392" s="675"/>
      <c r="O392" s="24">
        <f t="shared" si="71"/>
        <v>1</v>
      </c>
      <c r="P392" s="675"/>
      <c r="Q392" s="24">
        <f t="shared" si="72"/>
        <v>1</v>
      </c>
      <c r="R392" s="671">
        <f t="shared" si="73"/>
        <v>0</v>
      </c>
      <c r="S392" s="321">
        <f t="shared" si="74"/>
        <v>0</v>
      </c>
    </row>
    <row r="393" spans="1:19">
      <c r="A393" s="154"/>
      <c r="B393" s="57"/>
      <c r="C393" s="24">
        <f t="shared" si="65"/>
        <v>1</v>
      </c>
      <c r="D393" s="675"/>
      <c r="E393" s="24">
        <f t="shared" si="66"/>
        <v>0.02</v>
      </c>
      <c r="F393" s="675"/>
      <c r="G393" s="24">
        <f t="shared" si="67"/>
        <v>1</v>
      </c>
      <c r="H393" s="675"/>
      <c r="I393" s="24">
        <f t="shared" si="68"/>
        <v>1</v>
      </c>
      <c r="J393" s="675"/>
      <c r="K393" s="24">
        <f t="shared" si="69"/>
        <v>1</v>
      </c>
      <c r="L393" s="675"/>
      <c r="M393" s="24">
        <f t="shared" si="70"/>
        <v>1</v>
      </c>
      <c r="N393" s="675"/>
      <c r="O393" s="24">
        <f t="shared" si="71"/>
        <v>1</v>
      </c>
      <c r="P393" s="675"/>
      <c r="Q393" s="24">
        <f t="shared" si="72"/>
        <v>1</v>
      </c>
      <c r="R393" s="671">
        <f t="shared" si="73"/>
        <v>0</v>
      </c>
      <c r="S393" s="321">
        <f t="shared" si="74"/>
        <v>0</v>
      </c>
    </row>
    <row r="394" spans="1:19">
      <c r="A394" s="154"/>
      <c r="B394" s="57"/>
      <c r="C394" s="24">
        <f t="shared" si="65"/>
        <v>1</v>
      </c>
      <c r="D394" s="675"/>
      <c r="E394" s="24">
        <f t="shared" si="66"/>
        <v>0.02</v>
      </c>
      <c r="F394" s="675"/>
      <c r="G394" s="24">
        <f t="shared" si="67"/>
        <v>1</v>
      </c>
      <c r="H394" s="675"/>
      <c r="I394" s="24">
        <f t="shared" si="68"/>
        <v>1</v>
      </c>
      <c r="J394" s="675"/>
      <c r="K394" s="24">
        <f t="shared" si="69"/>
        <v>1</v>
      </c>
      <c r="L394" s="675"/>
      <c r="M394" s="24">
        <f t="shared" si="70"/>
        <v>1</v>
      </c>
      <c r="N394" s="675"/>
      <c r="O394" s="24">
        <f t="shared" si="71"/>
        <v>1</v>
      </c>
      <c r="P394" s="675"/>
      <c r="Q394" s="24">
        <f t="shared" si="72"/>
        <v>1</v>
      </c>
      <c r="R394" s="671">
        <f t="shared" si="73"/>
        <v>0</v>
      </c>
      <c r="S394" s="321">
        <f t="shared" si="74"/>
        <v>0</v>
      </c>
    </row>
    <row r="395" spans="1:19">
      <c r="A395" s="154"/>
      <c r="B395" s="57"/>
      <c r="C395" s="24">
        <f t="shared" si="65"/>
        <v>1</v>
      </c>
      <c r="D395" s="675"/>
      <c r="E395" s="24">
        <f t="shared" si="66"/>
        <v>0.02</v>
      </c>
      <c r="F395" s="675"/>
      <c r="G395" s="24">
        <f t="shared" si="67"/>
        <v>1</v>
      </c>
      <c r="H395" s="675"/>
      <c r="I395" s="24">
        <f t="shared" si="68"/>
        <v>1</v>
      </c>
      <c r="J395" s="675"/>
      <c r="K395" s="24">
        <f t="shared" si="69"/>
        <v>1</v>
      </c>
      <c r="L395" s="675"/>
      <c r="M395" s="24">
        <f t="shared" si="70"/>
        <v>1</v>
      </c>
      <c r="N395" s="675"/>
      <c r="O395" s="24">
        <f t="shared" si="71"/>
        <v>1</v>
      </c>
      <c r="P395" s="675"/>
      <c r="Q395" s="24">
        <f t="shared" si="72"/>
        <v>1</v>
      </c>
      <c r="R395" s="671">
        <f t="shared" si="73"/>
        <v>0</v>
      </c>
      <c r="S395" s="321">
        <f t="shared" si="74"/>
        <v>0</v>
      </c>
    </row>
    <row r="396" spans="1:19">
      <c r="A396" s="154"/>
      <c r="B396" s="57"/>
      <c r="C396" s="24">
        <f t="shared" si="65"/>
        <v>1</v>
      </c>
      <c r="D396" s="675"/>
      <c r="E396" s="24">
        <f t="shared" si="66"/>
        <v>0.02</v>
      </c>
      <c r="F396" s="675"/>
      <c r="G396" s="24">
        <f t="shared" si="67"/>
        <v>1</v>
      </c>
      <c r="H396" s="675"/>
      <c r="I396" s="24">
        <f t="shared" si="68"/>
        <v>1</v>
      </c>
      <c r="J396" s="675"/>
      <c r="K396" s="24">
        <f t="shared" si="69"/>
        <v>1</v>
      </c>
      <c r="L396" s="675"/>
      <c r="M396" s="24">
        <f t="shared" si="70"/>
        <v>1</v>
      </c>
      <c r="N396" s="675"/>
      <c r="O396" s="24">
        <f t="shared" si="71"/>
        <v>1</v>
      </c>
      <c r="P396" s="675"/>
      <c r="Q396" s="24">
        <f t="shared" si="72"/>
        <v>1</v>
      </c>
      <c r="R396" s="671">
        <f t="shared" si="73"/>
        <v>0</v>
      </c>
      <c r="S396" s="321">
        <f t="shared" si="74"/>
        <v>0</v>
      </c>
    </row>
    <row r="397" spans="1:19">
      <c r="A397" s="154"/>
      <c r="B397" s="57"/>
      <c r="C397" s="24">
        <f t="shared" si="65"/>
        <v>1</v>
      </c>
      <c r="D397" s="675"/>
      <c r="E397" s="24">
        <f t="shared" si="66"/>
        <v>0.02</v>
      </c>
      <c r="F397" s="675"/>
      <c r="G397" s="24">
        <f t="shared" si="67"/>
        <v>1</v>
      </c>
      <c r="H397" s="675"/>
      <c r="I397" s="24">
        <f t="shared" si="68"/>
        <v>1</v>
      </c>
      <c r="J397" s="675"/>
      <c r="K397" s="24">
        <f t="shared" si="69"/>
        <v>1</v>
      </c>
      <c r="L397" s="675"/>
      <c r="M397" s="24">
        <f t="shared" si="70"/>
        <v>1</v>
      </c>
      <c r="N397" s="675"/>
      <c r="O397" s="24">
        <f t="shared" si="71"/>
        <v>1</v>
      </c>
      <c r="P397" s="675"/>
      <c r="Q397" s="24">
        <f t="shared" si="72"/>
        <v>1</v>
      </c>
      <c r="R397" s="671">
        <f t="shared" si="73"/>
        <v>0</v>
      </c>
      <c r="S397" s="321">
        <f t="shared" si="74"/>
        <v>0</v>
      </c>
    </row>
    <row r="398" spans="1:19">
      <c r="A398" s="154"/>
      <c r="B398" s="57"/>
      <c r="C398" s="24">
        <f t="shared" si="65"/>
        <v>1</v>
      </c>
      <c r="D398" s="675"/>
      <c r="E398" s="24">
        <f t="shared" si="66"/>
        <v>0.02</v>
      </c>
      <c r="F398" s="675"/>
      <c r="G398" s="24">
        <f t="shared" si="67"/>
        <v>1</v>
      </c>
      <c r="H398" s="675"/>
      <c r="I398" s="24">
        <f t="shared" si="68"/>
        <v>1</v>
      </c>
      <c r="J398" s="675"/>
      <c r="K398" s="24">
        <f t="shared" si="69"/>
        <v>1</v>
      </c>
      <c r="L398" s="675"/>
      <c r="M398" s="24">
        <f t="shared" si="70"/>
        <v>1</v>
      </c>
      <c r="N398" s="675"/>
      <c r="O398" s="24">
        <f t="shared" si="71"/>
        <v>1</v>
      </c>
      <c r="P398" s="675"/>
      <c r="Q398" s="24">
        <f t="shared" si="72"/>
        <v>1</v>
      </c>
      <c r="R398" s="671">
        <f t="shared" si="73"/>
        <v>0</v>
      </c>
      <c r="S398" s="321">
        <f t="shared" si="74"/>
        <v>0</v>
      </c>
    </row>
    <row r="399" spans="1:19">
      <c r="A399" s="154"/>
      <c r="B399" s="57"/>
      <c r="C399" s="24">
        <f t="shared" si="65"/>
        <v>1</v>
      </c>
      <c r="D399" s="675"/>
      <c r="E399" s="24">
        <f t="shared" si="66"/>
        <v>0.02</v>
      </c>
      <c r="F399" s="675"/>
      <c r="G399" s="24">
        <f t="shared" si="67"/>
        <v>1</v>
      </c>
      <c r="H399" s="675"/>
      <c r="I399" s="24">
        <f t="shared" si="68"/>
        <v>1</v>
      </c>
      <c r="J399" s="675"/>
      <c r="K399" s="24">
        <f t="shared" si="69"/>
        <v>1</v>
      </c>
      <c r="L399" s="675"/>
      <c r="M399" s="24">
        <f t="shared" si="70"/>
        <v>1</v>
      </c>
      <c r="N399" s="675"/>
      <c r="O399" s="24">
        <f t="shared" si="71"/>
        <v>1</v>
      </c>
      <c r="P399" s="675"/>
      <c r="Q399" s="24">
        <f t="shared" si="72"/>
        <v>1</v>
      </c>
      <c r="R399" s="671">
        <f t="shared" si="73"/>
        <v>0</v>
      </c>
      <c r="S399" s="321">
        <f t="shared" si="74"/>
        <v>0</v>
      </c>
    </row>
    <row r="400" spans="1:19">
      <c r="A400" s="154"/>
      <c r="B400" s="57"/>
      <c r="C400" s="24">
        <f t="shared" si="65"/>
        <v>1</v>
      </c>
      <c r="D400" s="675"/>
      <c r="E400" s="24">
        <f t="shared" si="66"/>
        <v>0.02</v>
      </c>
      <c r="F400" s="675"/>
      <c r="G400" s="24">
        <f t="shared" si="67"/>
        <v>1</v>
      </c>
      <c r="H400" s="675"/>
      <c r="I400" s="24">
        <f t="shared" si="68"/>
        <v>1</v>
      </c>
      <c r="J400" s="675"/>
      <c r="K400" s="24">
        <f t="shared" si="69"/>
        <v>1</v>
      </c>
      <c r="L400" s="675"/>
      <c r="M400" s="24">
        <f t="shared" si="70"/>
        <v>1</v>
      </c>
      <c r="N400" s="675"/>
      <c r="O400" s="24">
        <f t="shared" si="71"/>
        <v>1</v>
      </c>
      <c r="P400" s="675"/>
      <c r="Q400" s="24">
        <f t="shared" si="72"/>
        <v>1</v>
      </c>
      <c r="R400" s="671">
        <f t="shared" si="73"/>
        <v>0</v>
      </c>
      <c r="S400" s="321">
        <f t="shared" si="74"/>
        <v>0</v>
      </c>
    </row>
    <row r="401" spans="1:19">
      <c r="A401" s="154"/>
      <c r="B401" s="57"/>
      <c r="C401" s="24">
        <f t="shared" si="65"/>
        <v>1</v>
      </c>
      <c r="D401" s="675"/>
      <c r="E401" s="24">
        <f t="shared" si="66"/>
        <v>0.02</v>
      </c>
      <c r="F401" s="675"/>
      <c r="G401" s="24">
        <f t="shared" si="67"/>
        <v>1</v>
      </c>
      <c r="H401" s="675"/>
      <c r="I401" s="24">
        <f t="shared" si="68"/>
        <v>1</v>
      </c>
      <c r="J401" s="675"/>
      <c r="K401" s="24">
        <f t="shared" si="69"/>
        <v>1</v>
      </c>
      <c r="L401" s="675"/>
      <c r="M401" s="24">
        <f t="shared" si="70"/>
        <v>1</v>
      </c>
      <c r="N401" s="675"/>
      <c r="O401" s="24">
        <f t="shared" si="71"/>
        <v>1</v>
      </c>
      <c r="P401" s="675"/>
      <c r="Q401" s="24">
        <f t="shared" si="72"/>
        <v>1</v>
      </c>
      <c r="R401" s="671">
        <f t="shared" si="73"/>
        <v>0</v>
      </c>
      <c r="S401" s="321">
        <f t="shared" si="74"/>
        <v>0</v>
      </c>
    </row>
    <row r="402" spans="1:19">
      <c r="A402" s="154"/>
      <c r="B402" s="57"/>
      <c r="C402" s="24">
        <f t="shared" si="65"/>
        <v>1</v>
      </c>
      <c r="D402" s="675"/>
      <c r="E402" s="24">
        <f t="shared" si="66"/>
        <v>0.02</v>
      </c>
      <c r="F402" s="675"/>
      <c r="G402" s="24">
        <f t="shared" si="67"/>
        <v>1</v>
      </c>
      <c r="H402" s="675"/>
      <c r="I402" s="24">
        <f t="shared" si="68"/>
        <v>1</v>
      </c>
      <c r="J402" s="675"/>
      <c r="K402" s="24">
        <f t="shared" si="69"/>
        <v>1</v>
      </c>
      <c r="L402" s="675"/>
      <c r="M402" s="24">
        <f t="shared" si="70"/>
        <v>1</v>
      </c>
      <c r="N402" s="675"/>
      <c r="O402" s="24">
        <f t="shared" si="71"/>
        <v>1</v>
      </c>
      <c r="P402" s="675"/>
      <c r="Q402" s="24">
        <f t="shared" si="72"/>
        <v>1</v>
      </c>
      <c r="R402" s="671">
        <f t="shared" si="73"/>
        <v>0</v>
      </c>
      <c r="S402" s="321">
        <f t="shared" si="74"/>
        <v>0</v>
      </c>
    </row>
    <row r="403" spans="1:19">
      <c r="A403" s="154"/>
      <c r="B403" s="57"/>
      <c r="C403" s="24">
        <f t="shared" si="65"/>
        <v>1</v>
      </c>
      <c r="D403" s="675"/>
      <c r="E403" s="24">
        <f t="shared" si="66"/>
        <v>0.02</v>
      </c>
      <c r="F403" s="675"/>
      <c r="G403" s="24">
        <f t="shared" si="67"/>
        <v>1</v>
      </c>
      <c r="H403" s="675"/>
      <c r="I403" s="24">
        <f t="shared" si="68"/>
        <v>1</v>
      </c>
      <c r="J403" s="675"/>
      <c r="K403" s="24">
        <f t="shared" si="69"/>
        <v>1</v>
      </c>
      <c r="L403" s="675"/>
      <c r="M403" s="24">
        <f t="shared" si="70"/>
        <v>1</v>
      </c>
      <c r="N403" s="675"/>
      <c r="O403" s="24">
        <f t="shared" si="71"/>
        <v>1</v>
      </c>
      <c r="P403" s="675"/>
      <c r="Q403" s="24">
        <f t="shared" si="72"/>
        <v>1</v>
      </c>
      <c r="R403" s="671">
        <f t="shared" si="73"/>
        <v>0</v>
      </c>
      <c r="S403" s="321">
        <f t="shared" si="74"/>
        <v>0</v>
      </c>
    </row>
    <row r="404" spans="1:19">
      <c r="A404" s="154"/>
      <c r="B404" s="57"/>
      <c r="C404" s="24">
        <f t="shared" si="65"/>
        <v>1</v>
      </c>
      <c r="D404" s="675"/>
      <c r="E404" s="24">
        <f t="shared" si="66"/>
        <v>0.02</v>
      </c>
      <c r="F404" s="675"/>
      <c r="G404" s="24">
        <f t="shared" si="67"/>
        <v>1</v>
      </c>
      <c r="H404" s="675"/>
      <c r="I404" s="24">
        <f t="shared" si="68"/>
        <v>1</v>
      </c>
      <c r="J404" s="675"/>
      <c r="K404" s="24">
        <f t="shared" si="69"/>
        <v>1</v>
      </c>
      <c r="L404" s="675"/>
      <c r="M404" s="24">
        <f t="shared" si="70"/>
        <v>1</v>
      </c>
      <c r="N404" s="675"/>
      <c r="O404" s="24">
        <f t="shared" si="71"/>
        <v>1</v>
      </c>
      <c r="P404" s="675"/>
      <c r="Q404" s="24">
        <f t="shared" si="72"/>
        <v>1</v>
      </c>
      <c r="R404" s="671">
        <f t="shared" si="73"/>
        <v>0</v>
      </c>
      <c r="S404" s="321">
        <f t="shared" si="74"/>
        <v>0</v>
      </c>
    </row>
    <row r="405" spans="1:19">
      <c r="A405" s="154"/>
      <c r="B405" s="57"/>
      <c r="C405" s="24">
        <f t="shared" si="65"/>
        <v>1</v>
      </c>
      <c r="D405" s="675"/>
      <c r="E405" s="24">
        <f t="shared" si="66"/>
        <v>0.02</v>
      </c>
      <c r="F405" s="675"/>
      <c r="G405" s="24">
        <f t="shared" si="67"/>
        <v>1</v>
      </c>
      <c r="H405" s="675"/>
      <c r="I405" s="24">
        <f t="shared" si="68"/>
        <v>1</v>
      </c>
      <c r="J405" s="675"/>
      <c r="K405" s="24">
        <f t="shared" si="69"/>
        <v>1</v>
      </c>
      <c r="L405" s="675"/>
      <c r="M405" s="24">
        <f t="shared" si="70"/>
        <v>1</v>
      </c>
      <c r="N405" s="675"/>
      <c r="O405" s="24">
        <f t="shared" si="71"/>
        <v>1</v>
      </c>
      <c r="P405" s="675"/>
      <c r="Q405" s="24">
        <f t="shared" si="72"/>
        <v>1</v>
      </c>
      <c r="R405" s="671">
        <f t="shared" si="73"/>
        <v>0</v>
      </c>
      <c r="S405" s="321">
        <f t="shared" si="74"/>
        <v>0</v>
      </c>
    </row>
    <row r="406" spans="1:19">
      <c r="A406" s="154"/>
      <c r="B406" s="57"/>
      <c r="C406" s="24">
        <f t="shared" si="65"/>
        <v>1</v>
      </c>
      <c r="D406" s="675"/>
      <c r="E406" s="24">
        <f t="shared" si="66"/>
        <v>0.02</v>
      </c>
      <c r="F406" s="675"/>
      <c r="G406" s="24">
        <f t="shared" si="67"/>
        <v>1</v>
      </c>
      <c r="H406" s="675"/>
      <c r="I406" s="24">
        <f t="shared" si="68"/>
        <v>1</v>
      </c>
      <c r="J406" s="675"/>
      <c r="K406" s="24">
        <f t="shared" si="69"/>
        <v>1</v>
      </c>
      <c r="L406" s="675"/>
      <c r="M406" s="24">
        <f t="shared" si="70"/>
        <v>1</v>
      </c>
      <c r="N406" s="675"/>
      <c r="O406" s="24">
        <f t="shared" si="71"/>
        <v>1</v>
      </c>
      <c r="P406" s="675"/>
      <c r="Q406" s="24">
        <f t="shared" si="72"/>
        <v>1</v>
      </c>
      <c r="R406" s="671">
        <f t="shared" si="73"/>
        <v>0</v>
      </c>
      <c r="S406" s="321">
        <f t="shared" si="74"/>
        <v>0</v>
      </c>
    </row>
    <row r="407" spans="1:19">
      <c r="A407" s="154"/>
      <c r="B407" s="57"/>
      <c r="C407" s="24">
        <f t="shared" si="65"/>
        <v>1</v>
      </c>
      <c r="D407" s="675"/>
      <c r="E407" s="24">
        <f t="shared" si="66"/>
        <v>0.02</v>
      </c>
      <c r="F407" s="675"/>
      <c r="G407" s="24">
        <f t="shared" si="67"/>
        <v>1</v>
      </c>
      <c r="H407" s="675"/>
      <c r="I407" s="24">
        <f t="shared" si="68"/>
        <v>1</v>
      </c>
      <c r="J407" s="675"/>
      <c r="K407" s="24">
        <f t="shared" si="69"/>
        <v>1</v>
      </c>
      <c r="L407" s="675"/>
      <c r="M407" s="24">
        <f t="shared" si="70"/>
        <v>1</v>
      </c>
      <c r="N407" s="675"/>
      <c r="O407" s="24">
        <f t="shared" si="71"/>
        <v>1</v>
      </c>
      <c r="P407" s="675"/>
      <c r="Q407" s="24">
        <f t="shared" si="72"/>
        <v>1</v>
      </c>
      <c r="R407" s="671">
        <f t="shared" si="73"/>
        <v>0</v>
      </c>
      <c r="S407" s="321">
        <f t="shared" si="74"/>
        <v>0</v>
      </c>
    </row>
    <row r="408" spans="1:19">
      <c r="A408" s="154"/>
      <c r="B408" s="57"/>
      <c r="C408" s="24">
        <f t="shared" si="65"/>
        <v>1</v>
      </c>
      <c r="D408" s="675"/>
      <c r="E408" s="24">
        <f t="shared" si="66"/>
        <v>0.02</v>
      </c>
      <c r="F408" s="675"/>
      <c r="G408" s="24">
        <f t="shared" si="67"/>
        <v>1</v>
      </c>
      <c r="H408" s="675"/>
      <c r="I408" s="24">
        <f t="shared" si="68"/>
        <v>1</v>
      </c>
      <c r="J408" s="675"/>
      <c r="K408" s="24">
        <f t="shared" si="69"/>
        <v>1</v>
      </c>
      <c r="L408" s="675"/>
      <c r="M408" s="24">
        <f t="shared" si="70"/>
        <v>1</v>
      </c>
      <c r="N408" s="675"/>
      <c r="O408" s="24">
        <f t="shared" si="71"/>
        <v>1</v>
      </c>
      <c r="P408" s="675"/>
      <c r="Q408" s="24">
        <f t="shared" si="72"/>
        <v>1</v>
      </c>
      <c r="R408" s="671">
        <f t="shared" si="73"/>
        <v>0</v>
      </c>
      <c r="S408" s="321">
        <f t="shared" si="74"/>
        <v>0</v>
      </c>
    </row>
    <row r="409" spans="1:19">
      <c r="A409" s="154"/>
      <c r="B409" s="57"/>
      <c r="C409" s="24">
        <f t="shared" si="65"/>
        <v>1</v>
      </c>
      <c r="D409" s="675"/>
      <c r="E409" s="24">
        <f t="shared" si="66"/>
        <v>0.02</v>
      </c>
      <c r="F409" s="675"/>
      <c r="G409" s="24">
        <f t="shared" si="67"/>
        <v>1</v>
      </c>
      <c r="H409" s="675"/>
      <c r="I409" s="24">
        <f t="shared" si="68"/>
        <v>1</v>
      </c>
      <c r="J409" s="675"/>
      <c r="K409" s="24">
        <f t="shared" si="69"/>
        <v>1</v>
      </c>
      <c r="L409" s="675"/>
      <c r="M409" s="24">
        <f t="shared" si="70"/>
        <v>1</v>
      </c>
      <c r="N409" s="675"/>
      <c r="O409" s="24">
        <f t="shared" si="71"/>
        <v>1</v>
      </c>
      <c r="P409" s="675"/>
      <c r="Q409" s="24">
        <f t="shared" si="72"/>
        <v>1</v>
      </c>
      <c r="R409" s="671">
        <f t="shared" si="73"/>
        <v>0</v>
      </c>
      <c r="S409" s="321">
        <f t="shared" si="74"/>
        <v>0</v>
      </c>
    </row>
    <row r="410" spans="1:19">
      <c r="A410" s="154"/>
      <c r="B410" s="57"/>
      <c r="C410" s="24">
        <f t="shared" ref="C410:C473" si="75">IF(B410="",1,(LOOKUP(B410,$3:$3,$4:$4)-LOOKUP($B$24,$3:$3,$4:$4)+100)/100)</f>
        <v>1</v>
      </c>
      <c r="D410" s="675"/>
      <c r="E410" s="24">
        <f t="shared" ref="E410:E473" si="76">(SUMIF($5:$5,D410,$6:$6)-SUMIF($5:$5,$D$24,$6:$6)+100)/100</f>
        <v>0.02</v>
      </c>
      <c r="F410" s="675"/>
      <c r="G410" s="24">
        <f t="shared" ref="G410:G473" si="77">(SUMIF($7:$7,F410,$8:$8)-SUMIF($7:$7,$F$24,$8:$8)+100)/100</f>
        <v>1</v>
      </c>
      <c r="H410" s="675"/>
      <c r="I410" s="24">
        <f t="shared" ref="I410:I473" si="78">(SUMIF($9:$9,H410,$10:$10)-SUMIF($9:$9,$H$24,$10:$10)+100)/100</f>
        <v>1</v>
      </c>
      <c r="J410" s="675"/>
      <c r="K410" s="24">
        <f t="shared" ref="K410:K473" si="79">(SUMIF($11:$11,J410,$12:$12)-SUMIF($11:$11,$J$24,$12:$12)+100)/100</f>
        <v>1</v>
      </c>
      <c r="L410" s="675"/>
      <c r="M410" s="24">
        <f t="shared" ref="M410:M473" si="80">(SUMIF($13:$13,L410,$14:$14)-SUMIF($13:$13,$L$24,$14:$14)+100)/100</f>
        <v>1</v>
      </c>
      <c r="N410" s="675"/>
      <c r="O410" s="24">
        <f t="shared" ref="O410:O473" si="81">(SUMIF($15:$15,N410,$16:$16)-SUMIF($15:$15,$N$24,$16:$16)+100)/100</f>
        <v>1</v>
      </c>
      <c r="P410" s="675"/>
      <c r="Q410" s="24">
        <f t="shared" ref="Q410:Q473" si="82">(SUMIF($17:$17,P410,$18:$18)-SUMIF($17:$17,$P$24,$18:$18)+100)/100</f>
        <v>1</v>
      </c>
      <c r="R410" s="671">
        <f t="shared" ref="R410:R473" si="83">IF(B410="",0,ROUND($R$24*C410*E410*G410*I410*K410*M410*O410*Q410,0))</f>
        <v>0</v>
      </c>
      <c r="S410" s="321">
        <f t="shared" si="74"/>
        <v>0</v>
      </c>
    </row>
    <row r="411" spans="1:19">
      <c r="A411" s="154"/>
      <c r="B411" s="57"/>
      <c r="C411" s="24">
        <f t="shared" si="75"/>
        <v>1</v>
      </c>
      <c r="D411" s="675"/>
      <c r="E411" s="24">
        <f t="shared" si="76"/>
        <v>0.02</v>
      </c>
      <c r="F411" s="675"/>
      <c r="G411" s="24">
        <f t="shared" si="77"/>
        <v>1</v>
      </c>
      <c r="H411" s="675"/>
      <c r="I411" s="24">
        <f t="shared" si="78"/>
        <v>1</v>
      </c>
      <c r="J411" s="675"/>
      <c r="K411" s="24">
        <f t="shared" si="79"/>
        <v>1</v>
      </c>
      <c r="L411" s="675"/>
      <c r="M411" s="24">
        <f t="shared" si="80"/>
        <v>1</v>
      </c>
      <c r="N411" s="675"/>
      <c r="O411" s="24">
        <f t="shared" si="81"/>
        <v>1</v>
      </c>
      <c r="P411" s="675"/>
      <c r="Q411" s="24">
        <f t="shared" si="82"/>
        <v>1</v>
      </c>
      <c r="R411" s="671">
        <f t="shared" si="83"/>
        <v>0</v>
      </c>
      <c r="S411" s="321">
        <f t="shared" si="74"/>
        <v>0</v>
      </c>
    </row>
    <row r="412" spans="1:19">
      <c r="A412" s="154"/>
      <c r="B412" s="57"/>
      <c r="C412" s="24">
        <f t="shared" si="75"/>
        <v>1</v>
      </c>
      <c r="D412" s="675"/>
      <c r="E412" s="24">
        <f t="shared" si="76"/>
        <v>0.02</v>
      </c>
      <c r="F412" s="675"/>
      <c r="G412" s="24">
        <f t="shared" si="77"/>
        <v>1</v>
      </c>
      <c r="H412" s="675"/>
      <c r="I412" s="24">
        <f t="shared" si="78"/>
        <v>1</v>
      </c>
      <c r="J412" s="675"/>
      <c r="K412" s="24">
        <f t="shared" si="79"/>
        <v>1</v>
      </c>
      <c r="L412" s="675"/>
      <c r="M412" s="24">
        <f t="shared" si="80"/>
        <v>1</v>
      </c>
      <c r="N412" s="675"/>
      <c r="O412" s="24">
        <f t="shared" si="81"/>
        <v>1</v>
      </c>
      <c r="P412" s="675"/>
      <c r="Q412" s="24">
        <f t="shared" si="82"/>
        <v>1</v>
      </c>
      <c r="R412" s="671">
        <f t="shared" si="83"/>
        <v>0</v>
      </c>
      <c r="S412" s="321">
        <f t="shared" si="74"/>
        <v>0</v>
      </c>
    </row>
    <row r="413" spans="1:19">
      <c r="A413" s="154"/>
      <c r="B413" s="57"/>
      <c r="C413" s="24">
        <f t="shared" si="75"/>
        <v>1</v>
      </c>
      <c r="D413" s="675"/>
      <c r="E413" s="24">
        <f t="shared" si="76"/>
        <v>0.02</v>
      </c>
      <c r="F413" s="675"/>
      <c r="G413" s="24">
        <f t="shared" si="77"/>
        <v>1</v>
      </c>
      <c r="H413" s="675"/>
      <c r="I413" s="24">
        <f t="shared" si="78"/>
        <v>1</v>
      </c>
      <c r="J413" s="675"/>
      <c r="K413" s="24">
        <f t="shared" si="79"/>
        <v>1</v>
      </c>
      <c r="L413" s="675"/>
      <c r="M413" s="24">
        <f t="shared" si="80"/>
        <v>1</v>
      </c>
      <c r="N413" s="675"/>
      <c r="O413" s="24">
        <f t="shared" si="81"/>
        <v>1</v>
      </c>
      <c r="P413" s="675"/>
      <c r="Q413" s="24">
        <f t="shared" si="82"/>
        <v>1</v>
      </c>
      <c r="R413" s="671">
        <f t="shared" si="83"/>
        <v>0</v>
      </c>
      <c r="S413" s="321">
        <f t="shared" si="74"/>
        <v>0</v>
      </c>
    </row>
    <row r="414" spans="1:19">
      <c r="A414" s="154"/>
      <c r="B414" s="57"/>
      <c r="C414" s="24">
        <f t="shared" si="75"/>
        <v>1</v>
      </c>
      <c r="D414" s="675"/>
      <c r="E414" s="24">
        <f t="shared" si="76"/>
        <v>0.02</v>
      </c>
      <c r="F414" s="675"/>
      <c r="G414" s="24">
        <f t="shared" si="77"/>
        <v>1</v>
      </c>
      <c r="H414" s="675"/>
      <c r="I414" s="24">
        <f t="shared" si="78"/>
        <v>1</v>
      </c>
      <c r="J414" s="675"/>
      <c r="K414" s="24">
        <f t="shared" si="79"/>
        <v>1</v>
      </c>
      <c r="L414" s="675"/>
      <c r="M414" s="24">
        <f t="shared" si="80"/>
        <v>1</v>
      </c>
      <c r="N414" s="675"/>
      <c r="O414" s="24">
        <f t="shared" si="81"/>
        <v>1</v>
      </c>
      <c r="P414" s="675"/>
      <c r="Q414" s="24">
        <f t="shared" si="82"/>
        <v>1</v>
      </c>
      <c r="R414" s="671">
        <f t="shared" si="83"/>
        <v>0</v>
      </c>
      <c r="S414" s="321">
        <f t="shared" si="74"/>
        <v>0</v>
      </c>
    </row>
    <row r="415" spans="1:19">
      <c r="A415" s="154"/>
      <c r="B415" s="57"/>
      <c r="C415" s="24">
        <f t="shared" si="75"/>
        <v>1</v>
      </c>
      <c r="D415" s="675"/>
      <c r="E415" s="24">
        <f t="shared" si="76"/>
        <v>0.02</v>
      </c>
      <c r="F415" s="675"/>
      <c r="G415" s="24">
        <f t="shared" si="77"/>
        <v>1</v>
      </c>
      <c r="H415" s="675"/>
      <c r="I415" s="24">
        <f t="shared" si="78"/>
        <v>1</v>
      </c>
      <c r="J415" s="675"/>
      <c r="K415" s="24">
        <f t="shared" si="79"/>
        <v>1</v>
      </c>
      <c r="L415" s="675"/>
      <c r="M415" s="24">
        <f t="shared" si="80"/>
        <v>1</v>
      </c>
      <c r="N415" s="675"/>
      <c r="O415" s="24">
        <f t="shared" si="81"/>
        <v>1</v>
      </c>
      <c r="P415" s="675"/>
      <c r="Q415" s="24">
        <f t="shared" si="82"/>
        <v>1</v>
      </c>
      <c r="R415" s="671">
        <f t="shared" si="83"/>
        <v>0</v>
      </c>
      <c r="S415" s="321">
        <f t="shared" si="74"/>
        <v>0</v>
      </c>
    </row>
    <row r="416" spans="1:19">
      <c r="A416" s="154"/>
      <c r="B416" s="57"/>
      <c r="C416" s="24">
        <f t="shared" si="75"/>
        <v>1</v>
      </c>
      <c r="D416" s="675"/>
      <c r="E416" s="24">
        <f t="shared" si="76"/>
        <v>0.02</v>
      </c>
      <c r="F416" s="675"/>
      <c r="G416" s="24">
        <f t="shared" si="77"/>
        <v>1</v>
      </c>
      <c r="H416" s="675"/>
      <c r="I416" s="24">
        <f t="shared" si="78"/>
        <v>1</v>
      </c>
      <c r="J416" s="675"/>
      <c r="K416" s="24">
        <f t="shared" si="79"/>
        <v>1</v>
      </c>
      <c r="L416" s="675"/>
      <c r="M416" s="24">
        <f t="shared" si="80"/>
        <v>1</v>
      </c>
      <c r="N416" s="675"/>
      <c r="O416" s="24">
        <f t="shared" si="81"/>
        <v>1</v>
      </c>
      <c r="P416" s="675"/>
      <c r="Q416" s="24">
        <f t="shared" si="82"/>
        <v>1</v>
      </c>
      <c r="R416" s="671">
        <f t="shared" si="83"/>
        <v>0</v>
      </c>
      <c r="S416" s="321">
        <f t="shared" si="74"/>
        <v>0</v>
      </c>
    </row>
    <row r="417" spans="1:19">
      <c r="A417" s="154"/>
      <c r="B417" s="57"/>
      <c r="C417" s="24">
        <f t="shared" si="75"/>
        <v>1</v>
      </c>
      <c r="D417" s="675"/>
      <c r="E417" s="24">
        <f t="shared" si="76"/>
        <v>0.02</v>
      </c>
      <c r="F417" s="675"/>
      <c r="G417" s="24">
        <f t="shared" si="77"/>
        <v>1</v>
      </c>
      <c r="H417" s="675"/>
      <c r="I417" s="24">
        <f t="shared" si="78"/>
        <v>1</v>
      </c>
      <c r="J417" s="675"/>
      <c r="K417" s="24">
        <f t="shared" si="79"/>
        <v>1</v>
      </c>
      <c r="L417" s="675"/>
      <c r="M417" s="24">
        <f t="shared" si="80"/>
        <v>1</v>
      </c>
      <c r="N417" s="675"/>
      <c r="O417" s="24">
        <f t="shared" si="81"/>
        <v>1</v>
      </c>
      <c r="P417" s="675"/>
      <c r="Q417" s="24">
        <f t="shared" si="82"/>
        <v>1</v>
      </c>
      <c r="R417" s="671">
        <f t="shared" si="83"/>
        <v>0</v>
      </c>
      <c r="S417" s="321">
        <f t="shared" si="74"/>
        <v>0</v>
      </c>
    </row>
    <row r="418" spans="1:19">
      <c r="A418" s="154"/>
      <c r="B418" s="57"/>
      <c r="C418" s="24">
        <f t="shared" si="75"/>
        <v>1</v>
      </c>
      <c r="D418" s="675"/>
      <c r="E418" s="24">
        <f t="shared" si="76"/>
        <v>0.02</v>
      </c>
      <c r="F418" s="675"/>
      <c r="G418" s="24">
        <f t="shared" si="77"/>
        <v>1</v>
      </c>
      <c r="H418" s="675"/>
      <c r="I418" s="24">
        <f t="shared" si="78"/>
        <v>1</v>
      </c>
      <c r="J418" s="675"/>
      <c r="K418" s="24">
        <f t="shared" si="79"/>
        <v>1</v>
      </c>
      <c r="L418" s="675"/>
      <c r="M418" s="24">
        <f t="shared" si="80"/>
        <v>1</v>
      </c>
      <c r="N418" s="675"/>
      <c r="O418" s="24">
        <f t="shared" si="81"/>
        <v>1</v>
      </c>
      <c r="P418" s="675"/>
      <c r="Q418" s="24">
        <f t="shared" si="82"/>
        <v>1</v>
      </c>
      <c r="R418" s="671">
        <f t="shared" si="83"/>
        <v>0</v>
      </c>
      <c r="S418" s="321">
        <f t="shared" si="74"/>
        <v>0</v>
      </c>
    </row>
    <row r="419" spans="1:19">
      <c r="A419" s="154"/>
      <c r="B419" s="57"/>
      <c r="C419" s="24">
        <f t="shared" si="75"/>
        <v>1</v>
      </c>
      <c r="D419" s="675"/>
      <c r="E419" s="24">
        <f t="shared" si="76"/>
        <v>0.02</v>
      </c>
      <c r="F419" s="675"/>
      <c r="G419" s="24">
        <f t="shared" si="77"/>
        <v>1</v>
      </c>
      <c r="H419" s="675"/>
      <c r="I419" s="24">
        <f t="shared" si="78"/>
        <v>1</v>
      </c>
      <c r="J419" s="675"/>
      <c r="K419" s="24">
        <f t="shared" si="79"/>
        <v>1</v>
      </c>
      <c r="L419" s="675"/>
      <c r="M419" s="24">
        <f t="shared" si="80"/>
        <v>1</v>
      </c>
      <c r="N419" s="675"/>
      <c r="O419" s="24">
        <f t="shared" si="81"/>
        <v>1</v>
      </c>
      <c r="P419" s="675"/>
      <c r="Q419" s="24">
        <f t="shared" si="82"/>
        <v>1</v>
      </c>
      <c r="R419" s="671">
        <f t="shared" si="83"/>
        <v>0</v>
      </c>
      <c r="S419" s="321">
        <f t="shared" si="74"/>
        <v>0</v>
      </c>
    </row>
    <row r="420" spans="1:19">
      <c r="A420" s="154"/>
      <c r="B420" s="57"/>
      <c r="C420" s="24">
        <f t="shared" si="75"/>
        <v>1</v>
      </c>
      <c r="D420" s="675"/>
      <c r="E420" s="24">
        <f t="shared" si="76"/>
        <v>0.02</v>
      </c>
      <c r="F420" s="675"/>
      <c r="G420" s="24">
        <f t="shared" si="77"/>
        <v>1</v>
      </c>
      <c r="H420" s="675"/>
      <c r="I420" s="24">
        <f t="shared" si="78"/>
        <v>1</v>
      </c>
      <c r="J420" s="675"/>
      <c r="K420" s="24">
        <f t="shared" si="79"/>
        <v>1</v>
      </c>
      <c r="L420" s="675"/>
      <c r="M420" s="24">
        <f t="shared" si="80"/>
        <v>1</v>
      </c>
      <c r="N420" s="675"/>
      <c r="O420" s="24">
        <f t="shared" si="81"/>
        <v>1</v>
      </c>
      <c r="P420" s="675"/>
      <c r="Q420" s="24">
        <f t="shared" si="82"/>
        <v>1</v>
      </c>
      <c r="R420" s="671">
        <f t="shared" si="83"/>
        <v>0</v>
      </c>
      <c r="S420" s="321">
        <f t="shared" si="74"/>
        <v>0</v>
      </c>
    </row>
    <row r="421" spans="1:19">
      <c r="A421" s="154"/>
      <c r="B421" s="57"/>
      <c r="C421" s="24">
        <f t="shared" si="75"/>
        <v>1</v>
      </c>
      <c r="D421" s="675"/>
      <c r="E421" s="24">
        <f t="shared" si="76"/>
        <v>0.02</v>
      </c>
      <c r="F421" s="675"/>
      <c r="G421" s="24">
        <f t="shared" si="77"/>
        <v>1</v>
      </c>
      <c r="H421" s="675"/>
      <c r="I421" s="24">
        <f t="shared" si="78"/>
        <v>1</v>
      </c>
      <c r="J421" s="675"/>
      <c r="K421" s="24">
        <f t="shared" si="79"/>
        <v>1</v>
      </c>
      <c r="L421" s="675"/>
      <c r="M421" s="24">
        <f t="shared" si="80"/>
        <v>1</v>
      </c>
      <c r="N421" s="675"/>
      <c r="O421" s="24">
        <f t="shared" si="81"/>
        <v>1</v>
      </c>
      <c r="P421" s="675"/>
      <c r="Q421" s="24">
        <f t="shared" si="82"/>
        <v>1</v>
      </c>
      <c r="R421" s="671">
        <f t="shared" si="83"/>
        <v>0</v>
      </c>
      <c r="S421" s="321">
        <f t="shared" si="74"/>
        <v>0</v>
      </c>
    </row>
    <row r="422" spans="1:19">
      <c r="A422" s="154"/>
      <c r="B422" s="57"/>
      <c r="C422" s="24">
        <f t="shared" si="75"/>
        <v>1</v>
      </c>
      <c r="D422" s="675"/>
      <c r="E422" s="24">
        <f t="shared" si="76"/>
        <v>0.02</v>
      </c>
      <c r="F422" s="675"/>
      <c r="G422" s="24">
        <f t="shared" si="77"/>
        <v>1</v>
      </c>
      <c r="H422" s="675"/>
      <c r="I422" s="24">
        <f t="shared" si="78"/>
        <v>1</v>
      </c>
      <c r="J422" s="675"/>
      <c r="K422" s="24">
        <f t="shared" si="79"/>
        <v>1</v>
      </c>
      <c r="L422" s="675"/>
      <c r="M422" s="24">
        <f t="shared" si="80"/>
        <v>1</v>
      </c>
      <c r="N422" s="675"/>
      <c r="O422" s="24">
        <f t="shared" si="81"/>
        <v>1</v>
      </c>
      <c r="P422" s="675"/>
      <c r="Q422" s="24">
        <f t="shared" si="82"/>
        <v>1</v>
      </c>
      <c r="R422" s="671">
        <f t="shared" si="83"/>
        <v>0</v>
      </c>
      <c r="S422" s="321">
        <f t="shared" si="74"/>
        <v>0</v>
      </c>
    </row>
    <row r="423" spans="1:19">
      <c r="A423" s="154"/>
      <c r="B423" s="57"/>
      <c r="C423" s="24">
        <f t="shared" si="75"/>
        <v>1</v>
      </c>
      <c r="D423" s="675"/>
      <c r="E423" s="24">
        <f t="shared" si="76"/>
        <v>0.02</v>
      </c>
      <c r="F423" s="675"/>
      <c r="G423" s="24">
        <f t="shared" si="77"/>
        <v>1</v>
      </c>
      <c r="H423" s="675"/>
      <c r="I423" s="24">
        <f t="shared" si="78"/>
        <v>1</v>
      </c>
      <c r="J423" s="675"/>
      <c r="K423" s="24">
        <f t="shared" si="79"/>
        <v>1</v>
      </c>
      <c r="L423" s="675"/>
      <c r="M423" s="24">
        <f t="shared" si="80"/>
        <v>1</v>
      </c>
      <c r="N423" s="675"/>
      <c r="O423" s="24">
        <f t="shared" si="81"/>
        <v>1</v>
      </c>
      <c r="P423" s="675"/>
      <c r="Q423" s="24">
        <f t="shared" si="82"/>
        <v>1</v>
      </c>
      <c r="R423" s="671">
        <f t="shared" si="83"/>
        <v>0</v>
      </c>
      <c r="S423" s="321">
        <f t="shared" ref="S423:S467" si="84">ROUND(R423*B423/10000,0)</f>
        <v>0</v>
      </c>
    </row>
    <row r="424" spans="1:19">
      <c r="A424" s="154"/>
      <c r="B424" s="57"/>
      <c r="C424" s="24">
        <f t="shared" si="75"/>
        <v>1</v>
      </c>
      <c r="D424" s="675"/>
      <c r="E424" s="24">
        <f t="shared" si="76"/>
        <v>0.02</v>
      </c>
      <c r="F424" s="675"/>
      <c r="G424" s="24">
        <f t="shared" si="77"/>
        <v>1</v>
      </c>
      <c r="H424" s="675"/>
      <c r="I424" s="24">
        <f t="shared" si="78"/>
        <v>1</v>
      </c>
      <c r="J424" s="675"/>
      <c r="K424" s="24">
        <f t="shared" si="79"/>
        <v>1</v>
      </c>
      <c r="L424" s="675"/>
      <c r="M424" s="24">
        <f t="shared" si="80"/>
        <v>1</v>
      </c>
      <c r="N424" s="675"/>
      <c r="O424" s="24">
        <f t="shared" si="81"/>
        <v>1</v>
      </c>
      <c r="P424" s="675"/>
      <c r="Q424" s="24">
        <f t="shared" si="82"/>
        <v>1</v>
      </c>
      <c r="R424" s="671">
        <f t="shared" si="83"/>
        <v>0</v>
      </c>
      <c r="S424" s="321">
        <f t="shared" si="84"/>
        <v>0</v>
      </c>
    </row>
    <row r="425" spans="1:19">
      <c r="A425" s="154"/>
      <c r="B425" s="57"/>
      <c r="C425" s="24">
        <f t="shared" si="75"/>
        <v>1</v>
      </c>
      <c r="D425" s="675"/>
      <c r="E425" s="24">
        <f t="shared" si="76"/>
        <v>0.02</v>
      </c>
      <c r="F425" s="675"/>
      <c r="G425" s="24">
        <f t="shared" si="77"/>
        <v>1</v>
      </c>
      <c r="H425" s="675"/>
      <c r="I425" s="24">
        <f t="shared" si="78"/>
        <v>1</v>
      </c>
      <c r="J425" s="675"/>
      <c r="K425" s="24">
        <f t="shared" si="79"/>
        <v>1</v>
      </c>
      <c r="L425" s="675"/>
      <c r="M425" s="24">
        <f t="shared" si="80"/>
        <v>1</v>
      </c>
      <c r="N425" s="675"/>
      <c r="O425" s="24">
        <f t="shared" si="81"/>
        <v>1</v>
      </c>
      <c r="P425" s="675"/>
      <c r="Q425" s="24">
        <f t="shared" si="82"/>
        <v>1</v>
      </c>
      <c r="R425" s="671">
        <f t="shared" si="83"/>
        <v>0</v>
      </c>
      <c r="S425" s="321">
        <f t="shared" si="84"/>
        <v>0</v>
      </c>
    </row>
    <row r="426" spans="1:19">
      <c r="A426" s="154"/>
      <c r="B426" s="57"/>
      <c r="C426" s="24">
        <f t="shared" si="75"/>
        <v>1</v>
      </c>
      <c r="D426" s="675"/>
      <c r="E426" s="24">
        <f t="shared" si="76"/>
        <v>0.02</v>
      </c>
      <c r="F426" s="675"/>
      <c r="G426" s="24">
        <f t="shared" si="77"/>
        <v>1</v>
      </c>
      <c r="H426" s="675"/>
      <c r="I426" s="24">
        <f t="shared" si="78"/>
        <v>1</v>
      </c>
      <c r="J426" s="675"/>
      <c r="K426" s="24">
        <f t="shared" si="79"/>
        <v>1</v>
      </c>
      <c r="L426" s="675"/>
      <c r="M426" s="24">
        <f t="shared" si="80"/>
        <v>1</v>
      </c>
      <c r="N426" s="675"/>
      <c r="O426" s="24">
        <f t="shared" si="81"/>
        <v>1</v>
      </c>
      <c r="P426" s="675"/>
      <c r="Q426" s="24">
        <f t="shared" si="82"/>
        <v>1</v>
      </c>
      <c r="R426" s="671">
        <f t="shared" si="83"/>
        <v>0</v>
      </c>
      <c r="S426" s="321">
        <f t="shared" si="84"/>
        <v>0</v>
      </c>
    </row>
    <row r="427" spans="1:19">
      <c r="A427" s="154"/>
      <c r="B427" s="57"/>
      <c r="C427" s="24">
        <f t="shared" si="75"/>
        <v>1</v>
      </c>
      <c r="D427" s="675"/>
      <c r="E427" s="24">
        <f t="shared" si="76"/>
        <v>0.02</v>
      </c>
      <c r="F427" s="675"/>
      <c r="G427" s="24">
        <f t="shared" si="77"/>
        <v>1</v>
      </c>
      <c r="H427" s="675"/>
      <c r="I427" s="24">
        <f t="shared" si="78"/>
        <v>1</v>
      </c>
      <c r="J427" s="675"/>
      <c r="K427" s="24">
        <f t="shared" si="79"/>
        <v>1</v>
      </c>
      <c r="L427" s="675"/>
      <c r="M427" s="24">
        <f t="shared" si="80"/>
        <v>1</v>
      </c>
      <c r="N427" s="675"/>
      <c r="O427" s="24">
        <f t="shared" si="81"/>
        <v>1</v>
      </c>
      <c r="P427" s="675"/>
      <c r="Q427" s="24">
        <f t="shared" si="82"/>
        <v>1</v>
      </c>
      <c r="R427" s="671">
        <f t="shared" si="83"/>
        <v>0</v>
      </c>
      <c r="S427" s="321">
        <f t="shared" si="84"/>
        <v>0</v>
      </c>
    </row>
    <row r="428" spans="1:19">
      <c r="A428" s="154"/>
      <c r="B428" s="57"/>
      <c r="C428" s="24">
        <f t="shared" si="75"/>
        <v>1</v>
      </c>
      <c r="D428" s="675"/>
      <c r="E428" s="24">
        <f t="shared" si="76"/>
        <v>0.02</v>
      </c>
      <c r="F428" s="675"/>
      <c r="G428" s="24">
        <f t="shared" si="77"/>
        <v>1</v>
      </c>
      <c r="H428" s="675"/>
      <c r="I428" s="24">
        <f t="shared" si="78"/>
        <v>1</v>
      </c>
      <c r="J428" s="675"/>
      <c r="K428" s="24">
        <f t="shared" si="79"/>
        <v>1</v>
      </c>
      <c r="L428" s="675"/>
      <c r="M428" s="24">
        <f t="shared" si="80"/>
        <v>1</v>
      </c>
      <c r="N428" s="675"/>
      <c r="O428" s="24">
        <f t="shared" si="81"/>
        <v>1</v>
      </c>
      <c r="P428" s="675"/>
      <c r="Q428" s="24">
        <f t="shared" si="82"/>
        <v>1</v>
      </c>
      <c r="R428" s="671">
        <f t="shared" si="83"/>
        <v>0</v>
      </c>
      <c r="S428" s="321">
        <f t="shared" si="84"/>
        <v>0</v>
      </c>
    </row>
    <row r="429" spans="1:19">
      <c r="A429" s="154"/>
      <c r="B429" s="57"/>
      <c r="C429" s="24">
        <f t="shared" si="75"/>
        <v>1</v>
      </c>
      <c r="D429" s="675"/>
      <c r="E429" s="24">
        <f t="shared" si="76"/>
        <v>0.02</v>
      </c>
      <c r="F429" s="675"/>
      <c r="G429" s="24">
        <f t="shared" si="77"/>
        <v>1</v>
      </c>
      <c r="H429" s="675"/>
      <c r="I429" s="24">
        <f t="shared" si="78"/>
        <v>1</v>
      </c>
      <c r="J429" s="675"/>
      <c r="K429" s="24">
        <f t="shared" si="79"/>
        <v>1</v>
      </c>
      <c r="L429" s="675"/>
      <c r="M429" s="24">
        <f t="shared" si="80"/>
        <v>1</v>
      </c>
      <c r="N429" s="675"/>
      <c r="O429" s="24">
        <f t="shared" si="81"/>
        <v>1</v>
      </c>
      <c r="P429" s="675"/>
      <c r="Q429" s="24">
        <f t="shared" si="82"/>
        <v>1</v>
      </c>
      <c r="R429" s="671">
        <f t="shared" si="83"/>
        <v>0</v>
      </c>
      <c r="S429" s="321">
        <f t="shared" si="84"/>
        <v>0</v>
      </c>
    </row>
    <row r="430" spans="1:19">
      <c r="A430" s="154"/>
      <c r="B430" s="57"/>
      <c r="C430" s="24">
        <f t="shared" si="75"/>
        <v>1</v>
      </c>
      <c r="D430" s="675"/>
      <c r="E430" s="24">
        <f t="shared" si="76"/>
        <v>0.02</v>
      </c>
      <c r="F430" s="675"/>
      <c r="G430" s="24">
        <f t="shared" si="77"/>
        <v>1</v>
      </c>
      <c r="H430" s="675"/>
      <c r="I430" s="24">
        <f t="shared" si="78"/>
        <v>1</v>
      </c>
      <c r="J430" s="675"/>
      <c r="K430" s="24">
        <f t="shared" si="79"/>
        <v>1</v>
      </c>
      <c r="L430" s="675"/>
      <c r="M430" s="24">
        <f t="shared" si="80"/>
        <v>1</v>
      </c>
      <c r="N430" s="675"/>
      <c r="O430" s="24">
        <f t="shared" si="81"/>
        <v>1</v>
      </c>
      <c r="P430" s="675"/>
      <c r="Q430" s="24">
        <f t="shared" si="82"/>
        <v>1</v>
      </c>
      <c r="R430" s="671">
        <f t="shared" si="83"/>
        <v>0</v>
      </c>
      <c r="S430" s="321">
        <f t="shared" si="84"/>
        <v>0</v>
      </c>
    </row>
    <row r="431" spans="1:19">
      <c r="A431" s="154"/>
      <c r="B431" s="57"/>
      <c r="C431" s="24">
        <f t="shared" si="75"/>
        <v>1</v>
      </c>
      <c r="D431" s="675"/>
      <c r="E431" s="24">
        <f t="shared" si="76"/>
        <v>0.02</v>
      </c>
      <c r="F431" s="675"/>
      <c r="G431" s="24">
        <f t="shared" si="77"/>
        <v>1</v>
      </c>
      <c r="H431" s="675"/>
      <c r="I431" s="24">
        <f t="shared" si="78"/>
        <v>1</v>
      </c>
      <c r="J431" s="675"/>
      <c r="K431" s="24">
        <f t="shared" si="79"/>
        <v>1</v>
      </c>
      <c r="L431" s="675"/>
      <c r="M431" s="24">
        <f t="shared" si="80"/>
        <v>1</v>
      </c>
      <c r="N431" s="675"/>
      <c r="O431" s="24">
        <f t="shared" si="81"/>
        <v>1</v>
      </c>
      <c r="P431" s="675"/>
      <c r="Q431" s="24">
        <f t="shared" si="82"/>
        <v>1</v>
      </c>
      <c r="R431" s="671">
        <f t="shared" si="83"/>
        <v>0</v>
      </c>
      <c r="S431" s="321">
        <f t="shared" si="84"/>
        <v>0</v>
      </c>
    </row>
    <row r="432" spans="1:19">
      <c r="A432" s="154"/>
      <c r="B432" s="57"/>
      <c r="C432" s="24">
        <f t="shared" si="75"/>
        <v>1</v>
      </c>
      <c r="D432" s="675"/>
      <c r="E432" s="24">
        <f t="shared" si="76"/>
        <v>0.02</v>
      </c>
      <c r="F432" s="675"/>
      <c r="G432" s="24">
        <f t="shared" si="77"/>
        <v>1</v>
      </c>
      <c r="H432" s="675"/>
      <c r="I432" s="24">
        <f t="shared" si="78"/>
        <v>1</v>
      </c>
      <c r="J432" s="675"/>
      <c r="K432" s="24">
        <f t="shared" si="79"/>
        <v>1</v>
      </c>
      <c r="L432" s="675"/>
      <c r="M432" s="24">
        <f t="shared" si="80"/>
        <v>1</v>
      </c>
      <c r="N432" s="675"/>
      <c r="O432" s="24">
        <f t="shared" si="81"/>
        <v>1</v>
      </c>
      <c r="P432" s="675"/>
      <c r="Q432" s="24">
        <f t="shared" si="82"/>
        <v>1</v>
      </c>
      <c r="R432" s="671">
        <f t="shared" si="83"/>
        <v>0</v>
      </c>
      <c r="S432" s="321">
        <f t="shared" si="84"/>
        <v>0</v>
      </c>
    </row>
    <row r="433" spans="1:19">
      <c r="A433" s="154"/>
      <c r="B433" s="57"/>
      <c r="C433" s="24">
        <f t="shared" si="75"/>
        <v>1</v>
      </c>
      <c r="D433" s="675"/>
      <c r="E433" s="24">
        <f t="shared" si="76"/>
        <v>0.02</v>
      </c>
      <c r="F433" s="675"/>
      <c r="G433" s="24">
        <f t="shared" si="77"/>
        <v>1</v>
      </c>
      <c r="H433" s="675"/>
      <c r="I433" s="24">
        <f t="shared" si="78"/>
        <v>1</v>
      </c>
      <c r="J433" s="675"/>
      <c r="K433" s="24">
        <f t="shared" si="79"/>
        <v>1</v>
      </c>
      <c r="L433" s="675"/>
      <c r="M433" s="24">
        <f t="shared" si="80"/>
        <v>1</v>
      </c>
      <c r="N433" s="675"/>
      <c r="O433" s="24">
        <f t="shared" si="81"/>
        <v>1</v>
      </c>
      <c r="P433" s="675"/>
      <c r="Q433" s="24">
        <f t="shared" si="82"/>
        <v>1</v>
      </c>
      <c r="R433" s="671">
        <f t="shared" si="83"/>
        <v>0</v>
      </c>
      <c r="S433" s="321">
        <f t="shared" si="84"/>
        <v>0</v>
      </c>
    </row>
    <row r="434" spans="1:19">
      <c r="A434" s="154"/>
      <c r="B434" s="57"/>
      <c r="C434" s="24">
        <f t="shared" si="75"/>
        <v>1</v>
      </c>
      <c r="D434" s="675"/>
      <c r="E434" s="24">
        <f t="shared" si="76"/>
        <v>0.02</v>
      </c>
      <c r="F434" s="675"/>
      <c r="G434" s="24">
        <f t="shared" si="77"/>
        <v>1</v>
      </c>
      <c r="H434" s="675"/>
      <c r="I434" s="24">
        <f t="shared" si="78"/>
        <v>1</v>
      </c>
      <c r="J434" s="675"/>
      <c r="K434" s="24">
        <f t="shared" si="79"/>
        <v>1</v>
      </c>
      <c r="L434" s="675"/>
      <c r="M434" s="24">
        <f t="shared" si="80"/>
        <v>1</v>
      </c>
      <c r="N434" s="675"/>
      <c r="O434" s="24">
        <f t="shared" si="81"/>
        <v>1</v>
      </c>
      <c r="P434" s="675"/>
      <c r="Q434" s="24">
        <f t="shared" si="82"/>
        <v>1</v>
      </c>
      <c r="R434" s="671">
        <f t="shared" si="83"/>
        <v>0</v>
      </c>
      <c r="S434" s="321">
        <f t="shared" si="84"/>
        <v>0</v>
      </c>
    </row>
    <row r="435" spans="1:19">
      <c r="A435" s="154"/>
      <c r="B435" s="57"/>
      <c r="C435" s="24">
        <f t="shared" si="75"/>
        <v>1</v>
      </c>
      <c r="D435" s="675"/>
      <c r="E435" s="24">
        <f t="shared" si="76"/>
        <v>0.02</v>
      </c>
      <c r="F435" s="675"/>
      <c r="G435" s="24">
        <f t="shared" si="77"/>
        <v>1</v>
      </c>
      <c r="H435" s="675"/>
      <c r="I435" s="24">
        <f t="shared" si="78"/>
        <v>1</v>
      </c>
      <c r="J435" s="675"/>
      <c r="K435" s="24">
        <f t="shared" si="79"/>
        <v>1</v>
      </c>
      <c r="L435" s="675"/>
      <c r="M435" s="24">
        <f t="shared" si="80"/>
        <v>1</v>
      </c>
      <c r="N435" s="675"/>
      <c r="O435" s="24">
        <f t="shared" si="81"/>
        <v>1</v>
      </c>
      <c r="P435" s="675"/>
      <c r="Q435" s="24">
        <f t="shared" si="82"/>
        <v>1</v>
      </c>
      <c r="R435" s="671">
        <f t="shared" si="83"/>
        <v>0</v>
      </c>
      <c r="S435" s="321">
        <f t="shared" si="84"/>
        <v>0</v>
      </c>
    </row>
    <row r="436" spans="1:19">
      <c r="A436" s="154"/>
      <c r="B436" s="57"/>
      <c r="C436" s="24">
        <f t="shared" si="75"/>
        <v>1</v>
      </c>
      <c r="D436" s="675"/>
      <c r="E436" s="24">
        <f t="shared" si="76"/>
        <v>0.02</v>
      </c>
      <c r="F436" s="675"/>
      <c r="G436" s="24">
        <f t="shared" si="77"/>
        <v>1</v>
      </c>
      <c r="H436" s="675"/>
      <c r="I436" s="24">
        <f t="shared" si="78"/>
        <v>1</v>
      </c>
      <c r="J436" s="675"/>
      <c r="K436" s="24">
        <f t="shared" si="79"/>
        <v>1</v>
      </c>
      <c r="L436" s="675"/>
      <c r="M436" s="24">
        <f t="shared" si="80"/>
        <v>1</v>
      </c>
      <c r="N436" s="675"/>
      <c r="O436" s="24">
        <f t="shared" si="81"/>
        <v>1</v>
      </c>
      <c r="P436" s="675"/>
      <c r="Q436" s="24">
        <f t="shared" si="82"/>
        <v>1</v>
      </c>
      <c r="R436" s="671">
        <f t="shared" si="83"/>
        <v>0</v>
      </c>
      <c r="S436" s="321">
        <f t="shared" si="84"/>
        <v>0</v>
      </c>
    </row>
    <row r="437" spans="1:19">
      <c r="A437" s="154"/>
      <c r="B437" s="57"/>
      <c r="C437" s="24">
        <f t="shared" si="75"/>
        <v>1</v>
      </c>
      <c r="D437" s="675"/>
      <c r="E437" s="24">
        <f t="shared" si="76"/>
        <v>0.02</v>
      </c>
      <c r="F437" s="675"/>
      <c r="G437" s="24">
        <f t="shared" si="77"/>
        <v>1</v>
      </c>
      <c r="H437" s="675"/>
      <c r="I437" s="24">
        <f t="shared" si="78"/>
        <v>1</v>
      </c>
      <c r="J437" s="675"/>
      <c r="K437" s="24">
        <f t="shared" si="79"/>
        <v>1</v>
      </c>
      <c r="L437" s="675"/>
      <c r="M437" s="24">
        <f t="shared" si="80"/>
        <v>1</v>
      </c>
      <c r="N437" s="675"/>
      <c r="O437" s="24">
        <f t="shared" si="81"/>
        <v>1</v>
      </c>
      <c r="P437" s="675"/>
      <c r="Q437" s="24">
        <f t="shared" si="82"/>
        <v>1</v>
      </c>
      <c r="R437" s="671">
        <f t="shared" si="83"/>
        <v>0</v>
      </c>
      <c r="S437" s="321">
        <f t="shared" si="84"/>
        <v>0</v>
      </c>
    </row>
    <row r="438" spans="1:19">
      <c r="A438" s="154"/>
      <c r="B438" s="57"/>
      <c r="C438" s="24">
        <f t="shared" si="75"/>
        <v>1</v>
      </c>
      <c r="D438" s="675"/>
      <c r="E438" s="24">
        <f t="shared" si="76"/>
        <v>0.02</v>
      </c>
      <c r="F438" s="675"/>
      <c r="G438" s="24">
        <f t="shared" si="77"/>
        <v>1</v>
      </c>
      <c r="H438" s="675"/>
      <c r="I438" s="24">
        <f t="shared" si="78"/>
        <v>1</v>
      </c>
      <c r="J438" s="675"/>
      <c r="K438" s="24">
        <f t="shared" si="79"/>
        <v>1</v>
      </c>
      <c r="L438" s="675"/>
      <c r="M438" s="24">
        <f t="shared" si="80"/>
        <v>1</v>
      </c>
      <c r="N438" s="675"/>
      <c r="O438" s="24">
        <f t="shared" si="81"/>
        <v>1</v>
      </c>
      <c r="P438" s="675"/>
      <c r="Q438" s="24">
        <f t="shared" si="82"/>
        <v>1</v>
      </c>
      <c r="R438" s="671">
        <f t="shared" si="83"/>
        <v>0</v>
      </c>
      <c r="S438" s="321">
        <f t="shared" si="84"/>
        <v>0</v>
      </c>
    </row>
    <row r="439" spans="1:19">
      <c r="A439" s="154"/>
      <c r="B439" s="57"/>
      <c r="C439" s="24">
        <f t="shared" si="75"/>
        <v>1</v>
      </c>
      <c r="D439" s="675"/>
      <c r="E439" s="24">
        <f t="shared" si="76"/>
        <v>0.02</v>
      </c>
      <c r="F439" s="675"/>
      <c r="G439" s="24">
        <f t="shared" si="77"/>
        <v>1</v>
      </c>
      <c r="H439" s="675"/>
      <c r="I439" s="24">
        <f t="shared" si="78"/>
        <v>1</v>
      </c>
      <c r="J439" s="675"/>
      <c r="K439" s="24">
        <f t="shared" si="79"/>
        <v>1</v>
      </c>
      <c r="L439" s="675"/>
      <c r="M439" s="24">
        <f t="shared" si="80"/>
        <v>1</v>
      </c>
      <c r="N439" s="675"/>
      <c r="O439" s="24">
        <f t="shared" si="81"/>
        <v>1</v>
      </c>
      <c r="P439" s="675"/>
      <c r="Q439" s="24">
        <f t="shared" si="82"/>
        <v>1</v>
      </c>
      <c r="R439" s="671">
        <f t="shared" si="83"/>
        <v>0</v>
      </c>
      <c r="S439" s="321">
        <f t="shared" si="84"/>
        <v>0</v>
      </c>
    </row>
    <row r="440" spans="1:19">
      <c r="A440" s="154"/>
      <c r="B440" s="57"/>
      <c r="C440" s="24">
        <f t="shared" si="75"/>
        <v>1</v>
      </c>
      <c r="D440" s="675"/>
      <c r="E440" s="24">
        <f t="shared" si="76"/>
        <v>0.02</v>
      </c>
      <c r="F440" s="675"/>
      <c r="G440" s="24">
        <f t="shared" si="77"/>
        <v>1</v>
      </c>
      <c r="H440" s="675"/>
      <c r="I440" s="24">
        <f t="shared" si="78"/>
        <v>1</v>
      </c>
      <c r="J440" s="675"/>
      <c r="K440" s="24">
        <f t="shared" si="79"/>
        <v>1</v>
      </c>
      <c r="L440" s="675"/>
      <c r="M440" s="24">
        <f t="shared" si="80"/>
        <v>1</v>
      </c>
      <c r="N440" s="675"/>
      <c r="O440" s="24">
        <f t="shared" si="81"/>
        <v>1</v>
      </c>
      <c r="P440" s="675"/>
      <c r="Q440" s="24">
        <f t="shared" si="82"/>
        <v>1</v>
      </c>
      <c r="R440" s="671">
        <f t="shared" si="83"/>
        <v>0</v>
      </c>
      <c r="S440" s="321">
        <f t="shared" si="84"/>
        <v>0</v>
      </c>
    </row>
    <row r="441" spans="1:19">
      <c r="A441" s="154"/>
      <c r="B441" s="57"/>
      <c r="C441" s="24">
        <f t="shared" si="75"/>
        <v>1</v>
      </c>
      <c r="D441" s="675"/>
      <c r="E441" s="24">
        <f t="shared" si="76"/>
        <v>0.02</v>
      </c>
      <c r="F441" s="675"/>
      <c r="G441" s="24">
        <f t="shared" si="77"/>
        <v>1</v>
      </c>
      <c r="H441" s="675"/>
      <c r="I441" s="24">
        <f t="shared" si="78"/>
        <v>1</v>
      </c>
      <c r="J441" s="675"/>
      <c r="K441" s="24">
        <f t="shared" si="79"/>
        <v>1</v>
      </c>
      <c r="L441" s="675"/>
      <c r="M441" s="24">
        <f t="shared" si="80"/>
        <v>1</v>
      </c>
      <c r="N441" s="675"/>
      <c r="O441" s="24">
        <f t="shared" si="81"/>
        <v>1</v>
      </c>
      <c r="P441" s="675"/>
      <c r="Q441" s="24">
        <f t="shared" si="82"/>
        <v>1</v>
      </c>
      <c r="R441" s="671">
        <f t="shared" si="83"/>
        <v>0</v>
      </c>
      <c r="S441" s="321">
        <f t="shared" si="84"/>
        <v>0</v>
      </c>
    </row>
    <row r="442" spans="1:19">
      <c r="A442" s="154"/>
      <c r="B442" s="57"/>
      <c r="C442" s="24">
        <f t="shared" si="75"/>
        <v>1</v>
      </c>
      <c r="D442" s="675"/>
      <c r="E442" s="24">
        <f t="shared" si="76"/>
        <v>0.02</v>
      </c>
      <c r="F442" s="675"/>
      <c r="G442" s="24">
        <f t="shared" si="77"/>
        <v>1</v>
      </c>
      <c r="H442" s="675"/>
      <c r="I442" s="24">
        <f t="shared" si="78"/>
        <v>1</v>
      </c>
      <c r="J442" s="675"/>
      <c r="K442" s="24">
        <f t="shared" si="79"/>
        <v>1</v>
      </c>
      <c r="L442" s="675"/>
      <c r="M442" s="24">
        <f t="shared" si="80"/>
        <v>1</v>
      </c>
      <c r="N442" s="675"/>
      <c r="O442" s="24">
        <f t="shared" si="81"/>
        <v>1</v>
      </c>
      <c r="P442" s="675"/>
      <c r="Q442" s="24">
        <f t="shared" si="82"/>
        <v>1</v>
      </c>
      <c r="R442" s="671">
        <f t="shared" si="83"/>
        <v>0</v>
      </c>
      <c r="S442" s="321">
        <f t="shared" si="84"/>
        <v>0</v>
      </c>
    </row>
    <row r="443" spans="1:19">
      <c r="A443" s="154"/>
      <c r="B443" s="57"/>
      <c r="C443" s="24">
        <f t="shared" si="75"/>
        <v>1</v>
      </c>
      <c r="D443" s="675"/>
      <c r="E443" s="24">
        <f t="shared" si="76"/>
        <v>0.02</v>
      </c>
      <c r="F443" s="675"/>
      <c r="G443" s="24">
        <f t="shared" si="77"/>
        <v>1</v>
      </c>
      <c r="H443" s="675"/>
      <c r="I443" s="24">
        <f t="shared" si="78"/>
        <v>1</v>
      </c>
      <c r="J443" s="675"/>
      <c r="K443" s="24">
        <f t="shared" si="79"/>
        <v>1</v>
      </c>
      <c r="L443" s="675"/>
      <c r="M443" s="24">
        <f t="shared" si="80"/>
        <v>1</v>
      </c>
      <c r="N443" s="675"/>
      <c r="O443" s="24">
        <f t="shared" si="81"/>
        <v>1</v>
      </c>
      <c r="P443" s="675"/>
      <c r="Q443" s="24">
        <f t="shared" si="82"/>
        <v>1</v>
      </c>
      <c r="R443" s="671">
        <f t="shared" si="83"/>
        <v>0</v>
      </c>
      <c r="S443" s="321">
        <f t="shared" si="84"/>
        <v>0</v>
      </c>
    </row>
    <row r="444" spans="1:19">
      <c r="A444" s="154"/>
      <c r="B444" s="57"/>
      <c r="C444" s="24">
        <f t="shared" si="75"/>
        <v>1</v>
      </c>
      <c r="D444" s="675"/>
      <c r="E444" s="24">
        <f t="shared" si="76"/>
        <v>0.02</v>
      </c>
      <c r="F444" s="675"/>
      <c r="G444" s="24">
        <f t="shared" si="77"/>
        <v>1</v>
      </c>
      <c r="H444" s="675"/>
      <c r="I444" s="24">
        <f t="shared" si="78"/>
        <v>1</v>
      </c>
      <c r="J444" s="675"/>
      <c r="K444" s="24">
        <f t="shared" si="79"/>
        <v>1</v>
      </c>
      <c r="L444" s="675"/>
      <c r="M444" s="24">
        <f t="shared" si="80"/>
        <v>1</v>
      </c>
      <c r="N444" s="675"/>
      <c r="O444" s="24">
        <f t="shared" si="81"/>
        <v>1</v>
      </c>
      <c r="P444" s="675"/>
      <c r="Q444" s="24">
        <f t="shared" si="82"/>
        <v>1</v>
      </c>
      <c r="R444" s="671">
        <f t="shared" si="83"/>
        <v>0</v>
      </c>
      <c r="S444" s="321">
        <f t="shared" si="84"/>
        <v>0</v>
      </c>
    </row>
    <row r="445" spans="1:19">
      <c r="A445" s="154"/>
      <c r="B445" s="57"/>
      <c r="C445" s="24">
        <f t="shared" si="75"/>
        <v>1</v>
      </c>
      <c r="D445" s="675"/>
      <c r="E445" s="24">
        <f t="shared" si="76"/>
        <v>0.02</v>
      </c>
      <c r="F445" s="675"/>
      <c r="G445" s="24">
        <f t="shared" si="77"/>
        <v>1</v>
      </c>
      <c r="H445" s="675"/>
      <c r="I445" s="24">
        <f t="shared" si="78"/>
        <v>1</v>
      </c>
      <c r="J445" s="675"/>
      <c r="K445" s="24">
        <f t="shared" si="79"/>
        <v>1</v>
      </c>
      <c r="L445" s="675"/>
      <c r="M445" s="24">
        <f t="shared" si="80"/>
        <v>1</v>
      </c>
      <c r="N445" s="675"/>
      <c r="O445" s="24">
        <f t="shared" si="81"/>
        <v>1</v>
      </c>
      <c r="P445" s="675"/>
      <c r="Q445" s="24">
        <f t="shared" si="82"/>
        <v>1</v>
      </c>
      <c r="R445" s="671">
        <f t="shared" si="83"/>
        <v>0</v>
      </c>
      <c r="S445" s="321">
        <f t="shared" si="84"/>
        <v>0</v>
      </c>
    </row>
    <row r="446" spans="1:19">
      <c r="A446" s="154"/>
      <c r="B446" s="57"/>
      <c r="C446" s="24">
        <f t="shared" si="75"/>
        <v>1</v>
      </c>
      <c r="D446" s="675"/>
      <c r="E446" s="24">
        <f t="shared" si="76"/>
        <v>0.02</v>
      </c>
      <c r="F446" s="675"/>
      <c r="G446" s="24">
        <f t="shared" si="77"/>
        <v>1</v>
      </c>
      <c r="H446" s="675"/>
      <c r="I446" s="24">
        <f t="shared" si="78"/>
        <v>1</v>
      </c>
      <c r="J446" s="675"/>
      <c r="K446" s="24">
        <f t="shared" si="79"/>
        <v>1</v>
      </c>
      <c r="L446" s="675"/>
      <c r="M446" s="24">
        <f t="shared" si="80"/>
        <v>1</v>
      </c>
      <c r="N446" s="675"/>
      <c r="O446" s="24">
        <f t="shared" si="81"/>
        <v>1</v>
      </c>
      <c r="P446" s="675"/>
      <c r="Q446" s="24">
        <f t="shared" si="82"/>
        <v>1</v>
      </c>
      <c r="R446" s="671">
        <f t="shared" si="83"/>
        <v>0</v>
      </c>
      <c r="S446" s="321">
        <f t="shared" si="84"/>
        <v>0</v>
      </c>
    </row>
    <row r="447" spans="1:19">
      <c r="A447" s="154"/>
      <c r="B447" s="57"/>
      <c r="C447" s="24">
        <f t="shared" si="75"/>
        <v>1</v>
      </c>
      <c r="D447" s="675"/>
      <c r="E447" s="24">
        <f t="shared" si="76"/>
        <v>0.02</v>
      </c>
      <c r="F447" s="675"/>
      <c r="G447" s="24">
        <f t="shared" si="77"/>
        <v>1</v>
      </c>
      <c r="H447" s="675"/>
      <c r="I447" s="24">
        <f t="shared" si="78"/>
        <v>1</v>
      </c>
      <c r="J447" s="675"/>
      <c r="K447" s="24">
        <f t="shared" si="79"/>
        <v>1</v>
      </c>
      <c r="L447" s="675"/>
      <c r="M447" s="24">
        <f t="shared" si="80"/>
        <v>1</v>
      </c>
      <c r="N447" s="675"/>
      <c r="O447" s="24">
        <f t="shared" si="81"/>
        <v>1</v>
      </c>
      <c r="P447" s="675"/>
      <c r="Q447" s="24">
        <f t="shared" si="82"/>
        <v>1</v>
      </c>
      <c r="R447" s="671">
        <f t="shared" si="83"/>
        <v>0</v>
      </c>
      <c r="S447" s="321">
        <f t="shared" si="84"/>
        <v>0</v>
      </c>
    </row>
    <row r="448" spans="1:19">
      <c r="A448" s="154"/>
      <c r="B448" s="57"/>
      <c r="C448" s="24">
        <f t="shared" si="75"/>
        <v>1</v>
      </c>
      <c r="D448" s="675"/>
      <c r="E448" s="24">
        <f t="shared" si="76"/>
        <v>0.02</v>
      </c>
      <c r="F448" s="675"/>
      <c r="G448" s="24">
        <f t="shared" si="77"/>
        <v>1</v>
      </c>
      <c r="H448" s="675"/>
      <c r="I448" s="24">
        <f t="shared" si="78"/>
        <v>1</v>
      </c>
      <c r="J448" s="675"/>
      <c r="K448" s="24">
        <f t="shared" si="79"/>
        <v>1</v>
      </c>
      <c r="L448" s="675"/>
      <c r="M448" s="24">
        <f t="shared" si="80"/>
        <v>1</v>
      </c>
      <c r="N448" s="675"/>
      <c r="O448" s="24">
        <f t="shared" si="81"/>
        <v>1</v>
      </c>
      <c r="P448" s="675"/>
      <c r="Q448" s="24">
        <f t="shared" si="82"/>
        <v>1</v>
      </c>
      <c r="R448" s="671">
        <f t="shared" si="83"/>
        <v>0</v>
      </c>
      <c r="S448" s="321">
        <f t="shared" si="84"/>
        <v>0</v>
      </c>
    </row>
    <row r="449" spans="1:19">
      <c r="A449" s="154"/>
      <c r="B449" s="57"/>
      <c r="C449" s="24">
        <f t="shared" si="75"/>
        <v>1</v>
      </c>
      <c r="D449" s="675"/>
      <c r="E449" s="24">
        <f t="shared" si="76"/>
        <v>0.02</v>
      </c>
      <c r="F449" s="675"/>
      <c r="G449" s="24">
        <f t="shared" si="77"/>
        <v>1</v>
      </c>
      <c r="H449" s="675"/>
      <c r="I449" s="24">
        <f t="shared" si="78"/>
        <v>1</v>
      </c>
      <c r="J449" s="675"/>
      <c r="K449" s="24">
        <f t="shared" si="79"/>
        <v>1</v>
      </c>
      <c r="L449" s="675"/>
      <c r="M449" s="24">
        <f t="shared" si="80"/>
        <v>1</v>
      </c>
      <c r="N449" s="675"/>
      <c r="O449" s="24">
        <f t="shared" si="81"/>
        <v>1</v>
      </c>
      <c r="P449" s="675"/>
      <c r="Q449" s="24">
        <f t="shared" si="82"/>
        <v>1</v>
      </c>
      <c r="R449" s="671">
        <f t="shared" si="83"/>
        <v>0</v>
      </c>
      <c r="S449" s="321">
        <f t="shared" si="84"/>
        <v>0</v>
      </c>
    </row>
    <row r="450" spans="1:19">
      <c r="A450" s="154"/>
      <c r="B450" s="57"/>
      <c r="C450" s="24">
        <f t="shared" si="75"/>
        <v>1</v>
      </c>
      <c r="D450" s="675"/>
      <c r="E450" s="24">
        <f t="shared" si="76"/>
        <v>0.02</v>
      </c>
      <c r="F450" s="675"/>
      <c r="G450" s="24">
        <f t="shared" si="77"/>
        <v>1</v>
      </c>
      <c r="H450" s="675"/>
      <c r="I450" s="24">
        <f t="shared" si="78"/>
        <v>1</v>
      </c>
      <c r="J450" s="675"/>
      <c r="K450" s="24">
        <f t="shared" si="79"/>
        <v>1</v>
      </c>
      <c r="L450" s="675"/>
      <c r="M450" s="24">
        <f t="shared" si="80"/>
        <v>1</v>
      </c>
      <c r="N450" s="675"/>
      <c r="O450" s="24">
        <f t="shared" si="81"/>
        <v>1</v>
      </c>
      <c r="P450" s="675"/>
      <c r="Q450" s="24">
        <f t="shared" si="82"/>
        <v>1</v>
      </c>
      <c r="R450" s="671">
        <f t="shared" si="83"/>
        <v>0</v>
      </c>
      <c r="S450" s="321">
        <f t="shared" si="84"/>
        <v>0</v>
      </c>
    </row>
    <row r="451" spans="1:19">
      <c r="A451" s="154"/>
      <c r="B451" s="57"/>
      <c r="C451" s="24">
        <f t="shared" si="75"/>
        <v>1</v>
      </c>
      <c r="D451" s="675"/>
      <c r="E451" s="24">
        <f t="shared" si="76"/>
        <v>0.02</v>
      </c>
      <c r="F451" s="675"/>
      <c r="G451" s="24">
        <f t="shared" si="77"/>
        <v>1</v>
      </c>
      <c r="H451" s="675"/>
      <c r="I451" s="24">
        <f t="shared" si="78"/>
        <v>1</v>
      </c>
      <c r="J451" s="675"/>
      <c r="K451" s="24">
        <f t="shared" si="79"/>
        <v>1</v>
      </c>
      <c r="L451" s="675"/>
      <c r="M451" s="24">
        <f t="shared" si="80"/>
        <v>1</v>
      </c>
      <c r="N451" s="675"/>
      <c r="O451" s="24">
        <f t="shared" si="81"/>
        <v>1</v>
      </c>
      <c r="P451" s="675"/>
      <c r="Q451" s="24">
        <f t="shared" si="82"/>
        <v>1</v>
      </c>
      <c r="R451" s="671">
        <f t="shared" si="83"/>
        <v>0</v>
      </c>
      <c r="S451" s="321">
        <f t="shared" si="84"/>
        <v>0</v>
      </c>
    </row>
    <row r="452" spans="1:19">
      <c r="A452" s="154"/>
      <c r="B452" s="57"/>
      <c r="C452" s="24">
        <f t="shared" si="75"/>
        <v>1</v>
      </c>
      <c r="D452" s="675"/>
      <c r="E452" s="24">
        <f t="shared" si="76"/>
        <v>0.02</v>
      </c>
      <c r="F452" s="675"/>
      <c r="G452" s="24">
        <f t="shared" si="77"/>
        <v>1</v>
      </c>
      <c r="H452" s="675"/>
      <c r="I452" s="24">
        <f t="shared" si="78"/>
        <v>1</v>
      </c>
      <c r="J452" s="675"/>
      <c r="K452" s="24">
        <f t="shared" si="79"/>
        <v>1</v>
      </c>
      <c r="L452" s="675"/>
      <c r="M452" s="24">
        <f t="shared" si="80"/>
        <v>1</v>
      </c>
      <c r="N452" s="675"/>
      <c r="O452" s="24">
        <f t="shared" si="81"/>
        <v>1</v>
      </c>
      <c r="P452" s="675"/>
      <c r="Q452" s="24">
        <f t="shared" si="82"/>
        <v>1</v>
      </c>
      <c r="R452" s="671">
        <f t="shared" si="83"/>
        <v>0</v>
      </c>
      <c r="S452" s="321">
        <f t="shared" si="84"/>
        <v>0</v>
      </c>
    </row>
    <row r="453" spans="1:19">
      <c r="A453" s="154"/>
      <c r="B453" s="57"/>
      <c r="C453" s="24">
        <f t="shared" si="75"/>
        <v>1</v>
      </c>
      <c r="D453" s="675"/>
      <c r="E453" s="24">
        <f t="shared" si="76"/>
        <v>0.02</v>
      </c>
      <c r="F453" s="675"/>
      <c r="G453" s="24">
        <f t="shared" si="77"/>
        <v>1</v>
      </c>
      <c r="H453" s="675"/>
      <c r="I453" s="24">
        <f t="shared" si="78"/>
        <v>1</v>
      </c>
      <c r="J453" s="675"/>
      <c r="K453" s="24">
        <f t="shared" si="79"/>
        <v>1</v>
      </c>
      <c r="L453" s="675"/>
      <c r="M453" s="24">
        <f t="shared" si="80"/>
        <v>1</v>
      </c>
      <c r="N453" s="675"/>
      <c r="O453" s="24">
        <f t="shared" si="81"/>
        <v>1</v>
      </c>
      <c r="P453" s="675"/>
      <c r="Q453" s="24">
        <f t="shared" si="82"/>
        <v>1</v>
      </c>
      <c r="R453" s="671">
        <f t="shared" si="83"/>
        <v>0</v>
      </c>
      <c r="S453" s="321">
        <f t="shared" si="84"/>
        <v>0</v>
      </c>
    </row>
    <row r="454" spans="1:19">
      <c r="A454" s="154"/>
      <c r="B454" s="57"/>
      <c r="C454" s="24">
        <f t="shared" si="75"/>
        <v>1</v>
      </c>
      <c r="D454" s="675"/>
      <c r="E454" s="24">
        <f t="shared" si="76"/>
        <v>0.02</v>
      </c>
      <c r="F454" s="675"/>
      <c r="G454" s="24">
        <f t="shared" si="77"/>
        <v>1</v>
      </c>
      <c r="H454" s="675"/>
      <c r="I454" s="24">
        <f t="shared" si="78"/>
        <v>1</v>
      </c>
      <c r="J454" s="675"/>
      <c r="K454" s="24">
        <f t="shared" si="79"/>
        <v>1</v>
      </c>
      <c r="L454" s="675"/>
      <c r="M454" s="24">
        <f t="shared" si="80"/>
        <v>1</v>
      </c>
      <c r="N454" s="675"/>
      <c r="O454" s="24">
        <f t="shared" si="81"/>
        <v>1</v>
      </c>
      <c r="P454" s="675"/>
      <c r="Q454" s="24">
        <f t="shared" si="82"/>
        <v>1</v>
      </c>
      <c r="R454" s="671">
        <f t="shared" si="83"/>
        <v>0</v>
      </c>
      <c r="S454" s="321">
        <f t="shared" si="84"/>
        <v>0</v>
      </c>
    </row>
    <row r="455" spans="1:19">
      <c r="A455" s="154"/>
      <c r="B455" s="57"/>
      <c r="C455" s="24">
        <f t="shared" si="75"/>
        <v>1</v>
      </c>
      <c r="D455" s="675"/>
      <c r="E455" s="24">
        <f t="shared" si="76"/>
        <v>0.02</v>
      </c>
      <c r="F455" s="675"/>
      <c r="G455" s="24">
        <f t="shared" si="77"/>
        <v>1</v>
      </c>
      <c r="H455" s="675"/>
      <c r="I455" s="24">
        <f t="shared" si="78"/>
        <v>1</v>
      </c>
      <c r="J455" s="675"/>
      <c r="K455" s="24">
        <f t="shared" si="79"/>
        <v>1</v>
      </c>
      <c r="L455" s="675"/>
      <c r="M455" s="24">
        <f t="shared" si="80"/>
        <v>1</v>
      </c>
      <c r="N455" s="675"/>
      <c r="O455" s="24">
        <f t="shared" si="81"/>
        <v>1</v>
      </c>
      <c r="P455" s="675"/>
      <c r="Q455" s="24">
        <f t="shared" si="82"/>
        <v>1</v>
      </c>
      <c r="R455" s="671">
        <f t="shared" si="83"/>
        <v>0</v>
      </c>
      <c r="S455" s="321">
        <f t="shared" si="84"/>
        <v>0</v>
      </c>
    </row>
    <row r="456" spans="1:19">
      <c r="A456" s="154"/>
      <c r="B456" s="57"/>
      <c r="C456" s="24">
        <f t="shared" si="75"/>
        <v>1</v>
      </c>
      <c r="D456" s="675"/>
      <c r="E456" s="24">
        <f t="shared" si="76"/>
        <v>0.02</v>
      </c>
      <c r="F456" s="675"/>
      <c r="G456" s="24">
        <f t="shared" si="77"/>
        <v>1</v>
      </c>
      <c r="H456" s="675"/>
      <c r="I456" s="24">
        <f t="shared" si="78"/>
        <v>1</v>
      </c>
      <c r="J456" s="675"/>
      <c r="K456" s="24">
        <f t="shared" si="79"/>
        <v>1</v>
      </c>
      <c r="L456" s="675"/>
      <c r="M456" s="24">
        <f t="shared" si="80"/>
        <v>1</v>
      </c>
      <c r="N456" s="675"/>
      <c r="O456" s="24">
        <f t="shared" si="81"/>
        <v>1</v>
      </c>
      <c r="P456" s="675"/>
      <c r="Q456" s="24">
        <f t="shared" si="82"/>
        <v>1</v>
      </c>
      <c r="R456" s="671">
        <f t="shared" si="83"/>
        <v>0</v>
      </c>
      <c r="S456" s="321">
        <f t="shared" si="84"/>
        <v>0</v>
      </c>
    </row>
    <row r="457" spans="1:19">
      <c r="A457" s="154"/>
      <c r="B457" s="57"/>
      <c r="C457" s="24">
        <f t="shared" si="75"/>
        <v>1</v>
      </c>
      <c r="D457" s="675"/>
      <c r="E457" s="24">
        <f t="shared" si="76"/>
        <v>0.02</v>
      </c>
      <c r="F457" s="675"/>
      <c r="G457" s="24">
        <f t="shared" si="77"/>
        <v>1</v>
      </c>
      <c r="H457" s="675"/>
      <c r="I457" s="24">
        <f t="shared" si="78"/>
        <v>1</v>
      </c>
      <c r="J457" s="675"/>
      <c r="K457" s="24">
        <f t="shared" si="79"/>
        <v>1</v>
      </c>
      <c r="L457" s="675"/>
      <c r="M457" s="24">
        <f t="shared" si="80"/>
        <v>1</v>
      </c>
      <c r="N457" s="675"/>
      <c r="O457" s="24">
        <f t="shared" si="81"/>
        <v>1</v>
      </c>
      <c r="P457" s="675"/>
      <c r="Q457" s="24">
        <f t="shared" si="82"/>
        <v>1</v>
      </c>
      <c r="R457" s="671">
        <f t="shared" si="83"/>
        <v>0</v>
      </c>
      <c r="S457" s="321">
        <f t="shared" si="84"/>
        <v>0</v>
      </c>
    </row>
    <row r="458" spans="1:19">
      <c r="A458" s="154"/>
      <c r="B458" s="57"/>
      <c r="C458" s="24">
        <f t="shared" si="75"/>
        <v>1</v>
      </c>
      <c r="D458" s="675"/>
      <c r="E458" s="24">
        <f t="shared" si="76"/>
        <v>0.02</v>
      </c>
      <c r="F458" s="675"/>
      <c r="G458" s="24">
        <f t="shared" si="77"/>
        <v>1</v>
      </c>
      <c r="H458" s="675"/>
      <c r="I458" s="24">
        <f t="shared" si="78"/>
        <v>1</v>
      </c>
      <c r="J458" s="675"/>
      <c r="K458" s="24">
        <f t="shared" si="79"/>
        <v>1</v>
      </c>
      <c r="L458" s="675"/>
      <c r="M458" s="24">
        <f t="shared" si="80"/>
        <v>1</v>
      </c>
      <c r="N458" s="675"/>
      <c r="O458" s="24">
        <f t="shared" si="81"/>
        <v>1</v>
      </c>
      <c r="P458" s="675"/>
      <c r="Q458" s="24">
        <f t="shared" si="82"/>
        <v>1</v>
      </c>
      <c r="R458" s="671">
        <f t="shared" si="83"/>
        <v>0</v>
      </c>
      <c r="S458" s="321">
        <f t="shared" si="84"/>
        <v>0</v>
      </c>
    </row>
    <row r="459" spans="1:19">
      <c r="A459" s="154"/>
      <c r="B459" s="57"/>
      <c r="C459" s="24">
        <f t="shared" si="75"/>
        <v>1</v>
      </c>
      <c r="D459" s="675"/>
      <c r="E459" s="24">
        <f t="shared" si="76"/>
        <v>0.02</v>
      </c>
      <c r="F459" s="675"/>
      <c r="G459" s="24">
        <f t="shared" si="77"/>
        <v>1</v>
      </c>
      <c r="H459" s="675"/>
      <c r="I459" s="24">
        <f t="shared" si="78"/>
        <v>1</v>
      </c>
      <c r="J459" s="675"/>
      <c r="K459" s="24">
        <f t="shared" si="79"/>
        <v>1</v>
      </c>
      <c r="L459" s="675"/>
      <c r="M459" s="24">
        <f t="shared" si="80"/>
        <v>1</v>
      </c>
      <c r="N459" s="675"/>
      <c r="O459" s="24">
        <f t="shared" si="81"/>
        <v>1</v>
      </c>
      <c r="P459" s="675"/>
      <c r="Q459" s="24">
        <f t="shared" si="82"/>
        <v>1</v>
      </c>
      <c r="R459" s="671">
        <f t="shared" si="83"/>
        <v>0</v>
      </c>
      <c r="S459" s="321">
        <f t="shared" si="84"/>
        <v>0</v>
      </c>
    </row>
    <row r="460" spans="1:19">
      <c r="A460" s="154"/>
      <c r="B460" s="57"/>
      <c r="C460" s="24">
        <f t="shared" si="75"/>
        <v>1</v>
      </c>
      <c r="D460" s="675"/>
      <c r="E460" s="24">
        <f t="shared" si="76"/>
        <v>0.02</v>
      </c>
      <c r="F460" s="675"/>
      <c r="G460" s="24">
        <f t="shared" si="77"/>
        <v>1</v>
      </c>
      <c r="H460" s="675"/>
      <c r="I460" s="24">
        <f t="shared" si="78"/>
        <v>1</v>
      </c>
      <c r="J460" s="675"/>
      <c r="K460" s="24">
        <f t="shared" si="79"/>
        <v>1</v>
      </c>
      <c r="L460" s="675"/>
      <c r="M460" s="24">
        <f t="shared" si="80"/>
        <v>1</v>
      </c>
      <c r="N460" s="675"/>
      <c r="O460" s="24">
        <f t="shared" si="81"/>
        <v>1</v>
      </c>
      <c r="P460" s="675"/>
      <c r="Q460" s="24">
        <f t="shared" si="82"/>
        <v>1</v>
      </c>
      <c r="R460" s="671">
        <f t="shared" si="83"/>
        <v>0</v>
      </c>
      <c r="S460" s="321">
        <f t="shared" si="84"/>
        <v>0</v>
      </c>
    </row>
    <row r="461" spans="1:19">
      <c r="A461" s="154"/>
      <c r="B461" s="57"/>
      <c r="C461" s="24">
        <f t="shared" si="75"/>
        <v>1</v>
      </c>
      <c r="D461" s="675"/>
      <c r="E461" s="24">
        <f t="shared" si="76"/>
        <v>0.02</v>
      </c>
      <c r="F461" s="675"/>
      <c r="G461" s="24">
        <f t="shared" si="77"/>
        <v>1</v>
      </c>
      <c r="H461" s="675"/>
      <c r="I461" s="24">
        <f t="shared" si="78"/>
        <v>1</v>
      </c>
      <c r="J461" s="675"/>
      <c r="K461" s="24">
        <f t="shared" si="79"/>
        <v>1</v>
      </c>
      <c r="L461" s="675"/>
      <c r="M461" s="24">
        <f t="shared" si="80"/>
        <v>1</v>
      </c>
      <c r="N461" s="675"/>
      <c r="O461" s="24">
        <f t="shared" si="81"/>
        <v>1</v>
      </c>
      <c r="P461" s="675"/>
      <c r="Q461" s="24">
        <f t="shared" si="82"/>
        <v>1</v>
      </c>
      <c r="R461" s="671">
        <f t="shared" si="83"/>
        <v>0</v>
      </c>
      <c r="S461" s="321">
        <f t="shared" si="84"/>
        <v>0</v>
      </c>
    </row>
    <row r="462" spans="1:19">
      <c r="A462" s="154"/>
      <c r="B462" s="57"/>
      <c r="C462" s="24">
        <f t="shared" si="75"/>
        <v>1</v>
      </c>
      <c r="D462" s="675"/>
      <c r="E462" s="24">
        <f t="shared" si="76"/>
        <v>0.02</v>
      </c>
      <c r="F462" s="675"/>
      <c r="G462" s="24">
        <f t="shared" si="77"/>
        <v>1</v>
      </c>
      <c r="H462" s="675"/>
      <c r="I462" s="24">
        <f t="shared" si="78"/>
        <v>1</v>
      </c>
      <c r="J462" s="675"/>
      <c r="K462" s="24">
        <f t="shared" si="79"/>
        <v>1</v>
      </c>
      <c r="L462" s="675"/>
      <c r="M462" s="24">
        <f t="shared" si="80"/>
        <v>1</v>
      </c>
      <c r="N462" s="675"/>
      <c r="O462" s="24">
        <f t="shared" si="81"/>
        <v>1</v>
      </c>
      <c r="P462" s="675"/>
      <c r="Q462" s="24">
        <f t="shared" si="82"/>
        <v>1</v>
      </c>
      <c r="R462" s="671">
        <f t="shared" si="83"/>
        <v>0</v>
      </c>
      <c r="S462" s="321">
        <f t="shared" si="84"/>
        <v>0</v>
      </c>
    </row>
    <row r="463" spans="1:19">
      <c r="A463" s="154"/>
      <c r="B463" s="57"/>
      <c r="C463" s="24">
        <f t="shared" si="75"/>
        <v>1</v>
      </c>
      <c r="D463" s="675"/>
      <c r="E463" s="24">
        <f t="shared" si="76"/>
        <v>0.02</v>
      </c>
      <c r="F463" s="675"/>
      <c r="G463" s="24">
        <f t="shared" si="77"/>
        <v>1</v>
      </c>
      <c r="H463" s="675"/>
      <c r="I463" s="24">
        <f t="shared" si="78"/>
        <v>1</v>
      </c>
      <c r="J463" s="675"/>
      <c r="K463" s="24">
        <f t="shared" si="79"/>
        <v>1</v>
      </c>
      <c r="L463" s="675"/>
      <c r="M463" s="24">
        <f t="shared" si="80"/>
        <v>1</v>
      </c>
      <c r="N463" s="675"/>
      <c r="O463" s="24">
        <f t="shared" si="81"/>
        <v>1</v>
      </c>
      <c r="P463" s="675"/>
      <c r="Q463" s="24">
        <f t="shared" si="82"/>
        <v>1</v>
      </c>
      <c r="R463" s="671">
        <f t="shared" si="83"/>
        <v>0</v>
      </c>
      <c r="S463" s="321">
        <f t="shared" si="84"/>
        <v>0</v>
      </c>
    </row>
    <row r="464" spans="1:19">
      <c r="A464" s="154"/>
      <c r="B464" s="57"/>
      <c r="C464" s="24">
        <f t="shared" si="75"/>
        <v>1</v>
      </c>
      <c r="D464" s="675"/>
      <c r="E464" s="24">
        <f t="shared" si="76"/>
        <v>0.02</v>
      </c>
      <c r="F464" s="675"/>
      <c r="G464" s="24">
        <f t="shared" si="77"/>
        <v>1</v>
      </c>
      <c r="H464" s="675"/>
      <c r="I464" s="24">
        <f t="shared" si="78"/>
        <v>1</v>
      </c>
      <c r="J464" s="675"/>
      <c r="K464" s="24">
        <f t="shared" si="79"/>
        <v>1</v>
      </c>
      <c r="L464" s="675"/>
      <c r="M464" s="24">
        <f t="shared" si="80"/>
        <v>1</v>
      </c>
      <c r="N464" s="675"/>
      <c r="O464" s="24">
        <f t="shared" si="81"/>
        <v>1</v>
      </c>
      <c r="P464" s="675"/>
      <c r="Q464" s="24">
        <f t="shared" si="82"/>
        <v>1</v>
      </c>
      <c r="R464" s="671">
        <f t="shared" si="83"/>
        <v>0</v>
      </c>
      <c r="S464" s="321">
        <f t="shared" si="84"/>
        <v>0</v>
      </c>
    </row>
    <row r="465" spans="1:19">
      <c r="A465" s="154"/>
      <c r="B465" s="57"/>
      <c r="C465" s="24">
        <f t="shared" si="75"/>
        <v>1</v>
      </c>
      <c r="D465" s="675"/>
      <c r="E465" s="24">
        <f t="shared" si="76"/>
        <v>0.02</v>
      </c>
      <c r="F465" s="675"/>
      <c r="G465" s="24">
        <f t="shared" si="77"/>
        <v>1</v>
      </c>
      <c r="H465" s="675"/>
      <c r="I465" s="24">
        <f t="shared" si="78"/>
        <v>1</v>
      </c>
      <c r="J465" s="675"/>
      <c r="K465" s="24">
        <f t="shared" si="79"/>
        <v>1</v>
      </c>
      <c r="L465" s="675"/>
      <c r="M465" s="24">
        <f t="shared" si="80"/>
        <v>1</v>
      </c>
      <c r="N465" s="675"/>
      <c r="O465" s="24">
        <f t="shared" si="81"/>
        <v>1</v>
      </c>
      <c r="P465" s="675"/>
      <c r="Q465" s="24">
        <f t="shared" si="82"/>
        <v>1</v>
      </c>
      <c r="R465" s="671">
        <f t="shared" si="83"/>
        <v>0</v>
      </c>
      <c r="S465" s="321">
        <f t="shared" si="84"/>
        <v>0</v>
      </c>
    </row>
    <row r="466" spans="1:19">
      <c r="A466" s="154"/>
      <c r="B466" s="57"/>
      <c r="C466" s="24">
        <f t="shared" si="75"/>
        <v>1</v>
      </c>
      <c r="D466" s="675"/>
      <c r="E466" s="24">
        <f t="shared" si="76"/>
        <v>0.02</v>
      </c>
      <c r="F466" s="675"/>
      <c r="G466" s="24">
        <f t="shared" si="77"/>
        <v>1</v>
      </c>
      <c r="H466" s="675"/>
      <c r="I466" s="24">
        <f t="shared" si="78"/>
        <v>1</v>
      </c>
      <c r="J466" s="675"/>
      <c r="K466" s="24">
        <f t="shared" si="79"/>
        <v>1</v>
      </c>
      <c r="L466" s="675"/>
      <c r="M466" s="24">
        <f t="shared" si="80"/>
        <v>1</v>
      </c>
      <c r="N466" s="675"/>
      <c r="O466" s="24">
        <f t="shared" si="81"/>
        <v>1</v>
      </c>
      <c r="P466" s="675"/>
      <c r="Q466" s="24">
        <f t="shared" si="82"/>
        <v>1</v>
      </c>
      <c r="R466" s="671">
        <f t="shared" si="83"/>
        <v>0</v>
      </c>
      <c r="S466" s="321">
        <f t="shared" si="84"/>
        <v>0</v>
      </c>
    </row>
    <row r="467" spans="1:19">
      <c r="A467" s="154"/>
      <c r="B467" s="57"/>
      <c r="C467" s="24">
        <f t="shared" si="75"/>
        <v>1</v>
      </c>
      <c r="D467" s="675"/>
      <c r="E467" s="24">
        <f t="shared" si="76"/>
        <v>0.02</v>
      </c>
      <c r="F467" s="675"/>
      <c r="G467" s="24">
        <f t="shared" si="77"/>
        <v>1</v>
      </c>
      <c r="H467" s="675"/>
      <c r="I467" s="24">
        <f t="shared" si="78"/>
        <v>1</v>
      </c>
      <c r="J467" s="675"/>
      <c r="K467" s="24">
        <f t="shared" si="79"/>
        <v>1</v>
      </c>
      <c r="L467" s="675"/>
      <c r="M467" s="24">
        <f t="shared" si="80"/>
        <v>1</v>
      </c>
      <c r="N467" s="675"/>
      <c r="O467" s="24">
        <f t="shared" si="81"/>
        <v>1</v>
      </c>
      <c r="P467" s="675"/>
      <c r="Q467" s="24">
        <f t="shared" si="82"/>
        <v>1</v>
      </c>
      <c r="R467" s="671">
        <f t="shared" si="83"/>
        <v>0</v>
      </c>
      <c r="S467" s="321">
        <f t="shared" si="84"/>
        <v>0</v>
      </c>
    </row>
    <row r="468" spans="1:19">
      <c r="A468" s="154"/>
      <c r="B468" s="57"/>
      <c r="C468" s="24">
        <f t="shared" si="75"/>
        <v>1</v>
      </c>
      <c r="D468" s="675"/>
      <c r="E468" s="24">
        <f t="shared" si="76"/>
        <v>0.02</v>
      </c>
      <c r="F468" s="675"/>
      <c r="G468" s="24">
        <f t="shared" si="77"/>
        <v>1</v>
      </c>
      <c r="H468" s="675"/>
      <c r="I468" s="24">
        <f t="shared" si="78"/>
        <v>1</v>
      </c>
      <c r="J468" s="675"/>
      <c r="K468" s="24">
        <f t="shared" si="79"/>
        <v>1</v>
      </c>
      <c r="L468" s="675"/>
      <c r="M468" s="24">
        <f t="shared" si="80"/>
        <v>1</v>
      </c>
      <c r="N468" s="675"/>
      <c r="O468" s="24">
        <f t="shared" si="81"/>
        <v>1</v>
      </c>
      <c r="P468" s="675"/>
      <c r="Q468" s="24">
        <f t="shared" si="82"/>
        <v>1</v>
      </c>
      <c r="R468" s="671">
        <f t="shared" si="83"/>
        <v>0</v>
      </c>
      <c r="S468" s="321">
        <f t="shared" ref="S468:S497" si="85">ROUND(R468*B468/10000,0)</f>
        <v>0</v>
      </c>
    </row>
    <row r="469" spans="1:19">
      <c r="A469" s="154"/>
      <c r="B469" s="57"/>
      <c r="C469" s="24">
        <f t="shared" si="75"/>
        <v>1</v>
      </c>
      <c r="D469" s="675"/>
      <c r="E469" s="24">
        <f t="shared" si="76"/>
        <v>0.02</v>
      </c>
      <c r="F469" s="675"/>
      <c r="G469" s="24">
        <f t="shared" si="77"/>
        <v>1</v>
      </c>
      <c r="H469" s="675"/>
      <c r="I469" s="24">
        <f t="shared" si="78"/>
        <v>1</v>
      </c>
      <c r="J469" s="675"/>
      <c r="K469" s="24">
        <f t="shared" si="79"/>
        <v>1</v>
      </c>
      <c r="L469" s="675"/>
      <c r="M469" s="24">
        <f t="shared" si="80"/>
        <v>1</v>
      </c>
      <c r="N469" s="675"/>
      <c r="O469" s="24">
        <f t="shared" si="81"/>
        <v>1</v>
      </c>
      <c r="P469" s="675"/>
      <c r="Q469" s="24">
        <f t="shared" si="82"/>
        <v>1</v>
      </c>
      <c r="R469" s="671">
        <f t="shared" si="83"/>
        <v>0</v>
      </c>
      <c r="S469" s="321">
        <f t="shared" si="85"/>
        <v>0</v>
      </c>
    </row>
    <row r="470" spans="1:19">
      <c r="A470" s="154"/>
      <c r="B470" s="57"/>
      <c r="C470" s="24">
        <f t="shared" si="75"/>
        <v>1</v>
      </c>
      <c r="D470" s="675"/>
      <c r="E470" s="24">
        <f t="shared" si="76"/>
        <v>0.02</v>
      </c>
      <c r="F470" s="675"/>
      <c r="G470" s="24">
        <f t="shared" si="77"/>
        <v>1</v>
      </c>
      <c r="H470" s="675"/>
      <c r="I470" s="24">
        <f t="shared" si="78"/>
        <v>1</v>
      </c>
      <c r="J470" s="675"/>
      <c r="K470" s="24">
        <f t="shared" si="79"/>
        <v>1</v>
      </c>
      <c r="L470" s="675"/>
      <c r="M470" s="24">
        <f t="shared" si="80"/>
        <v>1</v>
      </c>
      <c r="N470" s="675"/>
      <c r="O470" s="24">
        <f t="shared" si="81"/>
        <v>1</v>
      </c>
      <c r="P470" s="675"/>
      <c r="Q470" s="24">
        <f t="shared" si="82"/>
        <v>1</v>
      </c>
      <c r="R470" s="671">
        <f t="shared" si="83"/>
        <v>0</v>
      </c>
      <c r="S470" s="321">
        <f t="shared" si="85"/>
        <v>0</v>
      </c>
    </row>
    <row r="471" spans="1:19">
      <c r="A471" s="154"/>
      <c r="B471" s="57"/>
      <c r="C471" s="24">
        <f t="shared" si="75"/>
        <v>1</v>
      </c>
      <c r="D471" s="675"/>
      <c r="E471" s="24">
        <f t="shared" si="76"/>
        <v>0.02</v>
      </c>
      <c r="F471" s="675"/>
      <c r="G471" s="24">
        <f t="shared" si="77"/>
        <v>1</v>
      </c>
      <c r="H471" s="675"/>
      <c r="I471" s="24">
        <f t="shared" si="78"/>
        <v>1</v>
      </c>
      <c r="J471" s="675"/>
      <c r="K471" s="24">
        <f t="shared" si="79"/>
        <v>1</v>
      </c>
      <c r="L471" s="675"/>
      <c r="M471" s="24">
        <f t="shared" si="80"/>
        <v>1</v>
      </c>
      <c r="N471" s="675"/>
      <c r="O471" s="24">
        <f t="shared" si="81"/>
        <v>1</v>
      </c>
      <c r="P471" s="675"/>
      <c r="Q471" s="24">
        <f t="shared" si="82"/>
        <v>1</v>
      </c>
      <c r="R471" s="671">
        <f t="shared" si="83"/>
        <v>0</v>
      </c>
      <c r="S471" s="321">
        <f t="shared" si="85"/>
        <v>0</v>
      </c>
    </row>
    <row r="472" spans="1:19">
      <c r="A472" s="154"/>
      <c r="B472" s="57"/>
      <c r="C472" s="24">
        <f t="shared" si="75"/>
        <v>1</v>
      </c>
      <c r="D472" s="675"/>
      <c r="E472" s="24">
        <f t="shared" si="76"/>
        <v>0.02</v>
      </c>
      <c r="F472" s="675"/>
      <c r="G472" s="24">
        <f t="shared" si="77"/>
        <v>1</v>
      </c>
      <c r="H472" s="675"/>
      <c r="I472" s="24">
        <f t="shared" si="78"/>
        <v>1</v>
      </c>
      <c r="J472" s="675"/>
      <c r="K472" s="24">
        <f t="shared" si="79"/>
        <v>1</v>
      </c>
      <c r="L472" s="675"/>
      <c r="M472" s="24">
        <f t="shared" si="80"/>
        <v>1</v>
      </c>
      <c r="N472" s="675"/>
      <c r="O472" s="24">
        <f t="shared" si="81"/>
        <v>1</v>
      </c>
      <c r="P472" s="675"/>
      <c r="Q472" s="24">
        <f t="shared" si="82"/>
        <v>1</v>
      </c>
      <c r="R472" s="671">
        <f t="shared" si="83"/>
        <v>0</v>
      </c>
      <c r="S472" s="321">
        <f t="shared" si="85"/>
        <v>0</v>
      </c>
    </row>
    <row r="473" spans="1:19">
      <c r="A473" s="154"/>
      <c r="B473" s="57"/>
      <c r="C473" s="24">
        <f t="shared" si="75"/>
        <v>1</v>
      </c>
      <c r="D473" s="675"/>
      <c r="E473" s="24">
        <f t="shared" si="76"/>
        <v>0.02</v>
      </c>
      <c r="F473" s="675"/>
      <c r="G473" s="24">
        <f t="shared" si="77"/>
        <v>1</v>
      </c>
      <c r="H473" s="675"/>
      <c r="I473" s="24">
        <f t="shared" si="78"/>
        <v>1</v>
      </c>
      <c r="J473" s="675"/>
      <c r="K473" s="24">
        <f t="shared" si="79"/>
        <v>1</v>
      </c>
      <c r="L473" s="675"/>
      <c r="M473" s="24">
        <f t="shared" si="80"/>
        <v>1</v>
      </c>
      <c r="N473" s="675"/>
      <c r="O473" s="24">
        <f t="shared" si="81"/>
        <v>1</v>
      </c>
      <c r="P473" s="675"/>
      <c r="Q473" s="24">
        <f t="shared" si="82"/>
        <v>1</v>
      </c>
      <c r="R473" s="671">
        <f t="shared" si="83"/>
        <v>0</v>
      </c>
      <c r="S473" s="321">
        <f t="shared" si="85"/>
        <v>0</v>
      </c>
    </row>
    <row r="474" spans="1:19">
      <c r="A474" s="154"/>
      <c r="B474" s="57"/>
      <c r="C474" s="24">
        <f t="shared" ref="C474:C524" si="86">IF(B474="",1,(LOOKUP(B474,$3:$3,$4:$4)-LOOKUP($B$24,$3:$3,$4:$4)+100)/100)</f>
        <v>1</v>
      </c>
      <c r="D474" s="675"/>
      <c r="E474" s="24">
        <f t="shared" ref="E474:E524" si="87">(SUMIF($5:$5,D474,$6:$6)-SUMIF($5:$5,$D$24,$6:$6)+100)/100</f>
        <v>0.02</v>
      </c>
      <c r="F474" s="675"/>
      <c r="G474" s="24">
        <f t="shared" ref="G474:G524" si="88">(SUMIF($7:$7,F474,$8:$8)-SUMIF($7:$7,$F$24,$8:$8)+100)/100</f>
        <v>1</v>
      </c>
      <c r="H474" s="675"/>
      <c r="I474" s="24">
        <f t="shared" ref="I474:I524" si="89">(SUMIF($9:$9,H474,$10:$10)-SUMIF($9:$9,$H$24,$10:$10)+100)/100</f>
        <v>1</v>
      </c>
      <c r="J474" s="675"/>
      <c r="K474" s="24">
        <f t="shared" ref="K474:K524" si="90">(SUMIF($11:$11,J474,$12:$12)-SUMIF($11:$11,$J$24,$12:$12)+100)/100</f>
        <v>1</v>
      </c>
      <c r="L474" s="675"/>
      <c r="M474" s="24">
        <f t="shared" ref="M474:M524" si="91">(SUMIF($13:$13,L474,$14:$14)-SUMIF($13:$13,$L$24,$14:$14)+100)/100</f>
        <v>1</v>
      </c>
      <c r="N474" s="675"/>
      <c r="O474" s="24">
        <f t="shared" ref="O474:O524" si="92">(SUMIF($15:$15,N474,$16:$16)-SUMIF($15:$15,$N$24,$16:$16)+100)/100</f>
        <v>1</v>
      </c>
      <c r="P474" s="675"/>
      <c r="Q474" s="24">
        <f t="shared" ref="Q474:Q524" si="93">(SUMIF($17:$17,P474,$18:$18)-SUMIF($17:$17,$P$24,$18:$18)+100)/100</f>
        <v>1</v>
      </c>
      <c r="R474" s="671">
        <f t="shared" ref="R474:R524" si="94">IF(B474="",0,ROUND($R$24*C474*E474*G474*I474*K474*M474*O474*Q474,0))</f>
        <v>0</v>
      </c>
      <c r="S474" s="321">
        <f t="shared" si="85"/>
        <v>0</v>
      </c>
    </row>
    <row r="475" spans="1:19">
      <c r="A475" s="154"/>
      <c r="B475" s="57"/>
      <c r="C475" s="24">
        <f t="shared" si="86"/>
        <v>1</v>
      </c>
      <c r="D475" s="675"/>
      <c r="E475" s="24">
        <f t="shared" si="87"/>
        <v>0.02</v>
      </c>
      <c r="F475" s="675"/>
      <c r="G475" s="24">
        <f t="shared" si="88"/>
        <v>1</v>
      </c>
      <c r="H475" s="675"/>
      <c r="I475" s="24">
        <f t="shared" si="89"/>
        <v>1</v>
      </c>
      <c r="J475" s="675"/>
      <c r="K475" s="24">
        <f t="shared" si="90"/>
        <v>1</v>
      </c>
      <c r="L475" s="675"/>
      <c r="M475" s="24">
        <f t="shared" si="91"/>
        <v>1</v>
      </c>
      <c r="N475" s="675"/>
      <c r="O475" s="24">
        <f t="shared" si="92"/>
        <v>1</v>
      </c>
      <c r="P475" s="675"/>
      <c r="Q475" s="24">
        <f t="shared" si="93"/>
        <v>1</v>
      </c>
      <c r="R475" s="671">
        <f t="shared" si="94"/>
        <v>0</v>
      </c>
      <c r="S475" s="321">
        <f t="shared" si="85"/>
        <v>0</v>
      </c>
    </row>
    <row r="476" spans="1:19">
      <c r="A476" s="154"/>
      <c r="B476" s="57"/>
      <c r="C476" s="24">
        <f t="shared" si="86"/>
        <v>1</v>
      </c>
      <c r="D476" s="675"/>
      <c r="E476" s="24">
        <f t="shared" si="87"/>
        <v>0.02</v>
      </c>
      <c r="F476" s="675"/>
      <c r="G476" s="24">
        <f t="shared" si="88"/>
        <v>1</v>
      </c>
      <c r="H476" s="675"/>
      <c r="I476" s="24">
        <f t="shared" si="89"/>
        <v>1</v>
      </c>
      <c r="J476" s="675"/>
      <c r="K476" s="24">
        <f t="shared" si="90"/>
        <v>1</v>
      </c>
      <c r="L476" s="675"/>
      <c r="M476" s="24">
        <f t="shared" si="91"/>
        <v>1</v>
      </c>
      <c r="N476" s="675"/>
      <c r="O476" s="24">
        <f t="shared" si="92"/>
        <v>1</v>
      </c>
      <c r="P476" s="675"/>
      <c r="Q476" s="24">
        <f t="shared" si="93"/>
        <v>1</v>
      </c>
      <c r="R476" s="671">
        <f t="shared" si="94"/>
        <v>0</v>
      </c>
      <c r="S476" s="321">
        <f t="shared" si="85"/>
        <v>0</v>
      </c>
    </row>
    <row r="477" spans="1:19">
      <c r="A477" s="154"/>
      <c r="B477" s="57"/>
      <c r="C477" s="24">
        <f t="shared" si="86"/>
        <v>1</v>
      </c>
      <c r="D477" s="675"/>
      <c r="E477" s="24">
        <f t="shared" si="87"/>
        <v>0.02</v>
      </c>
      <c r="F477" s="675"/>
      <c r="G477" s="24">
        <f t="shared" si="88"/>
        <v>1</v>
      </c>
      <c r="H477" s="675"/>
      <c r="I477" s="24">
        <f t="shared" si="89"/>
        <v>1</v>
      </c>
      <c r="J477" s="675"/>
      <c r="K477" s="24">
        <f t="shared" si="90"/>
        <v>1</v>
      </c>
      <c r="L477" s="675"/>
      <c r="M477" s="24">
        <f t="shared" si="91"/>
        <v>1</v>
      </c>
      <c r="N477" s="675"/>
      <c r="O477" s="24">
        <f t="shared" si="92"/>
        <v>1</v>
      </c>
      <c r="P477" s="675"/>
      <c r="Q477" s="24">
        <f t="shared" si="93"/>
        <v>1</v>
      </c>
      <c r="R477" s="671">
        <f t="shared" si="94"/>
        <v>0</v>
      </c>
      <c r="S477" s="321">
        <f t="shared" si="85"/>
        <v>0</v>
      </c>
    </row>
    <row r="478" spans="1:19">
      <c r="A478" s="154"/>
      <c r="B478" s="57"/>
      <c r="C478" s="24">
        <f t="shared" si="86"/>
        <v>1</v>
      </c>
      <c r="D478" s="675"/>
      <c r="E478" s="24">
        <f t="shared" si="87"/>
        <v>0.02</v>
      </c>
      <c r="F478" s="675"/>
      <c r="G478" s="24">
        <f t="shared" si="88"/>
        <v>1</v>
      </c>
      <c r="H478" s="675"/>
      <c r="I478" s="24">
        <f t="shared" si="89"/>
        <v>1</v>
      </c>
      <c r="J478" s="675"/>
      <c r="K478" s="24">
        <f t="shared" si="90"/>
        <v>1</v>
      </c>
      <c r="L478" s="675"/>
      <c r="M478" s="24">
        <f t="shared" si="91"/>
        <v>1</v>
      </c>
      <c r="N478" s="675"/>
      <c r="O478" s="24">
        <f t="shared" si="92"/>
        <v>1</v>
      </c>
      <c r="P478" s="675"/>
      <c r="Q478" s="24">
        <f t="shared" si="93"/>
        <v>1</v>
      </c>
      <c r="R478" s="671">
        <f t="shared" si="94"/>
        <v>0</v>
      </c>
      <c r="S478" s="321">
        <f t="shared" si="85"/>
        <v>0</v>
      </c>
    </row>
    <row r="479" spans="1:19">
      <c r="A479" s="154"/>
      <c r="B479" s="57"/>
      <c r="C479" s="24">
        <f t="shared" si="86"/>
        <v>1</v>
      </c>
      <c r="D479" s="675"/>
      <c r="E479" s="24">
        <f t="shared" si="87"/>
        <v>0.02</v>
      </c>
      <c r="F479" s="675"/>
      <c r="G479" s="24">
        <f t="shared" si="88"/>
        <v>1</v>
      </c>
      <c r="H479" s="675"/>
      <c r="I479" s="24">
        <f t="shared" si="89"/>
        <v>1</v>
      </c>
      <c r="J479" s="675"/>
      <c r="K479" s="24">
        <f t="shared" si="90"/>
        <v>1</v>
      </c>
      <c r="L479" s="675"/>
      <c r="M479" s="24">
        <f t="shared" si="91"/>
        <v>1</v>
      </c>
      <c r="N479" s="675"/>
      <c r="O479" s="24">
        <f t="shared" si="92"/>
        <v>1</v>
      </c>
      <c r="P479" s="675"/>
      <c r="Q479" s="24">
        <f t="shared" si="93"/>
        <v>1</v>
      </c>
      <c r="R479" s="671">
        <f t="shared" si="94"/>
        <v>0</v>
      </c>
      <c r="S479" s="321">
        <f t="shared" si="85"/>
        <v>0</v>
      </c>
    </row>
    <row r="480" spans="1:19">
      <c r="A480" s="154"/>
      <c r="B480" s="57"/>
      <c r="C480" s="24">
        <f t="shared" si="86"/>
        <v>1</v>
      </c>
      <c r="D480" s="675"/>
      <c r="E480" s="24">
        <f t="shared" si="87"/>
        <v>0.02</v>
      </c>
      <c r="F480" s="675"/>
      <c r="G480" s="24">
        <f t="shared" si="88"/>
        <v>1</v>
      </c>
      <c r="H480" s="675"/>
      <c r="I480" s="24">
        <f t="shared" si="89"/>
        <v>1</v>
      </c>
      <c r="J480" s="675"/>
      <c r="K480" s="24">
        <f t="shared" si="90"/>
        <v>1</v>
      </c>
      <c r="L480" s="675"/>
      <c r="M480" s="24">
        <f t="shared" si="91"/>
        <v>1</v>
      </c>
      <c r="N480" s="675"/>
      <c r="O480" s="24">
        <f t="shared" si="92"/>
        <v>1</v>
      </c>
      <c r="P480" s="675"/>
      <c r="Q480" s="24">
        <f t="shared" si="93"/>
        <v>1</v>
      </c>
      <c r="R480" s="671">
        <f t="shared" si="94"/>
        <v>0</v>
      </c>
      <c r="S480" s="321">
        <f t="shared" si="85"/>
        <v>0</v>
      </c>
    </row>
    <row r="481" spans="1:19">
      <c r="A481" s="154"/>
      <c r="B481" s="57"/>
      <c r="C481" s="24">
        <f t="shared" si="86"/>
        <v>1</v>
      </c>
      <c r="D481" s="675"/>
      <c r="E481" s="24">
        <f t="shared" si="87"/>
        <v>0.02</v>
      </c>
      <c r="F481" s="675"/>
      <c r="G481" s="24">
        <f t="shared" si="88"/>
        <v>1</v>
      </c>
      <c r="H481" s="675"/>
      <c r="I481" s="24">
        <f t="shared" si="89"/>
        <v>1</v>
      </c>
      <c r="J481" s="675"/>
      <c r="K481" s="24">
        <f t="shared" si="90"/>
        <v>1</v>
      </c>
      <c r="L481" s="675"/>
      <c r="M481" s="24">
        <f t="shared" si="91"/>
        <v>1</v>
      </c>
      <c r="N481" s="675"/>
      <c r="O481" s="24">
        <f t="shared" si="92"/>
        <v>1</v>
      </c>
      <c r="P481" s="675"/>
      <c r="Q481" s="24">
        <f t="shared" si="93"/>
        <v>1</v>
      </c>
      <c r="R481" s="671">
        <f t="shared" si="94"/>
        <v>0</v>
      </c>
      <c r="S481" s="321">
        <f t="shared" si="85"/>
        <v>0</v>
      </c>
    </row>
    <row r="482" spans="1:19">
      <c r="A482" s="154"/>
      <c r="B482" s="57"/>
      <c r="C482" s="24">
        <f t="shared" si="86"/>
        <v>1</v>
      </c>
      <c r="D482" s="675"/>
      <c r="E482" s="24">
        <f t="shared" si="87"/>
        <v>0.02</v>
      </c>
      <c r="F482" s="675"/>
      <c r="G482" s="24">
        <f t="shared" si="88"/>
        <v>1</v>
      </c>
      <c r="H482" s="675"/>
      <c r="I482" s="24">
        <f t="shared" si="89"/>
        <v>1</v>
      </c>
      <c r="J482" s="675"/>
      <c r="K482" s="24">
        <f t="shared" si="90"/>
        <v>1</v>
      </c>
      <c r="L482" s="675"/>
      <c r="M482" s="24">
        <f t="shared" si="91"/>
        <v>1</v>
      </c>
      <c r="N482" s="675"/>
      <c r="O482" s="24">
        <f t="shared" si="92"/>
        <v>1</v>
      </c>
      <c r="P482" s="675"/>
      <c r="Q482" s="24">
        <f t="shared" si="93"/>
        <v>1</v>
      </c>
      <c r="R482" s="671">
        <f t="shared" si="94"/>
        <v>0</v>
      </c>
      <c r="S482" s="321">
        <f t="shared" si="85"/>
        <v>0</v>
      </c>
    </row>
    <row r="483" spans="1:19">
      <c r="A483" s="154"/>
      <c r="B483" s="57"/>
      <c r="C483" s="24">
        <f t="shared" si="86"/>
        <v>1</v>
      </c>
      <c r="D483" s="675"/>
      <c r="E483" s="24">
        <f t="shared" si="87"/>
        <v>0.02</v>
      </c>
      <c r="F483" s="675"/>
      <c r="G483" s="24">
        <f t="shared" si="88"/>
        <v>1</v>
      </c>
      <c r="H483" s="675"/>
      <c r="I483" s="24">
        <f t="shared" si="89"/>
        <v>1</v>
      </c>
      <c r="J483" s="675"/>
      <c r="K483" s="24">
        <f t="shared" si="90"/>
        <v>1</v>
      </c>
      <c r="L483" s="675"/>
      <c r="M483" s="24">
        <f t="shared" si="91"/>
        <v>1</v>
      </c>
      <c r="N483" s="675"/>
      <c r="O483" s="24">
        <f t="shared" si="92"/>
        <v>1</v>
      </c>
      <c r="P483" s="675"/>
      <c r="Q483" s="24">
        <f t="shared" si="93"/>
        <v>1</v>
      </c>
      <c r="R483" s="671">
        <f t="shared" si="94"/>
        <v>0</v>
      </c>
      <c r="S483" s="321">
        <f t="shared" si="85"/>
        <v>0</v>
      </c>
    </row>
    <row r="484" spans="1:19">
      <c r="A484" s="154"/>
      <c r="B484" s="57"/>
      <c r="C484" s="24">
        <f t="shared" si="86"/>
        <v>1</v>
      </c>
      <c r="D484" s="675"/>
      <c r="E484" s="24">
        <f t="shared" si="87"/>
        <v>0.02</v>
      </c>
      <c r="F484" s="675"/>
      <c r="G484" s="24">
        <f t="shared" si="88"/>
        <v>1</v>
      </c>
      <c r="H484" s="675"/>
      <c r="I484" s="24">
        <f t="shared" si="89"/>
        <v>1</v>
      </c>
      <c r="J484" s="675"/>
      <c r="K484" s="24">
        <f t="shared" si="90"/>
        <v>1</v>
      </c>
      <c r="L484" s="675"/>
      <c r="M484" s="24">
        <f t="shared" si="91"/>
        <v>1</v>
      </c>
      <c r="N484" s="675"/>
      <c r="O484" s="24">
        <f t="shared" si="92"/>
        <v>1</v>
      </c>
      <c r="P484" s="675"/>
      <c r="Q484" s="24">
        <f t="shared" si="93"/>
        <v>1</v>
      </c>
      <c r="R484" s="671">
        <f t="shared" si="94"/>
        <v>0</v>
      </c>
      <c r="S484" s="321">
        <f t="shared" si="85"/>
        <v>0</v>
      </c>
    </row>
    <row r="485" spans="1:19">
      <c r="A485" s="154"/>
      <c r="B485" s="57"/>
      <c r="C485" s="24">
        <f t="shared" si="86"/>
        <v>1</v>
      </c>
      <c r="D485" s="675"/>
      <c r="E485" s="24">
        <f t="shared" si="87"/>
        <v>0.02</v>
      </c>
      <c r="F485" s="675"/>
      <c r="G485" s="24">
        <f t="shared" si="88"/>
        <v>1</v>
      </c>
      <c r="H485" s="675"/>
      <c r="I485" s="24">
        <f t="shared" si="89"/>
        <v>1</v>
      </c>
      <c r="J485" s="675"/>
      <c r="K485" s="24">
        <f t="shared" si="90"/>
        <v>1</v>
      </c>
      <c r="L485" s="675"/>
      <c r="M485" s="24">
        <f t="shared" si="91"/>
        <v>1</v>
      </c>
      <c r="N485" s="675"/>
      <c r="O485" s="24">
        <f t="shared" si="92"/>
        <v>1</v>
      </c>
      <c r="P485" s="675"/>
      <c r="Q485" s="24">
        <f t="shared" si="93"/>
        <v>1</v>
      </c>
      <c r="R485" s="671">
        <f t="shared" si="94"/>
        <v>0</v>
      </c>
      <c r="S485" s="321">
        <f t="shared" si="85"/>
        <v>0</v>
      </c>
    </row>
    <row r="486" spans="1:19">
      <c r="A486" s="154"/>
      <c r="B486" s="57"/>
      <c r="C486" s="24">
        <f t="shared" si="86"/>
        <v>1</v>
      </c>
      <c r="D486" s="675"/>
      <c r="E486" s="24">
        <f t="shared" si="87"/>
        <v>0.02</v>
      </c>
      <c r="F486" s="675"/>
      <c r="G486" s="24">
        <f t="shared" si="88"/>
        <v>1</v>
      </c>
      <c r="H486" s="675"/>
      <c r="I486" s="24">
        <f t="shared" si="89"/>
        <v>1</v>
      </c>
      <c r="J486" s="675"/>
      <c r="K486" s="24">
        <f t="shared" si="90"/>
        <v>1</v>
      </c>
      <c r="L486" s="675"/>
      <c r="M486" s="24">
        <f t="shared" si="91"/>
        <v>1</v>
      </c>
      <c r="N486" s="675"/>
      <c r="O486" s="24">
        <f t="shared" si="92"/>
        <v>1</v>
      </c>
      <c r="P486" s="675"/>
      <c r="Q486" s="24">
        <f t="shared" si="93"/>
        <v>1</v>
      </c>
      <c r="R486" s="671">
        <f t="shared" si="94"/>
        <v>0</v>
      </c>
      <c r="S486" s="321">
        <f t="shared" si="85"/>
        <v>0</v>
      </c>
    </row>
    <row r="487" spans="1:19">
      <c r="A487" s="154"/>
      <c r="B487" s="57"/>
      <c r="C487" s="24">
        <f t="shared" si="86"/>
        <v>1</v>
      </c>
      <c r="D487" s="675"/>
      <c r="E487" s="24">
        <f t="shared" si="87"/>
        <v>0.02</v>
      </c>
      <c r="F487" s="675"/>
      <c r="G487" s="24">
        <f t="shared" si="88"/>
        <v>1</v>
      </c>
      <c r="H487" s="675"/>
      <c r="I487" s="24">
        <f t="shared" si="89"/>
        <v>1</v>
      </c>
      <c r="J487" s="675"/>
      <c r="K487" s="24">
        <f t="shared" si="90"/>
        <v>1</v>
      </c>
      <c r="L487" s="675"/>
      <c r="M487" s="24">
        <f t="shared" si="91"/>
        <v>1</v>
      </c>
      <c r="N487" s="675"/>
      <c r="O487" s="24">
        <f t="shared" si="92"/>
        <v>1</v>
      </c>
      <c r="P487" s="675"/>
      <c r="Q487" s="24">
        <f t="shared" si="93"/>
        <v>1</v>
      </c>
      <c r="R487" s="671">
        <f t="shared" si="94"/>
        <v>0</v>
      </c>
      <c r="S487" s="321">
        <f t="shared" si="85"/>
        <v>0</v>
      </c>
    </row>
    <row r="488" spans="1:19">
      <c r="A488" s="154"/>
      <c r="B488" s="57"/>
      <c r="C488" s="24">
        <f t="shared" si="86"/>
        <v>1</v>
      </c>
      <c r="D488" s="675"/>
      <c r="E488" s="24">
        <f t="shared" si="87"/>
        <v>0.02</v>
      </c>
      <c r="F488" s="675"/>
      <c r="G488" s="24">
        <f t="shared" si="88"/>
        <v>1</v>
      </c>
      <c r="H488" s="675"/>
      <c r="I488" s="24">
        <f t="shared" si="89"/>
        <v>1</v>
      </c>
      <c r="J488" s="675"/>
      <c r="K488" s="24">
        <f t="shared" si="90"/>
        <v>1</v>
      </c>
      <c r="L488" s="675"/>
      <c r="M488" s="24">
        <f t="shared" si="91"/>
        <v>1</v>
      </c>
      <c r="N488" s="675"/>
      <c r="O488" s="24">
        <f t="shared" si="92"/>
        <v>1</v>
      </c>
      <c r="P488" s="675"/>
      <c r="Q488" s="24">
        <f t="shared" si="93"/>
        <v>1</v>
      </c>
      <c r="R488" s="671">
        <f t="shared" si="94"/>
        <v>0</v>
      </c>
      <c r="S488" s="321">
        <f t="shared" si="85"/>
        <v>0</v>
      </c>
    </row>
    <row r="489" spans="1:19">
      <c r="A489" s="154"/>
      <c r="B489" s="57"/>
      <c r="C489" s="24">
        <f t="shared" si="86"/>
        <v>1</v>
      </c>
      <c r="D489" s="675"/>
      <c r="E489" s="24">
        <f t="shared" si="87"/>
        <v>0.02</v>
      </c>
      <c r="F489" s="675"/>
      <c r="G489" s="24">
        <f t="shared" si="88"/>
        <v>1</v>
      </c>
      <c r="H489" s="675"/>
      <c r="I489" s="24">
        <f t="shared" si="89"/>
        <v>1</v>
      </c>
      <c r="J489" s="675"/>
      <c r="K489" s="24">
        <f t="shared" si="90"/>
        <v>1</v>
      </c>
      <c r="L489" s="675"/>
      <c r="M489" s="24">
        <f t="shared" si="91"/>
        <v>1</v>
      </c>
      <c r="N489" s="675"/>
      <c r="O489" s="24">
        <f t="shared" si="92"/>
        <v>1</v>
      </c>
      <c r="P489" s="675"/>
      <c r="Q489" s="24">
        <f t="shared" si="93"/>
        <v>1</v>
      </c>
      <c r="R489" s="671">
        <f t="shared" si="94"/>
        <v>0</v>
      </c>
      <c r="S489" s="321">
        <f t="shared" si="85"/>
        <v>0</v>
      </c>
    </row>
    <row r="490" spans="1:19">
      <c r="A490" s="154"/>
      <c r="B490" s="57"/>
      <c r="C490" s="24">
        <f t="shared" si="86"/>
        <v>1</v>
      </c>
      <c r="D490" s="675"/>
      <c r="E490" s="24">
        <f t="shared" si="87"/>
        <v>0.02</v>
      </c>
      <c r="F490" s="675"/>
      <c r="G490" s="24">
        <f t="shared" si="88"/>
        <v>1</v>
      </c>
      <c r="H490" s="675"/>
      <c r="I490" s="24">
        <f t="shared" si="89"/>
        <v>1</v>
      </c>
      <c r="J490" s="675"/>
      <c r="K490" s="24">
        <f t="shared" si="90"/>
        <v>1</v>
      </c>
      <c r="L490" s="675"/>
      <c r="M490" s="24">
        <f t="shared" si="91"/>
        <v>1</v>
      </c>
      <c r="N490" s="675"/>
      <c r="O490" s="24">
        <f t="shared" si="92"/>
        <v>1</v>
      </c>
      <c r="P490" s="675"/>
      <c r="Q490" s="24">
        <f t="shared" si="93"/>
        <v>1</v>
      </c>
      <c r="R490" s="671">
        <f t="shared" si="94"/>
        <v>0</v>
      </c>
      <c r="S490" s="321">
        <f t="shared" si="85"/>
        <v>0</v>
      </c>
    </row>
    <row r="491" spans="1:19">
      <c r="A491" s="154"/>
      <c r="B491" s="57"/>
      <c r="C491" s="24">
        <f t="shared" si="86"/>
        <v>1</v>
      </c>
      <c r="D491" s="675"/>
      <c r="E491" s="24">
        <f t="shared" si="87"/>
        <v>0.02</v>
      </c>
      <c r="F491" s="675"/>
      <c r="G491" s="24">
        <f t="shared" si="88"/>
        <v>1</v>
      </c>
      <c r="H491" s="675"/>
      <c r="I491" s="24">
        <f t="shared" si="89"/>
        <v>1</v>
      </c>
      <c r="J491" s="675"/>
      <c r="K491" s="24">
        <f t="shared" si="90"/>
        <v>1</v>
      </c>
      <c r="L491" s="675"/>
      <c r="M491" s="24">
        <f t="shared" si="91"/>
        <v>1</v>
      </c>
      <c r="N491" s="675"/>
      <c r="O491" s="24">
        <f t="shared" si="92"/>
        <v>1</v>
      </c>
      <c r="P491" s="675"/>
      <c r="Q491" s="24">
        <f t="shared" si="93"/>
        <v>1</v>
      </c>
      <c r="R491" s="671">
        <f t="shared" si="94"/>
        <v>0</v>
      </c>
      <c r="S491" s="321">
        <f t="shared" si="85"/>
        <v>0</v>
      </c>
    </row>
    <row r="492" spans="1:19">
      <c r="A492" s="154"/>
      <c r="B492" s="57"/>
      <c r="C492" s="24">
        <f t="shared" si="86"/>
        <v>1</v>
      </c>
      <c r="D492" s="675"/>
      <c r="E492" s="24">
        <f t="shared" si="87"/>
        <v>0.02</v>
      </c>
      <c r="F492" s="675"/>
      <c r="G492" s="24">
        <f t="shared" si="88"/>
        <v>1</v>
      </c>
      <c r="H492" s="675"/>
      <c r="I492" s="24">
        <f t="shared" si="89"/>
        <v>1</v>
      </c>
      <c r="J492" s="675"/>
      <c r="K492" s="24">
        <f t="shared" si="90"/>
        <v>1</v>
      </c>
      <c r="L492" s="675"/>
      <c r="M492" s="24">
        <f t="shared" si="91"/>
        <v>1</v>
      </c>
      <c r="N492" s="675"/>
      <c r="O492" s="24">
        <f t="shared" si="92"/>
        <v>1</v>
      </c>
      <c r="P492" s="675"/>
      <c r="Q492" s="24">
        <f t="shared" si="93"/>
        <v>1</v>
      </c>
      <c r="R492" s="671">
        <f t="shared" si="94"/>
        <v>0</v>
      </c>
      <c r="S492" s="321">
        <f t="shared" si="85"/>
        <v>0</v>
      </c>
    </row>
    <row r="493" spans="1:19">
      <c r="A493" s="154"/>
      <c r="B493" s="57"/>
      <c r="C493" s="24">
        <f t="shared" si="86"/>
        <v>1</v>
      </c>
      <c r="D493" s="675"/>
      <c r="E493" s="24">
        <f t="shared" si="87"/>
        <v>0.02</v>
      </c>
      <c r="F493" s="675"/>
      <c r="G493" s="24">
        <f t="shared" si="88"/>
        <v>1</v>
      </c>
      <c r="H493" s="675"/>
      <c r="I493" s="24">
        <f t="shared" si="89"/>
        <v>1</v>
      </c>
      <c r="J493" s="675"/>
      <c r="K493" s="24">
        <f t="shared" si="90"/>
        <v>1</v>
      </c>
      <c r="L493" s="675"/>
      <c r="M493" s="24">
        <f t="shared" si="91"/>
        <v>1</v>
      </c>
      <c r="N493" s="675"/>
      <c r="O493" s="24">
        <f t="shared" si="92"/>
        <v>1</v>
      </c>
      <c r="P493" s="675"/>
      <c r="Q493" s="24">
        <f t="shared" si="93"/>
        <v>1</v>
      </c>
      <c r="R493" s="671">
        <f t="shared" si="94"/>
        <v>0</v>
      </c>
      <c r="S493" s="321">
        <f t="shared" si="85"/>
        <v>0</v>
      </c>
    </row>
    <row r="494" spans="1:19">
      <c r="A494" s="154"/>
      <c r="B494" s="57"/>
      <c r="C494" s="24">
        <f t="shared" si="86"/>
        <v>1</v>
      </c>
      <c r="D494" s="675"/>
      <c r="E494" s="24">
        <f t="shared" si="87"/>
        <v>0.02</v>
      </c>
      <c r="F494" s="675"/>
      <c r="G494" s="24">
        <f t="shared" si="88"/>
        <v>1</v>
      </c>
      <c r="H494" s="675"/>
      <c r="I494" s="24">
        <f t="shared" si="89"/>
        <v>1</v>
      </c>
      <c r="J494" s="675"/>
      <c r="K494" s="24">
        <f t="shared" si="90"/>
        <v>1</v>
      </c>
      <c r="L494" s="675"/>
      <c r="M494" s="24">
        <f t="shared" si="91"/>
        <v>1</v>
      </c>
      <c r="N494" s="675"/>
      <c r="O494" s="24">
        <f t="shared" si="92"/>
        <v>1</v>
      </c>
      <c r="P494" s="675"/>
      <c r="Q494" s="24">
        <f t="shared" si="93"/>
        <v>1</v>
      </c>
      <c r="R494" s="671">
        <f t="shared" si="94"/>
        <v>0</v>
      </c>
      <c r="S494" s="321">
        <f t="shared" si="85"/>
        <v>0</v>
      </c>
    </row>
    <row r="495" spans="1:19">
      <c r="A495" s="154"/>
      <c r="B495" s="57"/>
      <c r="C495" s="24">
        <f t="shared" si="86"/>
        <v>1</v>
      </c>
      <c r="D495" s="675"/>
      <c r="E495" s="24">
        <f t="shared" si="87"/>
        <v>0.02</v>
      </c>
      <c r="F495" s="675"/>
      <c r="G495" s="24">
        <f t="shared" si="88"/>
        <v>1</v>
      </c>
      <c r="H495" s="675"/>
      <c r="I495" s="24">
        <f t="shared" si="89"/>
        <v>1</v>
      </c>
      <c r="J495" s="675"/>
      <c r="K495" s="24">
        <f t="shared" si="90"/>
        <v>1</v>
      </c>
      <c r="L495" s="675"/>
      <c r="M495" s="24">
        <f t="shared" si="91"/>
        <v>1</v>
      </c>
      <c r="N495" s="675"/>
      <c r="O495" s="24">
        <f t="shared" si="92"/>
        <v>1</v>
      </c>
      <c r="P495" s="675"/>
      <c r="Q495" s="24">
        <f t="shared" si="93"/>
        <v>1</v>
      </c>
      <c r="R495" s="671">
        <f t="shared" si="94"/>
        <v>0</v>
      </c>
      <c r="S495" s="321">
        <f t="shared" si="85"/>
        <v>0</v>
      </c>
    </row>
    <row r="496" spans="1:19">
      <c r="A496" s="154"/>
      <c r="B496" s="57"/>
      <c r="C496" s="24">
        <f t="shared" si="86"/>
        <v>1</v>
      </c>
      <c r="D496" s="675"/>
      <c r="E496" s="24">
        <f t="shared" si="87"/>
        <v>0.02</v>
      </c>
      <c r="F496" s="675"/>
      <c r="G496" s="24">
        <f t="shared" si="88"/>
        <v>1</v>
      </c>
      <c r="H496" s="675"/>
      <c r="I496" s="24">
        <f t="shared" si="89"/>
        <v>1</v>
      </c>
      <c r="J496" s="675"/>
      <c r="K496" s="24">
        <f t="shared" si="90"/>
        <v>1</v>
      </c>
      <c r="L496" s="675"/>
      <c r="M496" s="24">
        <f t="shared" si="91"/>
        <v>1</v>
      </c>
      <c r="N496" s="675"/>
      <c r="O496" s="24">
        <f t="shared" si="92"/>
        <v>1</v>
      </c>
      <c r="P496" s="675"/>
      <c r="Q496" s="24">
        <f t="shared" si="93"/>
        <v>1</v>
      </c>
      <c r="R496" s="671">
        <f t="shared" si="94"/>
        <v>0</v>
      </c>
      <c r="S496" s="321">
        <f t="shared" si="85"/>
        <v>0</v>
      </c>
    </row>
    <row r="497" spans="1:19">
      <c r="A497" s="154"/>
      <c r="B497" s="57"/>
      <c r="C497" s="24">
        <f t="shared" si="86"/>
        <v>1</v>
      </c>
      <c r="D497" s="675"/>
      <c r="E497" s="24">
        <f t="shared" si="87"/>
        <v>0.02</v>
      </c>
      <c r="F497" s="675"/>
      <c r="G497" s="24">
        <f t="shared" si="88"/>
        <v>1</v>
      </c>
      <c r="H497" s="675"/>
      <c r="I497" s="24">
        <f t="shared" si="89"/>
        <v>1</v>
      </c>
      <c r="J497" s="675"/>
      <c r="K497" s="24">
        <f t="shared" si="90"/>
        <v>1</v>
      </c>
      <c r="L497" s="675"/>
      <c r="M497" s="24">
        <f t="shared" si="91"/>
        <v>1</v>
      </c>
      <c r="N497" s="675"/>
      <c r="O497" s="24">
        <f t="shared" si="92"/>
        <v>1</v>
      </c>
      <c r="P497" s="675"/>
      <c r="Q497" s="24">
        <f t="shared" si="93"/>
        <v>1</v>
      </c>
      <c r="R497" s="671">
        <f t="shared" si="94"/>
        <v>0</v>
      </c>
      <c r="S497" s="321">
        <f t="shared" si="85"/>
        <v>0</v>
      </c>
    </row>
    <row r="498" spans="1:19">
      <c r="A498" s="154"/>
      <c r="B498" s="57"/>
      <c r="C498" s="24">
        <f t="shared" si="86"/>
        <v>1</v>
      </c>
      <c r="D498" s="675"/>
      <c r="E498" s="24">
        <f t="shared" si="87"/>
        <v>0.02</v>
      </c>
      <c r="F498" s="675"/>
      <c r="G498" s="24">
        <f t="shared" si="88"/>
        <v>1</v>
      </c>
      <c r="H498" s="675"/>
      <c r="I498" s="24">
        <f t="shared" si="89"/>
        <v>1</v>
      </c>
      <c r="J498" s="675"/>
      <c r="K498" s="24">
        <f t="shared" si="90"/>
        <v>1</v>
      </c>
      <c r="L498" s="675"/>
      <c r="M498" s="24">
        <f t="shared" si="91"/>
        <v>1</v>
      </c>
      <c r="N498" s="675"/>
      <c r="O498" s="24">
        <f t="shared" si="92"/>
        <v>1</v>
      </c>
      <c r="P498" s="675"/>
      <c r="Q498" s="24">
        <f t="shared" si="93"/>
        <v>1</v>
      </c>
      <c r="R498" s="671">
        <f t="shared" si="94"/>
        <v>0</v>
      </c>
      <c r="S498" s="321">
        <f t="shared" ref="S498:S524" si="95">ROUND(R498*B498/10000,0)</f>
        <v>0</v>
      </c>
    </row>
    <row r="499" spans="1:19">
      <c r="A499" s="154"/>
      <c r="B499" s="57"/>
      <c r="C499" s="24">
        <f t="shared" si="86"/>
        <v>1</v>
      </c>
      <c r="D499" s="675"/>
      <c r="E499" s="24">
        <f t="shared" si="87"/>
        <v>0.02</v>
      </c>
      <c r="F499" s="675"/>
      <c r="G499" s="24">
        <f t="shared" si="88"/>
        <v>1</v>
      </c>
      <c r="H499" s="675"/>
      <c r="I499" s="24">
        <f t="shared" si="89"/>
        <v>1</v>
      </c>
      <c r="J499" s="675"/>
      <c r="K499" s="24">
        <f t="shared" si="90"/>
        <v>1</v>
      </c>
      <c r="L499" s="675"/>
      <c r="M499" s="24">
        <f t="shared" si="91"/>
        <v>1</v>
      </c>
      <c r="N499" s="675"/>
      <c r="O499" s="24">
        <f t="shared" si="92"/>
        <v>1</v>
      </c>
      <c r="P499" s="675"/>
      <c r="Q499" s="24">
        <f t="shared" si="93"/>
        <v>1</v>
      </c>
      <c r="R499" s="671">
        <f t="shared" si="94"/>
        <v>0</v>
      </c>
      <c r="S499" s="321">
        <f t="shared" si="95"/>
        <v>0</v>
      </c>
    </row>
    <row r="500" spans="1:19">
      <c r="A500" s="154"/>
      <c r="B500" s="57"/>
      <c r="C500" s="24">
        <f t="shared" si="86"/>
        <v>1</v>
      </c>
      <c r="D500" s="675"/>
      <c r="E500" s="24">
        <f t="shared" si="87"/>
        <v>0.02</v>
      </c>
      <c r="F500" s="675"/>
      <c r="G500" s="24">
        <f t="shared" si="88"/>
        <v>1</v>
      </c>
      <c r="H500" s="675"/>
      <c r="I500" s="24">
        <f t="shared" si="89"/>
        <v>1</v>
      </c>
      <c r="J500" s="675"/>
      <c r="K500" s="24">
        <f t="shared" si="90"/>
        <v>1</v>
      </c>
      <c r="L500" s="675"/>
      <c r="M500" s="24">
        <f t="shared" si="91"/>
        <v>1</v>
      </c>
      <c r="N500" s="675"/>
      <c r="O500" s="24">
        <f t="shared" si="92"/>
        <v>1</v>
      </c>
      <c r="P500" s="675"/>
      <c r="Q500" s="24">
        <f t="shared" si="93"/>
        <v>1</v>
      </c>
      <c r="R500" s="671">
        <f t="shared" si="94"/>
        <v>0</v>
      </c>
      <c r="S500" s="321">
        <f t="shared" si="95"/>
        <v>0</v>
      </c>
    </row>
    <row r="501" spans="1:19">
      <c r="A501" s="154"/>
      <c r="B501" s="57"/>
      <c r="C501" s="24">
        <f t="shared" si="86"/>
        <v>1</v>
      </c>
      <c r="D501" s="675"/>
      <c r="E501" s="24">
        <f t="shared" si="87"/>
        <v>0.02</v>
      </c>
      <c r="F501" s="675"/>
      <c r="G501" s="24">
        <f t="shared" si="88"/>
        <v>1</v>
      </c>
      <c r="H501" s="675"/>
      <c r="I501" s="24">
        <f t="shared" si="89"/>
        <v>1</v>
      </c>
      <c r="J501" s="675"/>
      <c r="K501" s="24">
        <f t="shared" si="90"/>
        <v>1</v>
      </c>
      <c r="L501" s="675"/>
      <c r="M501" s="24">
        <f t="shared" si="91"/>
        <v>1</v>
      </c>
      <c r="N501" s="675"/>
      <c r="O501" s="24">
        <f t="shared" si="92"/>
        <v>1</v>
      </c>
      <c r="P501" s="675"/>
      <c r="Q501" s="24">
        <f t="shared" si="93"/>
        <v>1</v>
      </c>
      <c r="R501" s="671">
        <f t="shared" si="94"/>
        <v>0</v>
      </c>
      <c r="S501" s="321">
        <f t="shared" si="95"/>
        <v>0</v>
      </c>
    </row>
    <row r="502" spans="1:19">
      <c r="A502" s="154"/>
      <c r="B502" s="57"/>
      <c r="C502" s="24">
        <f t="shared" si="86"/>
        <v>1</v>
      </c>
      <c r="D502" s="675"/>
      <c r="E502" s="24">
        <f t="shared" si="87"/>
        <v>0.02</v>
      </c>
      <c r="F502" s="675"/>
      <c r="G502" s="24">
        <f t="shared" si="88"/>
        <v>1</v>
      </c>
      <c r="H502" s="675"/>
      <c r="I502" s="24">
        <f t="shared" si="89"/>
        <v>1</v>
      </c>
      <c r="J502" s="675"/>
      <c r="K502" s="24">
        <f t="shared" si="90"/>
        <v>1</v>
      </c>
      <c r="L502" s="675"/>
      <c r="M502" s="24">
        <f t="shared" si="91"/>
        <v>1</v>
      </c>
      <c r="N502" s="675"/>
      <c r="O502" s="24">
        <f t="shared" si="92"/>
        <v>1</v>
      </c>
      <c r="P502" s="675"/>
      <c r="Q502" s="24">
        <f t="shared" si="93"/>
        <v>1</v>
      </c>
      <c r="R502" s="671">
        <f t="shared" si="94"/>
        <v>0</v>
      </c>
      <c r="S502" s="321">
        <f t="shared" si="95"/>
        <v>0</v>
      </c>
    </row>
    <row r="503" spans="1:19">
      <c r="A503" s="154"/>
      <c r="B503" s="57"/>
      <c r="C503" s="24">
        <f t="shared" si="86"/>
        <v>1</v>
      </c>
      <c r="D503" s="675"/>
      <c r="E503" s="24">
        <f t="shared" si="87"/>
        <v>0.02</v>
      </c>
      <c r="F503" s="675"/>
      <c r="G503" s="24">
        <f t="shared" si="88"/>
        <v>1</v>
      </c>
      <c r="H503" s="675"/>
      <c r="I503" s="24">
        <f t="shared" si="89"/>
        <v>1</v>
      </c>
      <c r="J503" s="675"/>
      <c r="K503" s="24">
        <f t="shared" si="90"/>
        <v>1</v>
      </c>
      <c r="L503" s="675"/>
      <c r="M503" s="24">
        <f t="shared" si="91"/>
        <v>1</v>
      </c>
      <c r="N503" s="675"/>
      <c r="O503" s="24">
        <f t="shared" si="92"/>
        <v>1</v>
      </c>
      <c r="P503" s="675"/>
      <c r="Q503" s="24">
        <f t="shared" si="93"/>
        <v>1</v>
      </c>
      <c r="R503" s="671">
        <f t="shared" si="94"/>
        <v>0</v>
      </c>
      <c r="S503" s="321">
        <f t="shared" si="95"/>
        <v>0</v>
      </c>
    </row>
    <row r="504" spans="1:19">
      <c r="A504" s="154"/>
      <c r="B504" s="57"/>
      <c r="C504" s="24">
        <f t="shared" si="86"/>
        <v>1</v>
      </c>
      <c r="D504" s="675"/>
      <c r="E504" s="24">
        <f t="shared" si="87"/>
        <v>0.02</v>
      </c>
      <c r="F504" s="675"/>
      <c r="G504" s="24">
        <f t="shared" si="88"/>
        <v>1</v>
      </c>
      <c r="H504" s="675"/>
      <c r="I504" s="24">
        <f t="shared" si="89"/>
        <v>1</v>
      </c>
      <c r="J504" s="675"/>
      <c r="K504" s="24">
        <f t="shared" si="90"/>
        <v>1</v>
      </c>
      <c r="L504" s="675"/>
      <c r="M504" s="24">
        <f t="shared" si="91"/>
        <v>1</v>
      </c>
      <c r="N504" s="675"/>
      <c r="O504" s="24">
        <f t="shared" si="92"/>
        <v>1</v>
      </c>
      <c r="P504" s="675"/>
      <c r="Q504" s="24">
        <f t="shared" si="93"/>
        <v>1</v>
      </c>
      <c r="R504" s="671">
        <f t="shared" si="94"/>
        <v>0</v>
      </c>
      <c r="S504" s="321">
        <f t="shared" si="95"/>
        <v>0</v>
      </c>
    </row>
    <row r="505" spans="1:19">
      <c r="A505" s="154"/>
      <c r="B505" s="57"/>
      <c r="C505" s="24">
        <f t="shared" si="86"/>
        <v>1</v>
      </c>
      <c r="D505" s="675"/>
      <c r="E505" s="24">
        <f t="shared" si="87"/>
        <v>0.02</v>
      </c>
      <c r="F505" s="675"/>
      <c r="G505" s="24">
        <f t="shared" si="88"/>
        <v>1</v>
      </c>
      <c r="H505" s="675"/>
      <c r="I505" s="24">
        <f t="shared" si="89"/>
        <v>1</v>
      </c>
      <c r="J505" s="675"/>
      <c r="K505" s="24">
        <f t="shared" si="90"/>
        <v>1</v>
      </c>
      <c r="L505" s="675"/>
      <c r="M505" s="24">
        <f t="shared" si="91"/>
        <v>1</v>
      </c>
      <c r="N505" s="675"/>
      <c r="O505" s="24">
        <f t="shared" si="92"/>
        <v>1</v>
      </c>
      <c r="P505" s="675"/>
      <c r="Q505" s="24">
        <f t="shared" si="93"/>
        <v>1</v>
      </c>
      <c r="R505" s="671">
        <f t="shared" si="94"/>
        <v>0</v>
      </c>
      <c r="S505" s="321">
        <f t="shared" si="95"/>
        <v>0</v>
      </c>
    </row>
    <row r="506" spans="1:19">
      <c r="A506" s="154"/>
      <c r="B506" s="57"/>
      <c r="C506" s="24">
        <f t="shared" si="86"/>
        <v>1</v>
      </c>
      <c r="D506" s="675"/>
      <c r="E506" s="24">
        <f t="shared" si="87"/>
        <v>0.02</v>
      </c>
      <c r="F506" s="675"/>
      <c r="G506" s="24">
        <f t="shared" si="88"/>
        <v>1</v>
      </c>
      <c r="H506" s="675"/>
      <c r="I506" s="24">
        <f t="shared" si="89"/>
        <v>1</v>
      </c>
      <c r="J506" s="675"/>
      <c r="K506" s="24">
        <f t="shared" si="90"/>
        <v>1</v>
      </c>
      <c r="L506" s="675"/>
      <c r="M506" s="24">
        <f t="shared" si="91"/>
        <v>1</v>
      </c>
      <c r="N506" s="675"/>
      <c r="O506" s="24">
        <f t="shared" si="92"/>
        <v>1</v>
      </c>
      <c r="P506" s="675"/>
      <c r="Q506" s="24">
        <f t="shared" si="93"/>
        <v>1</v>
      </c>
      <c r="R506" s="671">
        <f t="shared" si="94"/>
        <v>0</v>
      </c>
      <c r="S506" s="321">
        <f t="shared" si="95"/>
        <v>0</v>
      </c>
    </row>
    <row r="507" spans="1:19">
      <c r="A507" s="154"/>
      <c r="B507" s="57"/>
      <c r="C507" s="24">
        <f t="shared" si="86"/>
        <v>1</v>
      </c>
      <c r="D507" s="675"/>
      <c r="E507" s="24">
        <f t="shared" si="87"/>
        <v>0.02</v>
      </c>
      <c r="F507" s="675"/>
      <c r="G507" s="24">
        <f t="shared" si="88"/>
        <v>1</v>
      </c>
      <c r="H507" s="675"/>
      <c r="I507" s="24">
        <f t="shared" si="89"/>
        <v>1</v>
      </c>
      <c r="J507" s="675"/>
      <c r="K507" s="24">
        <f t="shared" si="90"/>
        <v>1</v>
      </c>
      <c r="L507" s="675"/>
      <c r="M507" s="24">
        <f t="shared" si="91"/>
        <v>1</v>
      </c>
      <c r="N507" s="675"/>
      <c r="O507" s="24">
        <f t="shared" si="92"/>
        <v>1</v>
      </c>
      <c r="P507" s="675"/>
      <c r="Q507" s="24">
        <f t="shared" si="93"/>
        <v>1</v>
      </c>
      <c r="R507" s="671">
        <f t="shared" si="94"/>
        <v>0</v>
      </c>
      <c r="S507" s="321">
        <f t="shared" si="95"/>
        <v>0</v>
      </c>
    </row>
    <row r="508" spans="1:19">
      <c r="A508" s="154"/>
      <c r="B508" s="57"/>
      <c r="C508" s="24">
        <f t="shared" si="86"/>
        <v>1</v>
      </c>
      <c r="D508" s="675"/>
      <c r="E508" s="24">
        <f t="shared" si="87"/>
        <v>0.02</v>
      </c>
      <c r="F508" s="675"/>
      <c r="G508" s="24">
        <f t="shared" si="88"/>
        <v>1</v>
      </c>
      <c r="H508" s="675"/>
      <c r="I508" s="24">
        <f t="shared" si="89"/>
        <v>1</v>
      </c>
      <c r="J508" s="675"/>
      <c r="K508" s="24">
        <f t="shared" si="90"/>
        <v>1</v>
      </c>
      <c r="L508" s="675"/>
      <c r="M508" s="24">
        <f t="shared" si="91"/>
        <v>1</v>
      </c>
      <c r="N508" s="675"/>
      <c r="O508" s="24">
        <f t="shared" si="92"/>
        <v>1</v>
      </c>
      <c r="P508" s="675"/>
      <c r="Q508" s="24">
        <f t="shared" si="93"/>
        <v>1</v>
      </c>
      <c r="R508" s="671">
        <f t="shared" si="94"/>
        <v>0</v>
      </c>
      <c r="S508" s="321">
        <f t="shared" si="95"/>
        <v>0</v>
      </c>
    </row>
    <row r="509" spans="1:19">
      <c r="A509" s="154"/>
      <c r="B509" s="57"/>
      <c r="C509" s="24">
        <f t="shared" si="86"/>
        <v>1</v>
      </c>
      <c r="D509" s="675"/>
      <c r="E509" s="24">
        <f t="shared" si="87"/>
        <v>0.02</v>
      </c>
      <c r="F509" s="675"/>
      <c r="G509" s="24">
        <f t="shared" si="88"/>
        <v>1</v>
      </c>
      <c r="H509" s="675"/>
      <c r="I509" s="24">
        <f t="shared" si="89"/>
        <v>1</v>
      </c>
      <c r="J509" s="675"/>
      <c r="K509" s="24">
        <f t="shared" si="90"/>
        <v>1</v>
      </c>
      <c r="L509" s="675"/>
      <c r="M509" s="24">
        <f t="shared" si="91"/>
        <v>1</v>
      </c>
      <c r="N509" s="675"/>
      <c r="O509" s="24">
        <f t="shared" si="92"/>
        <v>1</v>
      </c>
      <c r="P509" s="675"/>
      <c r="Q509" s="24">
        <f t="shared" si="93"/>
        <v>1</v>
      </c>
      <c r="R509" s="671">
        <f t="shared" si="94"/>
        <v>0</v>
      </c>
      <c r="S509" s="321">
        <f t="shared" si="95"/>
        <v>0</v>
      </c>
    </row>
    <row r="510" spans="1:19">
      <c r="A510" s="154"/>
      <c r="B510" s="57"/>
      <c r="C510" s="24">
        <f t="shared" si="86"/>
        <v>1</v>
      </c>
      <c r="D510" s="675"/>
      <c r="E510" s="24">
        <f t="shared" si="87"/>
        <v>0.02</v>
      </c>
      <c r="F510" s="675"/>
      <c r="G510" s="24">
        <f t="shared" si="88"/>
        <v>1</v>
      </c>
      <c r="H510" s="675"/>
      <c r="I510" s="24">
        <f t="shared" si="89"/>
        <v>1</v>
      </c>
      <c r="J510" s="675"/>
      <c r="K510" s="24">
        <f t="shared" si="90"/>
        <v>1</v>
      </c>
      <c r="L510" s="675"/>
      <c r="M510" s="24">
        <f t="shared" si="91"/>
        <v>1</v>
      </c>
      <c r="N510" s="675"/>
      <c r="O510" s="24">
        <f t="shared" si="92"/>
        <v>1</v>
      </c>
      <c r="P510" s="675"/>
      <c r="Q510" s="24">
        <f t="shared" si="93"/>
        <v>1</v>
      </c>
      <c r="R510" s="671">
        <f t="shared" si="94"/>
        <v>0</v>
      </c>
      <c r="S510" s="321">
        <f t="shared" si="95"/>
        <v>0</v>
      </c>
    </row>
    <row r="511" spans="1:19">
      <c r="A511" s="154"/>
      <c r="B511" s="57"/>
      <c r="C511" s="24">
        <f t="shared" si="86"/>
        <v>1</v>
      </c>
      <c r="D511" s="675"/>
      <c r="E511" s="24">
        <f t="shared" si="87"/>
        <v>0.02</v>
      </c>
      <c r="F511" s="675"/>
      <c r="G511" s="24">
        <f t="shared" si="88"/>
        <v>1</v>
      </c>
      <c r="H511" s="675"/>
      <c r="I511" s="24">
        <f t="shared" si="89"/>
        <v>1</v>
      </c>
      <c r="J511" s="675"/>
      <c r="K511" s="24">
        <f t="shared" si="90"/>
        <v>1</v>
      </c>
      <c r="L511" s="675"/>
      <c r="M511" s="24">
        <f t="shared" si="91"/>
        <v>1</v>
      </c>
      <c r="N511" s="675"/>
      <c r="O511" s="24">
        <f t="shared" si="92"/>
        <v>1</v>
      </c>
      <c r="P511" s="675"/>
      <c r="Q511" s="24">
        <f t="shared" si="93"/>
        <v>1</v>
      </c>
      <c r="R511" s="671">
        <f t="shared" si="94"/>
        <v>0</v>
      </c>
      <c r="S511" s="321">
        <f t="shared" si="95"/>
        <v>0</v>
      </c>
    </row>
    <row r="512" spans="1:19">
      <c r="A512" s="154"/>
      <c r="B512" s="57"/>
      <c r="C512" s="24">
        <f t="shared" si="86"/>
        <v>1</v>
      </c>
      <c r="D512" s="675"/>
      <c r="E512" s="24">
        <f t="shared" si="87"/>
        <v>0.02</v>
      </c>
      <c r="F512" s="675"/>
      <c r="G512" s="24">
        <f t="shared" si="88"/>
        <v>1</v>
      </c>
      <c r="H512" s="675"/>
      <c r="I512" s="24">
        <f t="shared" si="89"/>
        <v>1</v>
      </c>
      <c r="J512" s="675"/>
      <c r="K512" s="24">
        <f t="shared" si="90"/>
        <v>1</v>
      </c>
      <c r="L512" s="675"/>
      <c r="M512" s="24">
        <f t="shared" si="91"/>
        <v>1</v>
      </c>
      <c r="N512" s="675"/>
      <c r="O512" s="24">
        <f t="shared" si="92"/>
        <v>1</v>
      </c>
      <c r="P512" s="675"/>
      <c r="Q512" s="24">
        <f t="shared" si="93"/>
        <v>1</v>
      </c>
      <c r="R512" s="671">
        <f t="shared" si="94"/>
        <v>0</v>
      </c>
      <c r="S512" s="321">
        <f t="shared" si="95"/>
        <v>0</v>
      </c>
    </row>
    <row r="513" spans="1:19">
      <c r="A513" s="154"/>
      <c r="B513" s="57"/>
      <c r="C513" s="24">
        <f t="shared" si="86"/>
        <v>1</v>
      </c>
      <c r="D513" s="675"/>
      <c r="E513" s="24">
        <f t="shared" si="87"/>
        <v>0.02</v>
      </c>
      <c r="F513" s="675"/>
      <c r="G513" s="24">
        <f t="shared" si="88"/>
        <v>1</v>
      </c>
      <c r="H513" s="675"/>
      <c r="I513" s="24">
        <f t="shared" si="89"/>
        <v>1</v>
      </c>
      <c r="J513" s="675"/>
      <c r="K513" s="24">
        <f t="shared" si="90"/>
        <v>1</v>
      </c>
      <c r="L513" s="675"/>
      <c r="M513" s="24">
        <f t="shared" si="91"/>
        <v>1</v>
      </c>
      <c r="N513" s="675"/>
      <c r="O513" s="24">
        <f t="shared" si="92"/>
        <v>1</v>
      </c>
      <c r="P513" s="675"/>
      <c r="Q513" s="24">
        <f t="shared" si="93"/>
        <v>1</v>
      </c>
      <c r="R513" s="671">
        <f t="shared" si="94"/>
        <v>0</v>
      </c>
      <c r="S513" s="321">
        <f t="shared" si="95"/>
        <v>0</v>
      </c>
    </row>
    <row r="514" spans="1:19">
      <c r="A514" s="154"/>
      <c r="B514" s="57"/>
      <c r="C514" s="24">
        <f t="shared" si="86"/>
        <v>1</v>
      </c>
      <c r="D514" s="675"/>
      <c r="E514" s="24">
        <f t="shared" si="87"/>
        <v>0.02</v>
      </c>
      <c r="F514" s="675"/>
      <c r="G514" s="24">
        <f t="shared" si="88"/>
        <v>1</v>
      </c>
      <c r="H514" s="675"/>
      <c r="I514" s="24">
        <f t="shared" si="89"/>
        <v>1</v>
      </c>
      <c r="J514" s="675"/>
      <c r="K514" s="24">
        <f t="shared" si="90"/>
        <v>1</v>
      </c>
      <c r="L514" s="675"/>
      <c r="M514" s="24">
        <f t="shared" si="91"/>
        <v>1</v>
      </c>
      <c r="N514" s="675"/>
      <c r="O514" s="24">
        <f t="shared" si="92"/>
        <v>1</v>
      </c>
      <c r="P514" s="675"/>
      <c r="Q514" s="24">
        <f t="shared" si="93"/>
        <v>1</v>
      </c>
      <c r="R514" s="671">
        <f t="shared" si="94"/>
        <v>0</v>
      </c>
      <c r="S514" s="321">
        <f t="shared" si="95"/>
        <v>0</v>
      </c>
    </row>
    <row r="515" spans="1:19">
      <c r="A515" s="154"/>
      <c r="B515" s="57"/>
      <c r="C515" s="24">
        <f t="shared" si="86"/>
        <v>1</v>
      </c>
      <c r="D515" s="675"/>
      <c r="E515" s="24">
        <f t="shared" si="87"/>
        <v>0.02</v>
      </c>
      <c r="F515" s="675"/>
      <c r="G515" s="24">
        <f t="shared" si="88"/>
        <v>1</v>
      </c>
      <c r="H515" s="675"/>
      <c r="I515" s="24">
        <f t="shared" si="89"/>
        <v>1</v>
      </c>
      <c r="J515" s="675"/>
      <c r="K515" s="24">
        <f t="shared" si="90"/>
        <v>1</v>
      </c>
      <c r="L515" s="675"/>
      <c r="M515" s="24">
        <f t="shared" si="91"/>
        <v>1</v>
      </c>
      <c r="N515" s="675"/>
      <c r="O515" s="24">
        <f t="shared" si="92"/>
        <v>1</v>
      </c>
      <c r="P515" s="675"/>
      <c r="Q515" s="24">
        <f t="shared" si="93"/>
        <v>1</v>
      </c>
      <c r="R515" s="671">
        <f t="shared" si="94"/>
        <v>0</v>
      </c>
      <c r="S515" s="321">
        <f t="shared" si="95"/>
        <v>0</v>
      </c>
    </row>
    <row r="516" spans="1:19">
      <c r="A516" s="154"/>
      <c r="B516" s="57"/>
      <c r="C516" s="24">
        <f t="shared" si="86"/>
        <v>1</v>
      </c>
      <c r="D516" s="675"/>
      <c r="E516" s="24">
        <f t="shared" si="87"/>
        <v>0.02</v>
      </c>
      <c r="F516" s="675"/>
      <c r="G516" s="24">
        <f t="shared" si="88"/>
        <v>1</v>
      </c>
      <c r="H516" s="675"/>
      <c r="I516" s="24">
        <f t="shared" si="89"/>
        <v>1</v>
      </c>
      <c r="J516" s="675"/>
      <c r="K516" s="24">
        <f t="shared" si="90"/>
        <v>1</v>
      </c>
      <c r="L516" s="675"/>
      <c r="M516" s="24">
        <f t="shared" si="91"/>
        <v>1</v>
      </c>
      <c r="N516" s="675"/>
      <c r="O516" s="24">
        <f t="shared" si="92"/>
        <v>1</v>
      </c>
      <c r="P516" s="675"/>
      <c r="Q516" s="24">
        <f t="shared" si="93"/>
        <v>1</v>
      </c>
      <c r="R516" s="671">
        <f t="shared" si="94"/>
        <v>0</v>
      </c>
      <c r="S516" s="321">
        <f t="shared" si="95"/>
        <v>0</v>
      </c>
    </row>
    <row r="517" spans="1:19">
      <c r="A517" s="154"/>
      <c r="B517" s="57"/>
      <c r="C517" s="24">
        <f t="shared" si="86"/>
        <v>1</v>
      </c>
      <c r="D517" s="675"/>
      <c r="E517" s="24">
        <f t="shared" si="87"/>
        <v>0.02</v>
      </c>
      <c r="F517" s="675"/>
      <c r="G517" s="24">
        <f t="shared" si="88"/>
        <v>1</v>
      </c>
      <c r="H517" s="675"/>
      <c r="I517" s="24">
        <f t="shared" si="89"/>
        <v>1</v>
      </c>
      <c r="J517" s="675"/>
      <c r="K517" s="24">
        <f t="shared" si="90"/>
        <v>1</v>
      </c>
      <c r="L517" s="675"/>
      <c r="M517" s="24">
        <f t="shared" si="91"/>
        <v>1</v>
      </c>
      <c r="N517" s="675"/>
      <c r="O517" s="24">
        <f t="shared" si="92"/>
        <v>1</v>
      </c>
      <c r="P517" s="675"/>
      <c r="Q517" s="24">
        <f t="shared" si="93"/>
        <v>1</v>
      </c>
      <c r="R517" s="671">
        <f t="shared" si="94"/>
        <v>0</v>
      </c>
      <c r="S517" s="321">
        <f t="shared" si="95"/>
        <v>0</v>
      </c>
    </row>
    <row r="518" spans="1:19">
      <c r="A518" s="154"/>
      <c r="B518" s="57"/>
      <c r="C518" s="24">
        <f t="shared" si="86"/>
        <v>1</v>
      </c>
      <c r="D518" s="675"/>
      <c r="E518" s="24">
        <f t="shared" si="87"/>
        <v>0.02</v>
      </c>
      <c r="F518" s="675"/>
      <c r="G518" s="24">
        <f t="shared" si="88"/>
        <v>1</v>
      </c>
      <c r="H518" s="675"/>
      <c r="I518" s="24">
        <f t="shared" si="89"/>
        <v>1</v>
      </c>
      <c r="J518" s="675"/>
      <c r="K518" s="24">
        <f t="shared" si="90"/>
        <v>1</v>
      </c>
      <c r="L518" s="675"/>
      <c r="M518" s="24">
        <f t="shared" si="91"/>
        <v>1</v>
      </c>
      <c r="N518" s="675"/>
      <c r="O518" s="24">
        <f t="shared" si="92"/>
        <v>1</v>
      </c>
      <c r="P518" s="675"/>
      <c r="Q518" s="24">
        <f t="shared" si="93"/>
        <v>1</v>
      </c>
      <c r="R518" s="671">
        <f t="shared" si="94"/>
        <v>0</v>
      </c>
      <c r="S518" s="321">
        <f t="shared" si="95"/>
        <v>0</v>
      </c>
    </row>
    <row r="519" spans="1:19">
      <c r="A519" s="154"/>
      <c r="B519" s="57"/>
      <c r="C519" s="24">
        <f t="shared" si="86"/>
        <v>1</v>
      </c>
      <c r="D519" s="675"/>
      <c r="E519" s="24">
        <f t="shared" si="87"/>
        <v>0.02</v>
      </c>
      <c r="F519" s="675"/>
      <c r="G519" s="24">
        <f t="shared" si="88"/>
        <v>1</v>
      </c>
      <c r="H519" s="675"/>
      <c r="I519" s="24">
        <f t="shared" si="89"/>
        <v>1</v>
      </c>
      <c r="J519" s="675"/>
      <c r="K519" s="24">
        <f t="shared" si="90"/>
        <v>1</v>
      </c>
      <c r="L519" s="675"/>
      <c r="M519" s="24">
        <f t="shared" si="91"/>
        <v>1</v>
      </c>
      <c r="N519" s="675"/>
      <c r="O519" s="24">
        <f t="shared" si="92"/>
        <v>1</v>
      </c>
      <c r="P519" s="675"/>
      <c r="Q519" s="24">
        <f t="shared" si="93"/>
        <v>1</v>
      </c>
      <c r="R519" s="671">
        <f t="shared" si="94"/>
        <v>0</v>
      </c>
      <c r="S519" s="321">
        <f t="shared" si="95"/>
        <v>0</v>
      </c>
    </row>
    <row r="520" spans="1:19">
      <c r="A520" s="154"/>
      <c r="B520" s="57"/>
      <c r="C520" s="24">
        <f t="shared" si="86"/>
        <v>1</v>
      </c>
      <c r="D520" s="675"/>
      <c r="E520" s="24">
        <f t="shared" si="87"/>
        <v>0.02</v>
      </c>
      <c r="F520" s="675"/>
      <c r="G520" s="24">
        <f t="shared" si="88"/>
        <v>1</v>
      </c>
      <c r="H520" s="675"/>
      <c r="I520" s="24">
        <f t="shared" si="89"/>
        <v>1</v>
      </c>
      <c r="J520" s="675"/>
      <c r="K520" s="24">
        <f t="shared" si="90"/>
        <v>1</v>
      </c>
      <c r="L520" s="675"/>
      <c r="M520" s="24">
        <f t="shared" si="91"/>
        <v>1</v>
      </c>
      <c r="N520" s="675"/>
      <c r="O520" s="24">
        <f t="shared" si="92"/>
        <v>1</v>
      </c>
      <c r="P520" s="675"/>
      <c r="Q520" s="24">
        <f t="shared" si="93"/>
        <v>1</v>
      </c>
      <c r="R520" s="671">
        <f t="shared" si="94"/>
        <v>0</v>
      </c>
      <c r="S520" s="321">
        <f t="shared" si="95"/>
        <v>0</v>
      </c>
    </row>
    <row r="521" spans="1:19">
      <c r="A521" s="154"/>
      <c r="B521" s="57"/>
      <c r="C521" s="24">
        <f t="shared" si="86"/>
        <v>1</v>
      </c>
      <c r="D521" s="675"/>
      <c r="E521" s="24">
        <f t="shared" si="87"/>
        <v>0.02</v>
      </c>
      <c r="F521" s="675"/>
      <c r="G521" s="24">
        <f t="shared" si="88"/>
        <v>1</v>
      </c>
      <c r="H521" s="675"/>
      <c r="I521" s="24">
        <f t="shared" si="89"/>
        <v>1</v>
      </c>
      <c r="J521" s="675"/>
      <c r="K521" s="24">
        <f t="shared" si="90"/>
        <v>1</v>
      </c>
      <c r="L521" s="675"/>
      <c r="M521" s="24">
        <f t="shared" si="91"/>
        <v>1</v>
      </c>
      <c r="N521" s="675"/>
      <c r="O521" s="24">
        <f t="shared" si="92"/>
        <v>1</v>
      </c>
      <c r="P521" s="675"/>
      <c r="Q521" s="24">
        <f t="shared" si="93"/>
        <v>1</v>
      </c>
      <c r="R521" s="671">
        <f t="shared" si="94"/>
        <v>0</v>
      </c>
      <c r="S521" s="321">
        <f t="shared" si="95"/>
        <v>0</v>
      </c>
    </row>
    <row r="522" spans="1:19">
      <c r="A522" s="154"/>
      <c r="B522" s="57"/>
      <c r="C522" s="24">
        <f t="shared" si="86"/>
        <v>1</v>
      </c>
      <c r="D522" s="675"/>
      <c r="E522" s="24">
        <f t="shared" si="87"/>
        <v>0.02</v>
      </c>
      <c r="F522" s="675"/>
      <c r="G522" s="24">
        <f t="shared" si="88"/>
        <v>1</v>
      </c>
      <c r="H522" s="675"/>
      <c r="I522" s="24">
        <f t="shared" si="89"/>
        <v>1</v>
      </c>
      <c r="J522" s="675"/>
      <c r="K522" s="24">
        <f t="shared" si="90"/>
        <v>1</v>
      </c>
      <c r="L522" s="675"/>
      <c r="M522" s="24">
        <f t="shared" si="91"/>
        <v>1</v>
      </c>
      <c r="N522" s="675"/>
      <c r="O522" s="24">
        <f t="shared" si="92"/>
        <v>1</v>
      </c>
      <c r="P522" s="675"/>
      <c r="Q522" s="24">
        <f t="shared" si="93"/>
        <v>1</v>
      </c>
      <c r="R522" s="671">
        <f t="shared" si="94"/>
        <v>0</v>
      </c>
      <c r="S522" s="321">
        <f t="shared" si="95"/>
        <v>0</v>
      </c>
    </row>
    <row r="523" spans="1:19">
      <c r="A523" s="154"/>
      <c r="B523" s="57"/>
      <c r="C523" s="24">
        <f t="shared" si="86"/>
        <v>1</v>
      </c>
      <c r="D523" s="675"/>
      <c r="E523" s="24">
        <f t="shared" si="87"/>
        <v>0.02</v>
      </c>
      <c r="F523" s="675"/>
      <c r="G523" s="24">
        <f t="shared" si="88"/>
        <v>1</v>
      </c>
      <c r="H523" s="675"/>
      <c r="I523" s="24">
        <f t="shared" si="89"/>
        <v>1</v>
      </c>
      <c r="J523" s="675"/>
      <c r="K523" s="24">
        <f t="shared" si="90"/>
        <v>1</v>
      </c>
      <c r="L523" s="675"/>
      <c r="M523" s="24">
        <f t="shared" si="91"/>
        <v>1</v>
      </c>
      <c r="N523" s="675"/>
      <c r="O523" s="24">
        <f t="shared" si="92"/>
        <v>1</v>
      </c>
      <c r="P523" s="675"/>
      <c r="Q523" s="24">
        <f t="shared" si="93"/>
        <v>1</v>
      </c>
      <c r="R523" s="671">
        <f t="shared" si="94"/>
        <v>0</v>
      </c>
      <c r="S523" s="321">
        <f t="shared" si="95"/>
        <v>0</v>
      </c>
    </row>
    <row r="524" spans="1:19">
      <c r="A524" s="154"/>
      <c r="B524" s="57"/>
      <c r="C524" s="24">
        <f t="shared" si="86"/>
        <v>1</v>
      </c>
      <c r="D524" s="675"/>
      <c r="E524" s="24">
        <f t="shared" si="87"/>
        <v>0.02</v>
      </c>
      <c r="F524" s="675"/>
      <c r="G524" s="24">
        <f t="shared" si="88"/>
        <v>1</v>
      </c>
      <c r="H524" s="675"/>
      <c r="I524" s="24">
        <f t="shared" si="89"/>
        <v>1</v>
      </c>
      <c r="J524" s="675"/>
      <c r="K524" s="24">
        <f t="shared" si="90"/>
        <v>1</v>
      </c>
      <c r="L524" s="675"/>
      <c r="M524" s="24">
        <f t="shared" si="91"/>
        <v>1</v>
      </c>
      <c r="N524" s="675"/>
      <c r="O524" s="24">
        <f t="shared" si="92"/>
        <v>1</v>
      </c>
      <c r="P524" s="675"/>
      <c r="Q524" s="24">
        <f t="shared" si="93"/>
        <v>1</v>
      </c>
      <c r="R524" s="671">
        <f t="shared" si="94"/>
        <v>0</v>
      </c>
      <c r="S524" s="321">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受贵公司委托，我公司对北京市亿利生态广场房地产抵押价值进行了预评估。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估价对象为北京市亿利生态广场房地产，为所有。根据《国有土地使用证》[]，估价对象（分摊）出让国有建设用地使用权面积为4399.12平方米，建筑面积为15279.68平方米。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估价对象为北京市亿利生态广场房地产,属开发建设的，该项目尚在开发建设中。根据《国有土地使用证》[]，估价对象（分摊）出让国有建设用地使用权面积为4399.12平方米，规划建筑面积为15279.68平方米。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2020年9月14日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本次评估采用的主估价方法为比较法和收益法。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27</v>
      </c>
      <c r="D1" s="1547" t="s">
        <v>70</v>
      </c>
      <c r="E1" s="1548" t="s">
        <v>1352</v>
      </c>
      <c r="F1" s="1192" t="e">
        <f ca="1">J53</f>
        <v>#N/A</v>
      </c>
      <c r="G1" s="1563"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t="e">
        <f ca="1">C6+C10+C12</f>
        <v>#N/A</v>
      </c>
      <c r="D5" s="1549" t="s">
        <v>1367</v>
      </c>
      <c r="E5" s="1202"/>
      <c r="F5" s="1203"/>
      <c r="G5" s="1569"/>
      <c r="H5" s="304">
        <v>1</v>
      </c>
      <c r="I5" s="305" t="s">
        <v>1366</v>
      </c>
      <c r="J5" s="1201" t="e">
        <f ca="1">J6+J10+J12</f>
        <v>#N/A</v>
      </c>
      <c r="K5" s="1549" t="s">
        <v>1367</v>
      </c>
      <c r="L5" s="1202"/>
      <c r="M5" s="1203"/>
    </row>
    <row r="6" spans="1:37" ht="18" customHeight="1">
      <c r="A6" s="1200" t="s">
        <v>1003</v>
      </c>
      <c r="B6" s="3366" t="s">
        <v>1368</v>
      </c>
      <c r="C6" s="1205" t="e">
        <f ca="1">ROUND(F6*F8*F7*(1-F9)/10000,0)</f>
        <v>#N/A</v>
      </c>
      <c r="D6" s="159" t="s">
        <v>2849</v>
      </c>
      <c r="E6" s="307" t="s">
        <v>1370</v>
      </c>
      <c r="F6" s="308" t="e">
        <f ca="1">INDIRECT("'数据-取费表'!u"&amp;$G$1)</f>
        <v>#N/A</v>
      </c>
      <c r="G6" s="1569"/>
      <c r="H6" s="1200" t="s">
        <v>1003</v>
      </c>
      <c r="I6" s="3366" t="s">
        <v>1368</v>
      </c>
      <c r="J6" s="306" t="e">
        <f ca="1">ROUND(M6*M8*M7*(1-M9)/10000,0)</f>
        <v>#N/A</v>
      </c>
      <c r="K6" s="159" t="s">
        <v>2848</v>
      </c>
      <c r="L6" s="307" t="s">
        <v>1370</v>
      </c>
      <c r="M6" s="308" t="e">
        <f ca="1">INDIRECT("'数据-取费表'!z"&amp;$G$1)</f>
        <v>#N/A</v>
      </c>
    </row>
    <row r="7" spans="1:37" ht="18" customHeight="1">
      <c r="A7" s="1204"/>
      <c r="B7" s="3367"/>
      <c r="C7" s="1206"/>
      <c r="D7" s="312"/>
      <c r="E7" s="3040" t="s">
        <v>1371</v>
      </c>
      <c r="F7" s="308" t="e">
        <f ca="1">IF(INDIRECT("'数据-取费表'!ah"&amp;$G$1)="",INDIRECT("'数据-取费表'!k"&amp;$G$1),INDIRECT("'数据-取费表'!ah"&amp;$G$1))</f>
        <v>#N/A</v>
      </c>
      <c r="G7" s="1569"/>
      <c r="H7" s="309"/>
      <c r="I7" s="3367"/>
      <c r="J7" s="311"/>
      <c r="K7" s="312"/>
      <c r="L7" s="307" t="s">
        <v>1371</v>
      </c>
      <c r="M7" s="308" t="e">
        <f ca="1">F7</f>
        <v>#N/A</v>
      </c>
    </row>
    <row r="8" spans="1:37" ht="18" customHeight="1">
      <c r="A8" s="309"/>
      <c r="B8" s="3367"/>
      <c r="C8" s="311"/>
      <c r="D8" s="312"/>
      <c r="E8" s="307" t="s">
        <v>1372</v>
      </c>
      <c r="F8" s="308" t="e">
        <f ca="1">INDIRECT("'数据-取费表'!ai"&amp;$G$1)</f>
        <v>#N/A</v>
      </c>
      <c r="G8" s="1569"/>
      <c r="H8" s="309"/>
      <c r="I8" s="3367"/>
      <c r="J8" s="311"/>
      <c r="K8" s="312"/>
      <c r="L8" s="307" t="s">
        <v>1372</v>
      </c>
      <c r="M8" s="308" t="e">
        <f ca="1">INDIRECT("'数据-取费表'!ai"&amp;$G$1)</f>
        <v>#N/A</v>
      </c>
    </row>
    <row r="9" spans="1:37" ht="18" customHeight="1">
      <c r="A9" s="309"/>
      <c r="B9" s="3368"/>
      <c r="C9" s="311"/>
      <c r="D9" s="312"/>
      <c r="E9" s="307" t="s">
        <v>1373</v>
      </c>
      <c r="F9" s="317" t="e">
        <f ca="1">INDIRECT("'数据-取费表'!w"&amp;$G$1)</f>
        <v>#N/A</v>
      </c>
      <c r="G9" s="1569"/>
      <c r="H9" s="309"/>
      <c r="I9" s="3368"/>
      <c r="J9" s="311"/>
      <c r="K9" s="312"/>
      <c r="L9" s="318" t="s">
        <v>1373</v>
      </c>
      <c r="M9" s="319" t="e">
        <f ca="1">INDIRECT("'数据-取费表'!ab"&amp;$G$1)</f>
        <v>#N/A</v>
      </c>
    </row>
    <row r="10" spans="1:37" ht="18" customHeight="1">
      <c r="A10" s="1200" t="s">
        <v>1007</v>
      </c>
      <c r="B10" s="1550" t="s">
        <v>1374</v>
      </c>
      <c r="C10" s="321" t="e">
        <f ca="1">ROUND(IF(F10="押一",C6/12*F11,IF(F10="押二",C6/12*2*F11,IF(F10="押三",C6/12*3*F11,C11*F11))),0)</f>
        <v>#N/A</v>
      </c>
      <c r="D10" s="1551" t="s">
        <v>2856</v>
      </c>
      <c r="E10" s="318" t="s">
        <v>1375</v>
      </c>
      <c r="F10" s="1275" t="s">
        <v>3099</v>
      </c>
      <c r="G10" s="1569"/>
      <c r="H10" s="1200" t="s">
        <v>1007</v>
      </c>
      <c r="I10" s="1550" t="s">
        <v>1374</v>
      </c>
      <c r="J10" s="306" t="e">
        <f ca="1">ROUND(IF(M10="押一",J6/12*M11,IF(M10="押二",J6/12*2*M11,IF(M10="押三",J6/12*3*M11,J11*M11))),0)</f>
        <v>#N/A</v>
      </c>
      <c r="K10" s="1551" t="s">
        <v>2856</v>
      </c>
      <c r="L10" s="318" t="s">
        <v>1375</v>
      </c>
      <c r="M10" s="1275" t="s">
        <v>3099</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t="e">
        <f ca="1">ROUND(C29*F13,0)</f>
        <v>#N/A</v>
      </c>
      <c r="D13" s="3037" t="s">
        <v>1380</v>
      </c>
      <c r="E13" s="3037"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7" t="s">
        <v>1382</v>
      </c>
      <c r="C14" s="323" t="e">
        <f ca="1">INDIRECT("'数据-取费表'!m"&amp;$G$1)+INDIRECT("'数据-取费表'!t"&amp;$G$1)</f>
        <v>#N/A</v>
      </c>
      <c r="D14" s="3046" t="s">
        <v>1383</v>
      </c>
      <c r="E14" s="3045"/>
      <c r="F14" s="324"/>
      <c r="G14" s="1569"/>
      <c r="H14" s="1112" t="s">
        <v>1003</v>
      </c>
      <c r="I14" s="307" t="s">
        <v>1384</v>
      </c>
      <c r="J14" s="24" t="e">
        <f ca="1">C29</f>
        <v>#N/A</v>
      </c>
      <c r="K14" s="3039"/>
      <c r="L14" s="915"/>
      <c r="M14" s="916"/>
    </row>
    <row r="15" spans="1:37" s="1582" customFormat="1" ht="18" customHeight="1" thickBot="1">
      <c r="A15" s="1112" t="s">
        <v>1004</v>
      </c>
      <c r="B15" s="307" t="s">
        <v>1385</v>
      </c>
      <c r="C15" s="24" t="e">
        <f ca="1">ROUND(C14*F15,0)</f>
        <v>#N/A</v>
      </c>
      <c r="D15" s="3038" t="s">
        <v>1386</v>
      </c>
      <c r="E15" s="3038" t="s">
        <v>1387</v>
      </c>
      <c r="F15" s="326">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9"/>
      <c r="H16" s="1238" t="s">
        <v>998</v>
      </c>
      <c r="I16" s="1239" t="s">
        <v>1389</v>
      </c>
      <c r="J16" s="315" t="e">
        <f ca="1">ROUND(J17+J22+J23+J24,0)</f>
        <v>#N/A</v>
      </c>
      <c r="K16" s="1246" t="s">
        <v>1390</v>
      </c>
      <c r="L16" s="3048"/>
      <c r="M16" s="1203"/>
    </row>
    <row r="17" spans="1:37" s="1582" customFormat="1" ht="18" customHeight="1">
      <c r="A17" s="1112" t="s">
        <v>1355</v>
      </c>
      <c r="B17" s="307" t="s">
        <v>1391</v>
      </c>
      <c r="C17" s="24" t="e">
        <f ca="1">ROUND(F17*(F43+INDIRECT("'数据-取费表'!S"&amp;$G$1))/10000,0)</f>
        <v>#N/A</v>
      </c>
      <c r="D17" s="307" t="s">
        <v>1392</v>
      </c>
      <c r="E17" s="307" t="s">
        <v>1393</v>
      </c>
      <c r="F17" s="26">
        <f>'数据-取费表'!B35</f>
        <v>150</v>
      </c>
      <c r="G17" s="1581"/>
      <c r="H17" s="1112" t="s">
        <v>1003</v>
      </c>
      <c r="I17" s="307" t="s">
        <v>1394</v>
      </c>
      <c r="J17" s="2535" t="e">
        <f ca="1">ROUND(IF(AND(项目基本情况!B11="自然人",项目基本情况!B10="北京市"),J6*M17/(1+'数据-取费表'!C42),J18+J19+J20),0)</f>
        <v>#N/A</v>
      </c>
      <c r="K17" s="3046" t="s">
        <v>1395</v>
      </c>
      <c r="L17" s="304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t="e">
        <f ca="1">ROUND(C14*F18,0)</f>
        <v>#N/A</v>
      </c>
      <c r="D18" s="307" t="s">
        <v>1386</v>
      </c>
      <c r="E18" s="307" t="s">
        <v>1387</v>
      </c>
      <c r="F18" s="327">
        <f>'数据-取费表'!B36</f>
        <v>1.4999999999999999E-2</v>
      </c>
      <c r="G18" s="1581"/>
      <c r="H18" s="1112" t="s">
        <v>1002</v>
      </c>
      <c r="I18" s="307" t="s">
        <v>1398</v>
      </c>
      <c r="J18" s="24" t="e">
        <f ca="1">ROUND(J6*M18/(1+'数据-取费表'!C42),2)</f>
        <v>#N/A</v>
      </c>
      <c r="K18" s="3047"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t="e">
        <f ca="1">SUM(C14:C18)</f>
        <v>#N/A</v>
      </c>
      <c r="D19" s="135" t="s">
        <v>1401</v>
      </c>
      <c r="E19" s="3058"/>
      <c r="F19" s="26"/>
      <c r="G19" s="1569"/>
      <c r="H19" s="1112" t="s">
        <v>1004</v>
      </c>
      <c r="I19" s="307" t="s">
        <v>1402</v>
      </c>
      <c r="J19" s="24" t="e">
        <f ca="1">IF(K19="按租金收入计税",ROUND(J6*M19/(1+'数据-取费表'!C42),2),ROUND(C29*M19*0.7,2))</f>
        <v>#N/A</v>
      </c>
      <c r="K19" s="1555" t="s">
        <v>3100</v>
      </c>
      <c r="L19" s="307" t="s">
        <v>1387</v>
      </c>
      <c r="M19" s="327">
        <f>IF(K19="按租金收入计税",'数据-取费表'!B51,'数据-取费表'!B50)</f>
        <v>0.12</v>
      </c>
    </row>
    <row r="20" spans="1:37" s="1582" customFormat="1" ht="18" customHeight="1">
      <c r="A20" s="1112" t="s">
        <v>1007</v>
      </c>
      <c r="B20" s="307" t="s">
        <v>1404</v>
      </c>
      <c r="C20" s="24" t="e">
        <f ca="1">ROUND(C19*F20,0)</f>
        <v>#N/A</v>
      </c>
      <c r="D20" s="328" t="s">
        <v>1405</v>
      </c>
      <c r="E20" s="307" t="s">
        <v>1387</v>
      </c>
      <c r="F20" s="327">
        <f>'数据-取费表'!B37</f>
        <v>0.02</v>
      </c>
      <c r="G20" s="1581"/>
      <c r="H20" s="1112" t="s">
        <v>1354</v>
      </c>
      <c r="I20" s="159" t="s">
        <v>1406</v>
      </c>
      <c r="J20" s="25" t="e">
        <f ca="1">ROUND(M20*M21/10000,2)</f>
        <v>#N/A</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0.02</v>
      </c>
      <c r="G21" s="1581"/>
      <c r="H21" s="331"/>
      <c r="I21" s="316"/>
      <c r="J21" s="29"/>
      <c r="K21" s="332"/>
      <c r="L21" s="307" t="s">
        <v>1412</v>
      </c>
      <c r="M21" s="308"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8"/>
      <c r="F22" s="26"/>
      <c r="G22" s="1569"/>
      <c r="H22" s="1112" t="s">
        <v>1007</v>
      </c>
      <c r="I22" s="307" t="s">
        <v>1414</v>
      </c>
      <c r="J22" s="24" t="e">
        <f ca="1">ROUND(J14*M22,1)</f>
        <v>#N/A</v>
      </c>
      <c r="K22" s="3047" t="s">
        <v>1415</v>
      </c>
      <c r="L22" s="307" t="s">
        <v>1387</v>
      </c>
      <c r="M22" s="333" t="e">
        <f ca="1">INDIRECT("'数据-取费表'!Ak"&amp;$G$1)</f>
        <v>#N/A</v>
      </c>
    </row>
    <row r="23" spans="1:37" s="1582"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t="e">
        <f ca="1">ROUND(J13*M23,1)</f>
        <v>#N/A</v>
      </c>
      <c r="K23" s="3047" t="s">
        <v>1419</v>
      </c>
      <c r="L23" s="307" t="s">
        <v>1387</v>
      </c>
      <c r="M23" s="335"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1004</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1357</v>
      </c>
      <c r="I24" s="1249" t="s">
        <v>1404</v>
      </c>
      <c r="J24" s="1250" t="e">
        <f ca="1">ROUND(J5*M24,1)</f>
        <v>#N/A</v>
      </c>
      <c r="K24" s="1251" t="s">
        <v>1424</v>
      </c>
      <c r="L24" s="1249" t="s">
        <v>1387</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3058"/>
      <c r="F25" s="26"/>
      <c r="G25" s="1569"/>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9"/>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038"/>
      <c r="F27" s="326"/>
      <c r="G27" s="1569"/>
      <c r="H27" s="309"/>
      <c r="I27" s="310"/>
      <c r="J27" s="311"/>
      <c r="K27" s="337" t="s">
        <v>1438</v>
      </c>
      <c r="L27" s="307" t="s">
        <v>1439</v>
      </c>
      <c r="M27" s="338" t="e">
        <f ca="1">INDIRECT("'数据-取费表'!ag"&amp;$G$1)</f>
        <v>#N/A</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39" t="s">
        <v>1001</v>
      </c>
      <c r="I29" s="340" t="s">
        <v>1444</v>
      </c>
      <c r="J29" s="341" t="e">
        <f ca="1">ROUND(J26/(1+F40)^F41,0)</f>
        <v>#N/A</v>
      </c>
      <c r="K29" s="342" t="s">
        <v>1445</v>
      </c>
      <c r="L29" s="343"/>
      <c r="M29" s="344"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t="e">
        <f ca="1">ROUND(C31+C36+C37+C38,0)</f>
        <v>#N/A</v>
      </c>
      <c r="D30" s="1246" t="s">
        <v>1390</v>
      </c>
      <c r="E30" s="3048"/>
      <c r="F30" s="1203"/>
      <c r="G30" s="1569"/>
      <c r="H30" s="2923"/>
      <c r="I30" s="1583"/>
      <c r="J30" s="1584"/>
      <c r="K30" s="2700"/>
      <c r="L30" s="2924"/>
      <c r="M30" s="2925"/>
    </row>
    <row r="31" spans="1:37" ht="18" customHeight="1">
      <c r="A31" s="1112" t="s">
        <v>1003</v>
      </c>
      <c r="B31" s="307" t="s">
        <v>1394</v>
      </c>
      <c r="C31" s="2535" t="e">
        <f ca="1">ROUND(IF(AND(项目基本情况!B11="自然人",项目基本情况!B10="北京市"),C6*F31/(1+'数据-取费表'!C42),C32+C33+C34),0)</f>
        <v>#N/A</v>
      </c>
      <c r="D31" s="3046" t="s">
        <v>1395</v>
      </c>
      <c r="E31" s="3047" t="s">
        <v>1446</v>
      </c>
      <c r="F31" s="2534" t="str">
        <f>IF(项目基本情况!B11="企业","——",IF('数据-取费表'!B10="住宅",IF(F6*F7*F8/12/(1+'数据-取费表'!F30)&gt;100000,4%,2.5%),IF(F6*F7*F8/12/(1+'数据-取费表'!F30)&gt;100000,12%,7%)))</f>
        <v>——</v>
      </c>
      <c r="G31" s="1569"/>
      <c r="H31" s="3036" t="s">
        <v>3054</v>
      </c>
      <c r="I31" s="1583"/>
      <c r="J31" s="1584"/>
      <c r="K31" s="2700"/>
      <c r="L31" s="2924"/>
      <c r="M31" s="2925"/>
    </row>
    <row r="32" spans="1:37" ht="18" customHeight="1">
      <c r="A32" s="1112" t="s">
        <v>1002</v>
      </c>
      <c r="B32" s="307" t="s">
        <v>1398</v>
      </c>
      <c r="C32" s="24" t="e">
        <f ca="1">IF(项目基本情况!B11="自然人","——",ROUND(C6*F32/(1+'数据-取费表'!C42),2))</f>
        <v>#N/A</v>
      </c>
      <c r="D32" s="3047"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5" t="s">
        <v>3100</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t="e">
        <f ca="1">INDIRECT("'数据-取费表'!r"&amp;$G$1)</f>
        <v>#N/A</v>
      </c>
      <c r="G35" s="1569"/>
      <c r="H35" s="2923"/>
      <c r="I35" s="1583"/>
      <c r="J35" s="1584"/>
      <c r="K35" s="2927"/>
      <c r="L35" s="2926"/>
      <c r="M35" s="2926"/>
    </row>
    <row r="36" spans="1:18" ht="18" customHeight="1">
      <c r="A36" s="1261" t="s">
        <v>1007</v>
      </c>
      <c r="B36" s="307" t="s">
        <v>1414</v>
      </c>
      <c r="C36" s="24" t="e">
        <f ca="1">ROUND(C29*F36,1)</f>
        <v>#N/A</v>
      </c>
      <c r="D36" s="3047" t="s">
        <v>1447</v>
      </c>
      <c r="E36" s="307" t="s">
        <v>1387</v>
      </c>
      <c r="F36" s="333" t="e">
        <f ca="1">INDIRECT("'数据-取费表'!Ak"&amp;$G$1)</f>
        <v>#N/A</v>
      </c>
      <c r="G36" s="1569"/>
      <c r="H36" s="2926"/>
      <c r="I36" s="1583"/>
      <c r="J36" s="1584"/>
      <c r="K36" s="2768"/>
      <c r="L36" s="2926"/>
      <c r="M36" s="2926"/>
    </row>
    <row r="37" spans="1:18" ht="18" customHeight="1">
      <c r="A37" s="1112" t="s">
        <v>1043</v>
      </c>
      <c r="B37" s="307" t="s">
        <v>1418</v>
      </c>
      <c r="C37" s="24" t="e">
        <f ca="1">ROUND(C13*F37,1)</f>
        <v>#N/A</v>
      </c>
      <c r="D37" s="3047" t="s">
        <v>1419</v>
      </c>
      <c r="E37" s="307" t="s">
        <v>1387</v>
      </c>
      <c r="F37" s="335" t="e">
        <f ca="1">INDIRECT("'数据-取费表'!Al"&amp;$G$1)</f>
        <v>#N/A</v>
      </c>
      <c r="G37" s="1569"/>
      <c r="H37" s="2926"/>
      <c r="I37" s="1583"/>
      <c r="J37" s="1584" t="e">
        <f ca="1">J29+C40</f>
        <v>#N/A</v>
      </c>
      <c r="K37" s="2768"/>
      <c r="L37" s="2926"/>
      <c r="M37" s="2926"/>
    </row>
    <row r="38" spans="1:18" ht="18" customHeight="1" thickBot="1">
      <c r="A38" s="1248" t="s">
        <v>1357</v>
      </c>
      <c r="B38" s="1249" t="s">
        <v>1404</v>
      </c>
      <c r="C38" s="1250" t="e">
        <f ca="1">ROUND(C5*F38,1)</f>
        <v>#N/A</v>
      </c>
      <c r="D38" s="1251" t="s">
        <v>1424</v>
      </c>
      <c r="E38" s="1249" t="s">
        <v>1387</v>
      </c>
      <c r="F38" s="1245" t="e">
        <f ca="1">INDIRECT("'数据-取费表'!Am"&amp;$G$1)</f>
        <v>#N/A</v>
      </c>
      <c r="G38" s="1569"/>
      <c r="H38" s="2926"/>
      <c r="I38" s="1583"/>
      <c r="J38" s="1584"/>
      <c r="K38" s="2930"/>
      <c r="L38" s="2926"/>
      <c r="M38" s="2926"/>
    </row>
    <row r="39" spans="1:18" ht="24.6" customHeight="1" thickTop="1">
      <c r="A39" s="1238" t="s">
        <v>999</v>
      </c>
      <c r="B39" s="1253" t="s">
        <v>1428</v>
      </c>
      <c r="C39" s="315" t="e">
        <f ca="1">C5-C30</f>
        <v>#N/A</v>
      </c>
      <c r="D39" s="1254" t="s">
        <v>1429</v>
      </c>
      <c r="E39" s="1255"/>
      <c r="F39" s="1256"/>
      <c r="G39" s="1569"/>
      <c r="H39" s="2926"/>
      <c r="I39" s="1583"/>
      <c r="J39" s="1584"/>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9"/>
      <c r="H40" s="1646"/>
      <c r="I40" s="1583"/>
      <c r="J40" s="1584"/>
      <c r="K40" s="2930"/>
      <c r="L40" s="1646"/>
      <c r="M40" s="1646"/>
    </row>
    <row r="41" spans="1:18" ht="18" customHeight="1">
      <c r="A41" s="309"/>
      <c r="B41" s="310"/>
      <c r="C41" s="311"/>
      <c r="D41" s="337" t="s">
        <v>1451</v>
      </c>
      <c r="E41" s="307" t="s">
        <v>1439</v>
      </c>
      <c r="F41" s="338" t="e">
        <f ca="1">IF(INDIRECT("'数据-取费表'!af"&amp;$G$1)=0,INDIRECT("'数据-取费表'!ae"&amp;$G$1),INDIRECT("'数据-取费表'!af"&amp;$G$1))</f>
        <v>#N/A</v>
      </c>
      <c r="G41" s="1569"/>
      <c r="H41" s="1352"/>
      <c r="I41" s="1583"/>
      <c r="J41" s="1584"/>
      <c r="K41" s="2768"/>
      <c r="L41" s="1352"/>
      <c r="M41" s="1352"/>
    </row>
    <row r="42" spans="1:18" ht="18" customHeight="1">
      <c r="A42" s="313"/>
      <c r="B42" s="314"/>
      <c r="C42" s="315"/>
      <c r="D42" s="332"/>
      <c r="E42" s="307" t="s">
        <v>1442</v>
      </c>
      <c r="F42" s="317" t="e">
        <f ca="1">INDIRECT("'数据-取费表'!v"&amp;$G$1)</f>
        <v>#N/A</v>
      </c>
      <c r="G42" s="1569"/>
      <c r="H42" s="1352"/>
      <c r="I42" s="1583"/>
      <c r="J42" s="1584"/>
      <c r="K42" s="2768"/>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3101</v>
      </c>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5" t="s">
        <v>1366</v>
      </c>
      <c r="C48" s="3057" t="e">
        <f ca="1">C49+C53+C55</f>
        <v>#N/A</v>
      </c>
      <c r="D48" s="1271"/>
      <c r="E48" s="1272"/>
      <c r="F48" s="1092"/>
      <c r="G48" s="730"/>
      <c r="H48" s="731"/>
      <c r="I48" s="1606" t="s">
        <v>1495</v>
      </c>
      <c r="J48" s="1607" t="s">
        <v>3102</v>
      </c>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2848</v>
      </c>
      <c r="E49" s="1557" t="s">
        <v>1456</v>
      </c>
      <c r="F49" s="1190">
        <f>'数据-取费表'!X25</f>
        <v>9.6</v>
      </c>
      <c r="G49" s="1610"/>
      <c r="H49" s="731"/>
      <c r="I49" s="1606" t="s">
        <v>1499</v>
      </c>
      <c r="J49" s="1611">
        <f>'数据-取费表'!N18</f>
        <v>2008</v>
      </c>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1"/>
      <c r="I50" s="1606" t="s">
        <v>1502</v>
      </c>
      <c r="J50" s="1614">
        <f>SUMPRODUCT((I63:I65=J47)*(J62:L62=J48)*(J63:L65))</f>
        <v>60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8" t="e">
        <f ca="1">F8</f>
        <v>#N/A</v>
      </c>
      <c r="I51" s="1617" t="s">
        <v>1505</v>
      </c>
      <c r="J51" s="1618">
        <f>IF(J49="",J50,J49+J50-YEAR('数据-取费表'!B2))</f>
        <v>48</v>
      </c>
      <c r="K51" s="1619" t="s">
        <v>1506</v>
      </c>
      <c r="L51" s="1620" t="e">
        <f ca="1">ROUND(-PV(INDIRECT("'数据-取费表'!h"&amp;$G$1),J51,(C39-C13*C76),0),0)</f>
        <v>#N/A</v>
      </c>
      <c r="M51" s="1621"/>
      <c r="O51" s="1613" t="s">
        <v>1012</v>
      </c>
      <c r="P51" s="1604" t="s">
        <v>1507</v>
      </c>
      <c r="Q51" s="1616">
        <f>J52</f>
        <v>0.09</v>
      </c>
      <c r="R51" s="1605"/>
    </row>
    <row r="52" spans="1:18" s="1569" customFormat="1" ht="13.5" thickBot="1">
      <c r="A52" s="1107"/>
      <c r="B52" s="1109"/>
      <c r="C52" s="1110"/>
      <c r="D52" s="1083"/>
      <c r="E52" s="1111" t="s">
        <v>1373</v>
      </c>
      <c r="F52" s="1184">
        <f>'数据-取费表'!AB6</f>
        <v>0</v>
      </c>
      <c r="I52" s="1622" t="s">
        <v>1508</v>
      </c>
      <c r="J52" s="1623">
        <v>0.09</v>
      </c>
      <c r="K52" s="1622" t="s">
        <v>1509</v>
      </c>
      <c r="L52" s="1623"/>
      <c r="O52" s="1613" t="s">
        <v>1013</v>
      </c>
      <c r="P52" s="1604" t="s">
        <v>1510</v>
      </c>
      <c r="Q52" s="1605" t="e">
        <f ca="1">J53</f>
        <v>#N/A</v>
      </c>
      <c r="R52" s="1605" t="s">
        <v>1511</v>
      </c>
    </row>
    <row r="53" spans="1:18" s="1569" customFormat="1" ht="24.75" thickBot="1">
      <c r="A53" s="1313" t="s">
        <v>1105</v>
      </c>
      <c r="B53" s="1558" t="s">
        <v>1374</v>
      </c>
      <c r="C53" s="321" t="e">
        <f ca="1">ROUND(IF(F53="押一",C49/12*F11,IF(F53="押二",C49/12*2*F11,IF(F53="押三",C49/12*3*F11,C54*F11))),0)</f>
        <v>#N/A</v>
      </c>
      <c r="D53" s="1551" t="s">
        <v>2856</v>
      </c>
      <c r="E53" s="318" t="s">
        <v>1375</v>
      </c>
      <c r="F53" s="1275" t="s">
        <v>3099</v>
      </c>
      <c r="I53" s="1624" t="s">
        <v>1512</v>
      </c>
      <c r="J53" s="2387" t="e">
        <f ca="1">IF(M47="住宅",IF(D1="——",MAX(J51,L48),MAX(J51,L48-'数据-取费表'!B24)),IF(D1="——",MIN(J51,L48),MIN(J51,L48-'数据-取费表'!B24)))</f>
        <v>#N/A</v>
      </c>
      <c r="K53" s="3364" t="s">
        <v>1513</v>
      </c>
      <c r="L53" s="3365"/>
      <c r="O53" s="1603" t="s">
        <v>1014</v>
      </c>
      <c r="P53" s="1604" t="s">
        <v>1514</v>
      </c>
      <c r="Q53" s="1605" t="e">
        <f ca="1">Q47+Q48</f>
        <v>#N/A</v>
      </c>
      <c r="R53" s="1605" t="s">
        <v>1015</v>
      </c>
    </row>
    <row r="54" spans="1:18" s="1569" customFormat="1" ht="13.5" thickBot="1">
      <c r="A54" s="1314"/>
      <c r="B54" s="1552" t="s">
        <v>1353</v>
      </c>
      <c r="C54" s="1089"/>
      <c r="D54" s="1551"/>
      <c r="E54" s="3041"/>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3041"/>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7" t="e">
        <f ca="1">C13</f>
        <v>#N/A</v>
      </c>
      <c r="D56" s="1632"/>
      <c r="E56" s="1633"/>
      <c r="F56" s="1625"/>
      <c r="I56" s="1634" t="s">
        <v>1519</v>
      </c>
      <c r="J56" s="1635" t="s">
        <v>3068</v>
      </c>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3"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0" t="s">
        <v>998</v>
      </c>
      <c r="B58" s="1088" t="s">
        <v>1389</v>
      </c>
      <c r="C58" s="321"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1402</v>
      </c>
      <c r="C61" s="24" t="e">
        <f ca="1">IF(项目基本情况!B11="自然人","——",IF(D61="按租金收入计税",ROUND(C48*F61,2),IF(D61="按房产原值计税",ROUND(C57*F61*0.7,2),INDIRECT("'数据-取费表'!Aj"&amp;$G$1))))</f>
        <v>#N/A</v>
      </c>
      <c r="D61" s="1555" t="s">
        <v>3100</v>
      </c>
      <c r="E61" s="1080" t="s">
        <v>1387</v>
      </c>
      <c r="F61" s="327">
        <f t="shared" si="0"/>
        <v>0.12</v>
      </c>
      <c r="I61" s="1646"/>
      <c r="J61" s="1646"/>
      <c r="K61" s="1646"/>
      <c r="L61" s="1646"/>
      <c r="O61" s="1613" t="s">
        <v>1013</v>
      </c>
      <c r="P61" s="1604" t="str">
        <f>K59</f>
        <v>建筑物剩余耐用年限下的土地年期修正系数Kn</v>
      </c>
      <c r="Q61" s="1605" t="e">
        <f ca="1">L59</f>
        <v>#N/A</v>
      </c>
      <c r="R61" s="1605" t="s">
        <v>1534</v>
      </c>
    </row>
    <row r="62" spans="1:18" s="1569" customFormat="1" ht="13.5" thickBot="1">
      <c r="A62" s="1112" t="s">
        <v>1460</v>
      </c>
      <c r="B62" s="1079" t="s">
        <v>1406</v>
      </c>
      <c r="C62" s="25" t="e">
        <f ca="1">IF(项目基本情况!B11="自然人","——",ROUND(F62*F63/10000,2))</f>
        <v>#N/A</v>
      </c>
      <c r="D62" s="1095" t="s">
        <v>1407</v>
      </c>
      <c r="E62" s="1080" t="s">
        <v>1408</v>
      </c>
      <c r="F62" s="330">
        <f t="shared" si="0"/>
        <v>30</v>
      </c>
      <c r="I62" s="1647" t="s">
        <v>1535</v>
      </c>
      <c r="J62" s="1648" t="s">
        <v>1536</v>
      </c>
      <c r="K62" s="1648" t="s">
        <v>1537</v>
      </c>
      <c r="L62" s="1648" t="s">
        <v>1538</v>
      </c>
      <c r="M62" s="1649" t="s">
        <v>1539</v>
      </c>
      <c r="O62" s="1603" t="s">
        <v>1014</v>
      </c>
      <c r="P62" s="1604" t="s">
        <v>1514</v>
      </c>
      <c r="Q62" s="1605" t="e">
        <f ca="1">Q56+Q57</f>
        <v>#N/A</v>
      </c>
      <c r="R62" s="1605" t="s">
        <v>1015</v>
      </c>
    </row>
    <row r="63" spans="1:18" s="1569" customFormat="1" ht="13.5" thickBot="1">
      <c r="A63" s="331"/>
      <c r="B63" s="1086"/>
      <c r="C63" s="29"/>
      <c r="D63" s="1096"/>
      <c r="E63" s="1080" t="s">
        <v>1412</v>
      </c>
      <c r="F63" s="308" t="e">
        <f t="shared" ca="1" si="0"/>
        <v>#N/A</v>
      </c>
      <c r="I63" s="1647" t="s">
        <v>1541</v>
      </c>
      <c r="J63" s="1648">
        <v>70</v>
      </c>
      <c r="K63" s="1648">
        <v>50</v>
      </c>
      <c r="L63" s="1648">
        <v>80</v>
      </c>
      <c r="M63" s="1650">
        <v>0.02</v>
      </c>
      <c r="O63" s="1588" t="s">
        <v>1542</v>
      </c>
      <c r="P63" s="1566"/>
      <c r="Q63" s="1566"/>
      <c r="R63" s="1566"/>
    </row>
    <row r="64" spans="1:18" s="1569" customFormat="1" ht="13.5" thickBot="1">
      <c r="A64" s="1112" t="s">
        <v>1007</v>
      </c>
      <c r="B64" s="1080" t="s">
        <v>1414</v>
      </c>
      <c r="C64" s="24" t="e">
        <f ca="1">ROUND(C57*F64,1)</f>
        <v>#N/A</v>
      </c>
      <c r="D64" s="1094" t="s">
        <v>1447</v>
      </c>
      <c r="E64" s="1080" t="s">
        <v>1387</v>
      </c>
      <c r="F64" s="333"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1387</v>
      </c>
      <c r="F65" s="335" t="e">
        <f t="shared" ca="1" si="0"/>
        <v>#N/A</v>
      </c>
      <c r="I65" s="1647" t="s">
        <v>1544</v>
      </c>
      <c r="J65" s="1648">
        <v>40</v>
      </c>
      <c r="K65" s="1648">
        <v>30</v>
      </c>
      <c r="L65" s="1648">
        <v>50</v>
      </c>
      <c r="M65" s="1650">
        <v>0.02</v>
      </c>
      <c r="O65" s="1603" t="s">
        <v>1008</v>
      </c>
      <c r="P65" s="1604" t="s">
        <v>1493</v>
      </c>
      <c r="Q65" s="1605" t="e">
        <f ca="1">C40+J29</f>
        <v>#N/A</v>
      </c>
      <c r="R65" s="1605" t="s">
        <v>1494</v>
      </c>
    </row>
    <row r="66" spans="1:18" s="1569" customFormat="1" ht="16.5" thickBot="1">
      <c r="A66" s="1112" t="s">
        <v>1469</v>
      </c>
      <c r="B66" s="1080" t="s">
        <v>1404</v>
      </c>
      <c r="C66" s="24" t="e">
        <f ca="1">ROUND(C48*F66,1)</f>
        <v>#N/A</v>
      </c>
      <c r="D66" s="1094" t="s">
        <v>1424</v>
      </c>
      <c r="E66" s="1080" t="s">
        <v>1387</v>
      </c>
      <c r="F66" s="317" t="e">
        <f t="shared" ca="1" si="0"/>
        <v>#N/A</v>
      </c>
      <c r="O66" s="1603" t="s">
        <v>1009</v>
      </c>
      <c r="P66" s="1604" t="s">
        <v>1523</v>
      </c>
      <c r="Q66" s="1605" t="e">
        <f ca="1">L60</f>
        <v>#N/A</v>
      </c>
      <c r="R66" s="1605" t="s">
        <v>1546</v>
      </c>
    </row>
    <row r="67" spans="1:18" s="1569" customFormat="1" ht="16.5" thickBot="1">
      <c r="A67" s="1087" t="s">
        <v>999</v>
      </c>
      <c r="B67" s="1097" t="s">
        <v>1428</v>
      </c>
      <c r="C67" s="321"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6" t="e">
        <f ca="1">ROUND(C67*(1-((1+F70)/(1+F68))^F69)/(F68-F70),0)</f>
        <v>#N/A</v>
      </c>
      <c r="D68" s="1095" t="s">
        <v>1434</v>
      </c>
      <c r="E68" s="1080" t="s">
        <v>1435</v>
      </c>
      <c r="F68" s="317" t="e">
        <f ca="1">F40</f>
        <v>#N/A</v>
      </c>
      <c r="O68" s="1613" t="s">
        <v>1011</v>
      </c>
      <c r="P68" s="1652" t="s">
        <v>1548</v>
      </c>
      <c r="Q68" s="1605" t="e">
        <f ca="1">ROUND(Q69-Q70*Q71,0)</f>
        <v>#N/A</v>
      </c>
      <c r="R68" s="1605" t="s">
        <v>1019</v>
      </c>
    </row>
    <row r="69" spans="1:18" s="1569" customFormat="1" ht="13.5" thickBot="1">
      <c r="A69" s="1081"/>
      <c r="B69" s="1082"/>
      <c r="C69" s="311"/>
      <c r="D69" s="1100" t="s">
        <v>1438</v>
      </c>
      <c r="E69" s="1080" t="s">
        <v>1439</v>
      </c>
      <c r="F69" s="338" t="e">
        <f ca="1">F41</f>
        <v>#N/A</v>
      </c>
      <c r="O69" s="1613" t="s">
        <v>1016</v>
      </c>
      <c r="P69" s="1652" t="s">
        <v>1549</v>
      </c>
      <c r="Q69" s="1605" t="e">
        <f ca="1">C39</f>
        <v>#N/A</v>
      </c>
      <c r="R69" s="1605" t="s">
        <v>1494</v>
      </c>
    </row>
    <row r="70" spans="1:18" s="1569" customFormat="1" ht="13.5" thickBot="1">
      <c r="A70" s="1084"/>
      <c r="B70" s="1085"/>
      <c r="C70" s="315"/>
      <c r="D70" s="1096"/>
      <c r="E70" s="1080" t="s">
        <v>1442</v>
      </c>
      <c r="F70" s="1184">
        <f>'数据-取费表'!AA6</f>
        <v>0</v>
      </c>
      <c r="O70" s="1613" t="s">
        <v>1017</v>
      </c>
      <c r="P70" s="1652" t="s">
        <v>1550</v>
      </c>
      <c r="Q70" s="1605" t="e">
        <f ca="1">C13</f>
        <v>#N/A</v>
      </c>
      <c r="R70" s="1605" t="s">
        <v>1494</v>
      </c>
    </row>
    <row r="71" spans="1:18" s="1569" customFormat="1" ht="13.5" thickBot="1">
      <c r="A71" s="1101" t="s">
        <v>1001</v>
      </c>
      <c r="B71" s="1102" t="s">
        <v>1452</v>
      </c>
      <c r="C71" s="341" t="e">
        <f ca="1">ROUND(C68*10000/F71,0)</f>
        <v>#N/A</v>
      </c>
      <c r="D71" s="1103" t="s">
        <v>1453</v>
      </c>
      <c r="E71" s="1104" t="s">
        <v>1454</v>
      </c>
      <c r="F71" s="344" t="e">
        <f ca="1">F43</f>
        <v>#N/A</v>
      </c>
      <c r="O71" s="1613" t="s">
        <v>1018</v>
      </c>
      <c r="P71" s="1652" t="s">
        <v>1551</v>
      </c>
      <c r="Q71" s="1616" t="e">
        <f ca="1">C76</f>
        <v>#N/A</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#N/A</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#N/A</v>
      </c>
      <c r="R74" s="1605" t="s">
        <v>1534</v>
      </c>
    </row>
    <row r="75" spans="1:18" ht="13.5" thickBot="1">
      <c r="A75" s="1569"/>
      <c r="B75" s="345" t="s">
        <v>1471</v>
      </c>
      <c r="C75" s="346" t="e">
        <f ca="1">ROUND(C13*C76,0)</f>
        <v>#N/A</v>
      </c>
      <c r="D75" s="1569"/>
      <c r="E75" s="1569"/>
      <c r="F75" s="1569"/>
      <c r="K75" s="1587"/>
      <c r="L75" s="1569"/>
      <c r="O75" s="1603" t="s">
        <v>1014</v>
      </c>
      <c r="P75" s="1604" t="s">
        <v>1514</v>
      </c>
      <c r="Q75" s="1605" t="e">
        <f ca="1">Q65+Q66</f>
        <v>#N/A</v>
      </c>
      <c r="R75" s="1605" t="s">
        <v>1015</v>
      </c>
    </row>
    <row r="76" spans="1:18">
      <c r="B76" s="347" t="s">
        <v>1472</v>
      </c>
      <c r="C76" s="348" t="e">
        <f ca="1">INDIRECT("'数据-取费表'!j"&amp;$G$1)</f>
        <v>#N/A</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8</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66" t="s">
        <v>1368</v>
      </c>
      <c r="C6" s="1205">
        <f ca="1">ROUND(F6*F8*F7*(1-F9),0)</f>
        <v>0</v>
      </c>
      <c r="D6" s="159" t="s">
        <v>2846</v>
      </c>
      <c r="E6" s="307" t="s">
        <v>1370</v>
      </c>
      <c r="F6" s="308">
        <f ca="1">INDIRECT("'数据-取费表'!u"&amp;$G$1)</f>
        <v>0</v>
      </c>
      <c r="G6" s="1569"/>
      <c r="H6" s="1200" t="s">
        <v>1003</v>
      </c>
      <c r="I6" s="3366" t="s">
        <v>1368</v>
      </c>
      <c r="J6" s="306">
        <f ca="1">ROUND(M6*M8*M7*(1-M9),0)</f>
        <v>0</v>
      </c>
      <c r="K6" s="1561" t="s">
        <v>2847</v>
      </c>
      <c r="L6" s="307" t="s">
        <v>1370</v>
      </c>
      <c r="M6" s="308">
        <f ca="1">INDIRECT("'数据-取费表'!z"&amp;$G$1)</f>
        <v>0</v>
      </c>
    </row>
    <row r="7" spans="1:37" ht="18" customHeight="1">
      <c r="A7" s="1204"/>
      <c r="B7" s="3367"/>
      <c r="C7" s="1206"/>
      <c r="D7" s="312"/>
      <c r="E7" s="1207" t="s">
        <v>1371</v>
      </c>
      <c r="F7" s="308">
        <f ca="1">IF(INDIRECT("'数据-取费表'!ah"&amp;$G$1)="",INDIRECT("'数据-取费表'!k"&amp;$G$1),INDIRECT("'数据-取费表'!ah"&amp;$G$1))</f>
        <v>0</v>
      </c>
      <c r="G7" s="1569"/>
      <c r="H7" s="309"/>
      <c r="I7" s="3367"/>
      <c r="J7" s="311"/>
      <c r="K7" s="312"/>
      <c r="L7" s="307" t="s">
        <v>1371</v>
      </c>
      <c r="M7" s="308">
        <f ca="1">F7</f>
        <v>0</v>
      </c>
    </row>
    <row r="8" spans="1:37" ht="18" customHeight="1">
      <c r="A8" s="309"/>
      <c r="B8" s="3367"/>
      <c r="C8" s="311"/>
      <c r="D8" s="312"/>
      <c r="E8" s="307" t="s">
        <v>1372</v>
      </c>
      <c r="F8" s="308">
        <f ca="1">INDIRECT("'数据-取费表'!ai"&amp;$G$1)</f>
        <v>0</v>
      </c>
      <c r="G8" s="1569"/>
      <c r="H8" s="309"/>
      <c r="I8" s="3367"/>
      <c r="J8" s="311"/>
      <c r="K8" s="312"/>
      <c r="L8" s="307" t="s">
        <v>1372</v>
      </c>
      <c r="M8" s="308">
        <f ca="1">INDIRECT("'数据-取费表'!ai"&amp;$G$1)</f>
        <v>0</v>
      </c>
    </row>
    <row r="9" spans="1:37" ht="18" customHeight="1">
      <c r="A9" s="309"/>
      <c r="B9" s="3368"/>
      <c r="C9" s="311"/>
      <c r="D9" s="312"/>
      <c r="E9" s="307" t="s">
        <v>1373</v>
      </c>
      <c r="F9" s="317">
        <f ca="1">INDIRECT("'数据-取费表'!w"&amp;$G$1)</f>
        <v>0</v>
      </c>
      <c r="G9" s="1569"/>
      <c r="H9" s="309"/>
      <c r="I9" s="336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2856</v>
      </c>
      <c r="E10" s="318" t="s">
        <v>1375</v>
      </c>
      <c r="F10" s="1275"/>
      <c r="G10" s="1569"/>
      <c r="H10" s="1200" t="s">
        <v>1007</v>
      </c>
      <c r="I10" s="1550" t="s">
        <v>1374</v>
      </c>
      <c r="J10" s="306">
        <f ca="1">ROUND(IF(M10="押一",J6/12*M11,IF(M10="押二",J6/12*2*M11,IF(M10="押三",J6/12*3*M11,J11*M11))),0)</f>
        <v>0</v>
      </c>
      <c r="K10" s="1562" t="s">
        <v>2858</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150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0.02</v>
      </c>
      <c r="G20" s="1581"/>
      <c r="H20" s="1112" t="s">
        <v>1354</v>
      </c>
      <c r="I20" s="159" t="s">
        <v>1406</v>
      </c>
      <c r="J20" s="25">
        <f ca="1">ROUND(M20*M21,0)</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0.02</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3054</v>
      </c>
      <c r="I31" s="1583"/>
      <c r="J31" s="1584"/>
      <c r="K31" s="2700"/>
      <c r="L31" s="2924"/>
      <c r="M31" s="2925"/>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6"/>
      <c r="I33" s="1583"/>
      <c r="J33" s="1584"/>
      <c r="K33" s="2927"/>
      <c r="L33" s="2926"/>
      <c r="M33" s="2926"/>
    </row>
    <row r="34" spans="1:18" ht="18" customHeight="1">
      <c r="A34" s="1200" t="s">
        <v>1354</v>
      </c>
      <c r="B34" s="159" t="s">
        <v>1406</v>
      </c>
      <c r="C34" s="25">
        <f ca="1">IF(项目基本情况!B11="自然人","——",ROUND(F34*F35,))</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ROUND(C29*F36,0)</f>
        <v>0</v>
      </c>
      <c r="D36" s="1529" t="s">
        <v>1447</v>
      </c>
      <c r="E36" s="307" t="s">
        <v>1387</v>
      </c>
      <c r="F36" s="333">
        <f ca="1">INDIRECT("'数据-取费表'!Ak"&amp;$G$1)</f>
        <v>0</v>
      </c>
      <c r="G36" s="1569"/>
      <c r="H36" s="2926"/>
      <c r="I36" s="1583"/>
      <c r="J36" s="1584"/>
      <c r="K36" s="2768"/>
      <c r="L36" s="2926"/>
      <c r="M36" s="2926"/>
    </row>
    <row r="37" spans="1:18" ht="18" customHeight="1">
      <c r="A37" s="1112" t="s">
        <v>1043</v>
      </c>
      <c r="B37" s="307" t="s">
        <v>1418</v>
      </c>
      <c r="C37" s="24">
        <f ca="1">ROUND(C13*F37,0)</f>
        <v>0</v>
      </c>
      <c r="D37" s="1529" t="s">
        <v>1419</v>
      </c>
      <c r="E37" s="307" t="s">
        <v>1420</v>
      </c>
      <c r="F37" s="335">
        <f ca="1">INDIRECT("'数据-取费表'!Al"&amp;$G$1)</f>
        <v>0</v>
      </c>
      <c r="G37" s="1569"/>
      <c r="H37" s="2926"/>
      <c r="I37" s="1583"/>
      <c r="J37" s="1584"/>
      <c r="K37" s="2768"/>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5">
        <f ca="1">C5-C30</f>
        <v>0</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2859</v>
      </c>
      <c r="E53" s="318" t="s">
        <v>1375</v>
      </c>
      <c r="F53" s="1275"/>
      <c r="I53" s="1624" t="s">
        <v>1512</v>
      </c>
      <c r="J53" s="2387">
        <f ca="1">IF(M47="住宅",IF(D1="——",MAX(J51,L48),MAX(J51,L48-'数据-取费表'!B24)),IF(D1="——",MIN(J51,L48),MIN(J51,L48-'数据-取费表'!B24)))</f>
        <v>0</v>
      </c>
      <c r="K53" s="3364" t="s">
        <v>1513</v>
      </c>
      <c r="L53" s="3365"/>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5" t="s">
        <v>1044</v>
      </c>
      <c r="B1" s="3376"/>
      <c r="C1" s="3377"/>
      <c r="D1" s="3378">
        <f>SUM(I10,I15,I20,I21,I23)</f>
        <v>0</v>
      </c>
      <c r="E1" s="3378"/>
      <c r="F1" s="3378"/>
      <c r="G1" s="3378"/>
      <c r="H1" s="3378"/>
      <c r="I1" s="3379"/>
    </row>
    <row r="2" spans="1:9">
      <c r="A2" s="3380" t="s">
        <v>1045</v>
      </c>
      <c r="B2" s="3381" t="s">
        <v>1046</v>
      </c>
      <c r="C2" s="3381"/>
      <c r="D2" s="1210" t="s">
        <v>1047</v>
      </c>
      <c r="E2" s="1210" t="s">
        <v>1048</v>
      </c>
      <c r="F2" s="1210" t="s">
        <v>1049</v>
      </c>
      <c r="G2" s="1210" t="s">
        <v>1050</v>
      </c>
      <c r="H2" s="1210" t="s">
        <v>1051</v>
      </c>
      <c r="I2" s="1211" t="s">
        <v>1052</v>
      </c>
    </row>
    <row r="3" spans="1:9">
      <c r="A3" s="3380"/>
      <c r="B3" s="3381" t="s">
        <v>1053</v>
      </c>
      <c r="C3" s="3381"/>
      <c r="D3" s="1212"/>
      <c r="E3" s="1210"/>
      <c r="F3" s="1213"/>
      <c r="G3" s="1213"/>
      <c r="H3" s="1214"/>
      <c r="I3" s="1215">
        <f>ROUND(D3*E3*F3*G3*H3/10000,0)</f>
        <v>0</v>
      </c>
    </row>
    <row r="4" spans="1:9">
      <c r="A4" s="3380"/>
      <c r="B4" s="3381" t="s">
        <v>1054</v>
      </c>
      <c r="C4" s="3381"/>
      <c r="D4" s="1212"/>
      <c r="E4" s="1210"/>
      <c r="F4" s="1213"/>
      <c r="G4" s="1213"/>
      <c r="H4" s="1214"/>
      <c r="I4" s="1215">
        <f t="shared" ref="I4:I9" si="0">ROUND(D4*E4*F4*G4*H4/10000,0)</f>
        <v>0</v>
      </c>
    </row>
    <row r="5" spans="1:9">
      <c r="A5" s="3380"/>
      <c r="B5" s="3381" t="s">
        <v>1055</v>
      </c>
      <c r="C5" s="3381"/>
      <c r="D5" s="1212"/>
      <c r="E5" s="1210"/>
      <c r="F5" s="1213"/>
      <c r="G5" s="1213"/>
      <c r="H5" s="1214"/>
      <c r="I5" s="1215">
        <f t="shared" si="0"/>
        <v>0</v>
      </c>
    </row>
    <row r="6" spans="1:9">
      <c r="A6" s="3380"/>
      <c r="B6" s="3381" t="s">
        <v>1056</v>
      </c>
      <c r="C6" s="3381"/>
      <c r="D6" s="1212"/>
      <c r="E6" s="1210"/>
      <c r="F6" s="1213"/>
      <c r="G6" s="1213"/>
      <c r="H6" s="1214"/>
      <c r="I6" s="1215">
        <f t="shared" si="0"/>
        <v>0</v>
      </c>
    </row>
    <row r="7" spans="1:9">
      <c r="A7" s="3380"/>
      <c r="B7" s="3381" t="s">
        <v>1057</v>
      </c>
      <c r="C7" s="3381"/>
      <c r="D7" s="1212"/>
      <c r="E7" s="1210"/>
      <c r="F7" s="1213"/>
      <c r="G7" s="1213"/>
      <c r="H7" s="1214"/>
      <c r="I7" s="1215">
        <f t="shared" si="0"/>
        <v>0</v>
      </c>
    </row>
    <row r="8" spans="1:9">
      <c r="A8" s="3380"/>
      <c r="B8" s="3381" t="s">
        <v>1058</v>
      </c>
      <c r="C8" s="3381"/>
      <c r="D8" s="1212"/>
      <c r="E8" s="1210"/>
      <c r="F8" s="1213"/>
      <c r="G8" s="1213"/>
      <c r="H8" s="1214"/>
      <c r="I8" s="1215">
        <f t="shared" si="0"/>
        <v>0</v>
      </c>
    </row>
    <row r="9" spans="1:9">
      <c r="A9" s="3380"/>
      <c r="B9" s="3381" t="s">
        <v>1059</v>
      </c>
      <c r="C9" s="3381"/>
      <c r="D9" s="1212"/>
      <c r="E9" s="1210"/>
      <c r="F9" s="1213"/>
      <c r="G9" s="1213"/>
      <c r="H9" s="1214"/>
      <c r="I9" s="1215">
        <f t="shared" si="0"/>
        <v>0</v>
      </c>
    </row>
    <row r="10" spans="1:9">
      <c r="A10" s="3380"/>
      <c r="B10" s="3382" t="s">
        <v>1060</v>
      </c>
      <c r="C10" s="3382"/>
      <c r="D10" s="1216"/>
      <c r="E10" s="1216" t="e">
        <f>ROUND(D1*10000/D10/H9,0)</f>
        <v>#DIV/0!</v>
      </c>
      <c r="F10" s="1217"/>
      <c r="G10" s="1217"/>
      <c r="H10" s="1218"/>
      <c r="I10" s="1219">
        <f>SUM(I3:I9)</f>
        <v>0</v>
      </c>
    </row>
    <row r="11" spans="1:9" ht="14.25">
      <c r="A11" s="3380" t="s">
        <v>1061</v>
      </c>
      <c r="B11" s="3381" t="s">
        <v>1062</v>
      </c>
      <c r="C11" s="3381"/>
      <c r="D11" s="1212" t="s">
        <v>1063</v>
      </c>
      <c r="E11" s="1212" t="s">
        <v>1064</v>
      </c>
      <c r="F11" s="1213" t="s">
        <v>1065</v>
      </c>
      <c r="G11" s="1213" t="s">
        <v>1051</v>
      </c>
      <c r="H11" s="1220" t="s">
        <v>1066</v>
      </c>
      <c r="I11" s="1211" t="s">
        <v>1052</v>
      </c>
    </row>
    <row r="12" spans="1:9">
      <c r="A12" s="3380"/>
      <c r="B12" s="3381" t="s">
        <v>1067</v>
      </c>
      <c r="C12" s="3381"/>
      <c r="D12" s="1212"/>
      <c r="E12" s="1212"/>
      <c r="F12" s="1213"/>
      <c r="G12" s="1214"/>
      <c r="H12" s="1221"/>
      <c r="I12" s="1211">
        <f>ROUND(D12*E12*F12*G12/10000,0)</f>
        <v>0</v>
      </c>
    </row>
    <row r="13" spans="1:9">
      <c r="A13" s="3380"/>
      <c r="B13" s="3381" t="s">
        <v>1068</v>
      </c>
      <c r="C13" s="3381"/>
      <c r="D13" s="1212"/>
      <c r="E13" s="1212"/>
      <c r="F13" s="1213"/>
      <c r="G13" s="1214"/>
      <c r="H13" s="1221"/>
      <c r="I13" s="1211">
        <f>ROUND(D13*E13*F13*G13/10000,0)</f>
        <v>0</v>
      </c>
    </row>
    <row r="14" spans="1:9">
      <c r="A14" s="3380"/>
      <c r="B14" s="3381" t="s">
        <v>1069</v>
      </c>
      <c r="C14" s="3381"/>
      <c r="D14" s="1212"/>
      <c r="E14" s="1212"/>
      <c r="F14" s="1213"/>
      <c r="G14" s="1214"/>
      <c r="H14" s="1221"/>
      <c r="I14" s="1211">
        <f>ROUND(D14*E14*F14*G14/10000,0)</f>
        <v>0</v>
      </c>
    </row>
    <row r="15" spans="1:9">
      <c r="A15" s="3380"/>
      <c r="B15" s="3382" t="s">
        <v>1060</v>
      </c>
      <c r="C15" s="3382"/>
      <c r="D15" s="1216"/>
      <c r="E15" s="1216">
        <f>SUM(E12:E14)</f>
        <v>0</v>
      </c>
      <c r="F15" s="1217"/>
      <c r="G15" s="1214"/>
      <c r="H15" s="1221"/>
      <c r="I15" s="1222">
        <f>SUM(I12:I14)</f>
        <v>0</v>
      </c>
    </row>
    <row r="16" spans="1:9" ht="24">
      <c r="A16" s="3380" t="s">
        <v>1070</v>
      </c>
      <c r="B16" s="3381" t="s">
        <v>1071</v>
      </c>
      <c r="C16" s="3381"/>
      <c r="D16" s="1212" t="s">
        <v>1047</v>
      </c>
      <c r="E16" s="1223" t="s">
        <v>1072</v>
      </c>
      <c r="F16" s="1213" t="s">
        <v>1073</v>
      </c>
      <c r="G16" s="1214" t="s">
        <v>1051</v>
      </c>
      <c r="H16" s="1220" t="s">
        <v>1066</v>
      </c>
      <c r="I16" s="1211" t="s">
        <v>1052</v>
      </c>
    </row>
    <row r="17" spans="1:9" ht="14.25">
      <c r="A17" s="3380"/>
      <c r="B17" s="3381" t="s">
        <v>1074</v>
      </c>
      <c r="C17" s="3381"/>
      <c r="D17" s="1212"/>
      <c r="E17" s="1212"/>
      <c r="F17" s="1213"/>
      <c r="G17" s="1214"/>
      <c r="H17" s="1224"/>
      <c r="I17" s="1225">
        <f>ROUND(D17*E17*F17*G17/10000,0)</f>
        <v>0</v>
      </c>
    </row>
    <row r="18" spans="1:9" ht="14.25">
      <c r="A18" s="3380"/>
      <c r="B18" s="3381" t="s">
        <v>1075</v>
      </c>
      <c r="C18" s="3381"/>
      <c r="D18" s="1212"/>
      <c r="E18" s="1212"/>
      <c r="F18" s="1213"/>
      <c r="G18" s="1214"/>
      <c r="H18" s="1224"/>
      <c r="I18" s="1225">
        <f>ROUND(D18*E18*F18*G18/10000,0)</f>
        <v>0</v>
      </c>
    </row>
    <row r="19" spans="1:9" ht="14.25">
      <c r="A19" s="3380"/>
      <c r="B19" s="3381" t="s">
        <v>1076</v>
      </c>
      <c r="C19" s="3381"/>
      <c r="D19" s="1212"/>
      <c r="E19" s="1212"/>
      <c r="F19" s="1213"/>
      <c r="G19" s="1214"/>
      <c r="H19" s="1224"/>
      <c r="I19" s="1225">
        <f>ROUND(D19*E19*F19*G19/10000,0)</f>
        <v>0</v>
      </c>
    </row>
    <row r="20" spans="1:9">
      <c r="A20" s="3380"/>
      <c r="B20" s="3382" t="s">
        <v>1060</v>
      </c>
      <c r="C20" s="3382"/>
      <c r="D20" s="1216">
        <f>SUM(D17:D19)</f>
        <v>0</v>
      </c>
      <c r="E20" s="1216"/>
      <c r="F20" s="1217"/>
      <c r="G20" s="1214"/>
      <c r="H20" s="1221"/>
      <c r="I20" s="1222">
        <f>SUM(I17:I19)</f>
        <v>0</v>
      </c>
    </row>
    <row r="21" spans="1:9">
      <c r="A21" s="3380" t="s">
        <v>1077</v>
      </c>
      <c r="B21" s="3384"/>
      <c r="C21" s="3384"/>
      <c r="D21" s="3384"/>
      <c r="E21" s="3384"/>
      <c r="F21" s="3384"/>
      <c r="G21" s="3384"/>
      <c r="H21" s="1503">
        <v>0.1</v>
      </c>
      <c r="I21" s="1219">
        <f>ROUND(I10*H21,0)</f>
        <v>0</v>
      </c>
    </row>
    <row r="22" spans="1:9" ht="14.25">
      <c r="A22" s="3385" t="s">
        <v>1078</v>
      </c>
      <c r="B22" s="3386"/>
      <c r="C22" s="3387"/>
      <c r="D22" s="1226" t="s">
        <v>1079</v>
      </c>
      <c r="E22" s="1226" t="s">
        <v>1080</v>
      </c>
      <c r="F22" s="1227" t="s">
        <v>1081</v>
      </c>
      <c r="G22" s="1227" t="s">
        <v>1082</v>
      </c>
      <c r="H22" s="1220" t="s">
        <v>1083</v>
      </c>
      <c r="I22" s="1211" t="s">
        <v>1084</v>
      </c>
    </row>
    <row r="23" spans="1:9" ht="14.25" thickBot="1">
      <c r="A23" s="3388"/>
      <c r="B23" s="3389"/>
      <c r="C23" s="3390"/>
      <c r="D23" s="1228"/>
      <c r="E23" s="1228"/>
      <c r="F23" s="1228"/>
      <c r="G23" s="1229"/>
      <c r="H23" s="1230"/>
      <c r="I23" s="1231">
        <f>ROUND(E23*D23*F23*(1-G23)/10000,0)</f>
        <v>0</v>
      </c>
    </row>
    <row r="26" spans="1:9">
      <c r="A26" s="1232" t="s">
        <v>1085</v>
      </c>
      <c r="B26" s="1232"/>
      <c r="C26" s="1232"/>
      <c r="D26" s="1232"/>
      <c r="E26" s="3391">
        <f>C27-C30-C31-C32</f>
        <v>0</v>
      </c>
      <c r="F26" s="3391"/>
      <c r="G26" s="3391"/>
      <c r="H26" s="1500" t="s">
        <v>1306</v>
      </c>
    </row>
    <row r="27" spans="1:9">
      <c r="A27" s="1233">
        <v>1</v>
      </c>
      <c r="B27" s="1234" t="s">
        <v>1086</v>
      </c>
      <c r="C27" s="1234">
        <f>C28+C29</f>
        <v>0</v>
      </c>
      <c r="D27" s="1234"/>
      <c r="E27" s="3392"/>
      <c r="F27" s="3392"/>
      <c r="G27" s="3392"/>
    </row>
    <row r="28" spans="1:9">
      <c r="A28" s="1235" t="s">
        <v>1087</v>
      </c>
      <c r="B28" s="1234" t="s">
        <v>1088</v>
      </c>
      <c r="C28" s="1234"/>
      <c r="D28" s="1234"/>
      <c r="E28" s="3392"/>
      <c r="F28" s="3392"/>
      <c r="G28" s="3392"/>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3"/>
      <c r="F32" s="3383"/>
      <c r="G32" s="3383"/>
    </row>
    <row r="33" spans="1:7" hidden="1">
      <c r="A33" s="3393" t="s">
        <v>1097</v>
      </c>
      <c r="B33" s="3394"/>
      <c r="C33" s="3394"/>
      <c r="D33" s="3395"/>
      <c r="E33" s="3391"/>
      <c r="F33" s="3391"/>
      <c r="G33" s="3391"/>
    </row>
    <row r="34" spans="1:7" hidden="1">
      <c r="A34" s="1237">
        <v>1</v>
      </c>
      <c r="B34" s="1234" t="s">
        <v>1098</v>
      </c>
      <c r="C34" s="1234"/>
      <c r="D34" s="1234"/>
      <c r="E34" s="3392"/>
      <c r="F34" s="3392"/>
      <c r="G34" s="3392"/>
    </row>
    <row r="35" spans="1:7" hidden="1">
      <c r="A35" s="1237">
        <v>2</v>
      </c>
      <c r="B35" s="1234" t="s">
        <v>1099</v>
      </c>
      <c r="C35" s="1234"/>
      <c r="D35" s="1234"/>
      <c r="E35" s="3392"/>
      <c r="F35" s="3392"/>
      <c r="G35" s="3392"/>
    </row>
    <row r="36" spans="1:7" hidden="1">
      <c r="A36" s="1237">
        <v>3</v>
      </c>
      <c r="B36" s="1234" t="s">
        <v>1100</v>
      </c>
      <c r="C36" s="1234"/>
      <c r="D36" s="1234"/>
      <c r="E36" s="3392"/>
      <c r="F36" s="3392"/>
      <c r="G36" s="3392"/>
    </row>
    <row r="37" spans="1:7" hidden="1">
      <c r="A37" s="1237">
        <v>4</v>
      </c>
      <c r="B37" s="1234" t="s">
        <v>1101</v>
      </c>
      <c r="C37" s="1234"/>
      <c r="D37" s="1234"/>
      <c r="E37" s="3392"/>
      <c r="F37" s="3392"/>
      <c r="G37" s="3392"/>
    </row>
    <row r="38" spans="1:7" hidden="1">
      <c r="A38" s="3393" t="s">
        <v>1102</v>
      </c>
      <c r="B38" s="3394"/>
      <c r="C38" s="3394"/>
      <c r="D38" s="3395"/>
      <c r="E38" s="3391"/>
      <c r="F38" s="3391"/>
      <c r="G38" s="33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15279.68</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0" t="s">
        <v>2357</v>
      </c>
      <c r="B4" s="361"/>
      <c r="C4" s="3334" t="s">
        <v>2358</v>
      </c>
      <c r="D4" s="3335"/>
      <c r="E4" s="3336" t="s">
        <v>2359</v>
      </c>
      <c r="F4" s="3337"/>
      <c r="G4" s="3334" t="s">
        <v>2360</v>
      </c>
      <c r="H4" s="3335"/>
      <c r="I4" s="3334" t="s">
        <v>2361</v>
      </c>
      <c r="J4" s="3335"/>
      <c r="K4" s="2076" t="s">
        <v>2362</v>
      </c>
      <c r="L4" s="2941"/>
      <c r="M4" s="2942"/>
      <c r="N4" s="2942"/>
      <c r="O4" s="2942"/>
      <c r="P4" s="3399" t="s">
        <v>2363</v>
      </c>
      <c r="Q4" s="3400"/>
      <c r="R4" s="3397" t="s">
        <v>2359</v>
      </c>
      <c r="S4" s="3398"/>
      <c r="T4" s="3397" t="s">
        <v>2360</v>
      </c>
      <c r="U4" s="3398"/>
      <c r="V4" s="3347" t="s">
        <v>2361</v>
      </c>
      <c r="W4" s="3347"/>
      <c r="X4" s="1540"/>
      <c r="Y4" s="3397" t="s">
        <v>2363</v>
      </c>
      <c r="Z4" s="3398"/>
      <c r="AA4" s="3396" t="s">
        <v>2359</v>
      </c>
      <c r="AB4" s="3396" t="s">
        <v>2360</v>
      </c>
      <c r="AC4" s="3396" t="s">
        <v>2361</v>
      </c>
    </row>
    <row r="5" spans="1:29" ht="15">
      <c r="A5" s="363"/>
      <c r="B5" s="364"/>
      <c r="C5" s="3324" t="s">
        <v>2364</v>
      </c>
      <c r="D5" s="3325"/>
      <c r="E5" s="3322" t="s">
        <v>2365</v>
      </c>
      <c r="F5" s="3323"/>
      <c r="G5" s="3324" t="s">
        <v>2366</v>
      </c>
      <c r="H5" s="3325"/>
      <c r="I5" s="3324" t="s">
        <v>2367</v>
      </c>
      <c r="J5" s="3325"/>
      <c r="K5" s="2077"/>
      <c r="L5" s="2941"/>
      <c r="M5" s="2942"/>
      <c r="N5" s="2942"/>
      <c r="O5" s="2942"/>
      <c r="P5" s="3401"/>
      <c r="Q5" s="3341"/>
      <c r="R5" s="3320"/>
      <c r="S5" s="3321"/>
      <c r="T5" s="3320"/>
      <c r="U5" s="3321"/>
      <c r="V5" s="3347"/>
      <c r="W5" s="3347"/>
      <c r="X5" s="1540"/>
      <c r="Y5" s="3320"/>
      <c r="Z5" s="3321"/>
      <c r="AA5" s="3314"/>
      <c r="AB5" s="3314"/>
      <c r="AC5" s="3314"/>
    </row>
    <row r="6" spans="1:29" ht="15.75" thickBot="1">
      <c r="A6" s="365"/>
      <c r="B6" s="366"/>
      <c r="C6" s="3326" t="s">
        <v>2368</v>
      </c>
      <c r="D6" s="3327"/>
      <c r="E6" s="3328" t="s">
        <v>2368</v>
      </c>
      <c r="F6" s="3329"/>
      <c r="G6" s="3326" t="s">
        <v>2368</v>
      </c>
      <c r="H6" s="3327"/>
      <c r="I6" s="3326" t="s">
        <v>2368</v>
      </c>
      <c r="J6" s="3327"/>
      <c r="K6" s="2077" t="s">
        <v>2369</v>
      </c>
      <c r="L6" s="2941"/>
      <c r="M6" s="2942"/>
      <c r="N6" s="2942"/>
      <c r="O6" s="2942"/>
      <c r="P6" s="3402"/>
      <c r="Q6" s="3343"/>
      <c r="R6" s="3320"/>
      <c r="S6" s="3321"/>
      <c r="T6" s="3344"/>
      <c r="U6" s="3345"/>
      <c r="V6" s="3347"/>
      <c r="W6" s="3347"/>
      <c r="X6" s="1540"/>
      <c r="Y6" s="3344"/>
      <c r="Z6" s="3345"/>
      <c r="AA6" s="3315"/>
      <c r="AB6" s="3315"/>
      <c r="AC6" s="3315"/>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2078"/>
      <c r="L7" s="2943"/>
      <c r="M7" s="2944"/>
      <c r="N7" s="2944"/>
      <c r="O7" s="2944"/>
      <c r="P7" s="3316" t="s">
        <v>2371</v>
      </c>
      <c r="Q7" s="3349"/>
      <c r="R7" s="709" t="s">
        <v>23</v>
      </c>
      <c r="S7" s="710">
        <f t="shared" ref="S7:S15" si="0">F7</f>
        <v>0</v>
      </c>
      <c r="T7" s="709" t="s">
        <v>23</v>
      </c>
      <c r="U7" s="710">
        <f t="shared" ref="U7:U15" si="1">H7</f>
        <v>0</v>
      </c>
      <c r="V7" s="709" t="s">
        <v>23</v>
      </c>
      <c r="W7" s="710">
        <f t="shared" ref="W7:W15" si="2">J7</f>
        <v>0</v>
      </c>
      <c r="X7" s="711"/>
      <c r="Y7" s="3316" t="s">
        <v>2371</v>
      </c>
      <c r="Z7" s="3317"/>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3"/>
      <c r="M8" s="2944"/>
      <c r="N8" s="2944"/>
      <c r="O8" s="2944"/>
      <c r="P8" s="3316" t="s">
        <v>2374</v>
      </c>
      <c r="Q8" s="3317"/>
      <c r="R8" s="709" t="s">
        <v>23</v>
      </c>
      <c r="S8" s="710">
        <f t="shared" si="0"/>
        <v>0</v>
      </c>
      <c r="T8" s="709" t="s">
        <v>23</v>
      </c>
      <c r="U8" s="710">
        <f t="shared" si="1"/>
        <v>0</v>
      </c>
      <c r="V8" s="709" t="s">
        <v>23</v>
      </c>
      <c r="W8" s="710">
        <f t="shared" si="2"/>
        <v>0</v>
      </c>
      <c r="X8" s="711"/>
      <c r="Y8" s="3316" t="s">
        <v>2374</v>
      </c>
      <c r="Z8" s="3317"/>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3"/>
      <c r="M9" s="2944"/>
      <c r="N9" s="2944"/>
      <c r="O9" s="2944"/>
      <c r="P9" s="3330"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330"/>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330"/>
      <c r="Q11" s="1528" t="str">
        <f t="shared" si="6"/>
        <v>容积率</v>
      </c>
      <c r="R11" s="709" t="s">
        <v>21</v>
      </c>
      <c r="S11" s="710" t="e">
        <f t="shared" si="0"/>
        <v>#N/A</v>
      </c>
      <c r="T11" s="709" t="s">
        <v>21</v>
      </c>
      <c r="U11" s="710" t="e">
        <f t="shared" si="1"/>
        <v>#N/A</v>
      </c>
      <c r="V11" s="709" t="s">
        <v>21</v>
      </c>
      <c r="W11" s="710" t="e">
        <f t="shared" si="2"/>
        <v>#N/A</v>
      </c>
      <c r="X11" s="711"/>
      <c r="Y11" s="3258"/>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3"/>
      <c r="M12" s="2944"/>
      <c r="N12" s="2944"/>
      <c r="O12" s="2944"/>
      <c r="P12" s="3330"/>
      <c r="Q12" s="1528">
        <f t="shared" si="6"/>
        <v>111</v>
      </c>
      <c r="R12" s="709" t="s">
        <v>21</v>
      </c>
      <c r="S12" s="710">
        <f t="shared" si="0"/>
        <v>100</v>
      </c>
      <c r="T12" s="709" t="s">
        <v>21</v>
      </c>
      <c r="U12" s="710">
        <f t="shared" si="1"/>
        <v>100</v>
      </c>
      <c r="V12" s="709" t="s">
        <v>21</v>
      </c>
      <c r="W12" s="710">
        <f t="shared" si="2"/>
        <v>100</v>
      </c>
      <c r="X12" s="711"/>
      <c r="Y12" s="325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8"/>
      <c r="M13" s="2942"/>
      <c r="N13" s="2942"/>
      <c r="O13" s="2942"/>
      <c r="P13" s="3330"/>
      <c r="Q13" s="1528">
        <f t="shared" si="6"/>
        <v>111</v>
      </c>
      <c r="R13" s="709" t="s">
        <v>21</v>
      </c>
      <c r="S13" s="710">
        <f t="shared" si="0"/>
        <v>100</v>
      </c>
      <c r="T13" s="709" t="s">
        <v>21</v>
      </c>
      <c r="U13" s="710">
        <f t="shared" si="1"/>
        <v>100</v>
      </c>
      <c r="V13" s="709" t="s">
        <v>21</v>
      </c>
      <c r="W13" s="710">
        <f t="shared" si="2"/>
        <v>100</v>
      </c>
      <c r="X13" s="711"/>
      <c r="Y13" s="3258"/>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8"/>
      <c r="M14" s="2942"/>
      <c r="N14" s="2942"/>
      <c r="O14" s="2942"/>
      <c r="P14" s="3330"/>
      <c r="Q14" s="1528">
        <f t="shared" si="6"/>
        <v>111</v>
      </c>
      <c r="R14" s="709" t="s">
        <v>21</v>
      </c>
      <c r="S14" s="710">
        <f t="shared" si="0"/>
        <v>100</v>
      </c>
      <c r="T14" s="709" t="s">
        <v>21</v>
      </c>
      <c r="U14" s="710">
        <f t="shared" si="1"/>
        <v>100</v>
      </c>
      <c r="V14" s="709" t="s">
        <v>21</v>
      </c>
      <c r="W14" s="710">
        <f t="shared" si="2"/>
        <v>100</v>
      </c>
      <c r="X14" s="711"/>
      <c r="Y14" s="3258"/>
      <c r="Z14" s="55">
        <f t="shared" si="7"/>
        <v>111</v>
      </c>
      <c r="AA14" s="712">
        <f t="shared" si="3"/>
        <v>1</v>
      </c>
      <c r="AB14" s="712">
        <f t="shared" si="4"/>
        <v>1</v>
      </c>
      <c r="AC14" s="712">
        <f t="shared" si="5"/>
        <v>1</v>
      </c>
    </row>
    <row r="15" spans="1:29" ht="15">
      <c r="A15" s="398" t="s">
        <v>2381</v>
      </c>
      <c r="B15" s="65" t="s">
        <v>1944</v>
      </c>
      <c r="C15" s="2083" t="str">
        <f>估价对象房地状况!C3</f>
        <v>较好</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50" t="s">
        <v>2382</v>
      </c>
      <c r="Q15" s="1537" t="str">
        <f t="shared" si="6"/>
        <v>居住社区成熟度</v>
      </c>
      <c r="R15" s="713" t="s">
        <v>21</v>
      </c>
      <c r="S15" s="714">
        <f t="shared" si="0"/>
        <v>100</v>
      </c>
      <c r="T15" s="713" t="s">
        <v>21</v>
      </c>
      <c r="U15" s="714">
        <f t="shared" si="1"/>
        <v>100</v>
      </c>
      <c r="V15" s="713" t="s">
        <v>21</v>
      </c>
      <c r="W15" s="714">
        <f t="shared" si="2"/>
        <v>100</v>
      </c>
      <c r="X15" s="1540"/>
      <c r="Y15" s="3352"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8"/>
      <c r="M16" s="2942"/>
      <c r="N16" s="2942"/>
      <c r="O16" s="2942"/>
      <c r="P16" s="3351"/>
      <c r="Q16" s="1537"/>
      <c r="R16" s="713"/>
      <c r="S16" s="714"/>
      <c r="T16" s="713"/>
      <c r="U16" s="714"/>
      <c r="V16" s="713"/>
      <c r="W16" s="714"/>
      <c r="X16" s="1540"/>
      <c r="Y16" s="3353"/>
      <c r="Z16" s="1541"/>
      <c r="AA16" s="1538">
        <v>1</v>
      </c>
      <c r="AB16" s="1538">
        <v>1</v>
      </c>
      <c r="AC16" s="1538">
        <v>1</v>
      </c>
    </row>
    <row r="17" spans="1:29" ht="15">
      <c r="A17" s="386"/>
      <c r="B17" s="409" t="s">
        <v>1946</v>
      </c>
      <c r="C17" s="2087"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51"/>
      <c r="Q17" s="1537" t="str">
        <f>B17</f>
        <v>交通便捷度</v>
      </c>
      <c r="R17" s="713" t="s">
        <v>21</v>
      </c>
      <c r="S17" s="714">
        <f>F17</f>
        <v>100</v>
      </c>
      <c r="T17" s="713" t="s">
        <v>21</v>
      </c>
      <c r="U17" s="714">
        <f>H17</f>
        <v>100</v>
      </c>
      <c r="V17" s="713" t="s">
        <v>21</v>
      </c>
      <c r="W17" s="714">
        <f>J17</f>
        <v>100</v>
      </c>
      <c r="X17" s="1540"/>
      <c r="Y17" s="3353"/>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8"/>
      <c r="M18" s="2942"/>
      <c r="N18" s="2942"/>
      <c r="O18" s="2942"/>
      <c r="P18" s="3351"/>
      <c r="Q18" s="1537"/>
      <c r="R18" s="713"/>
      <c r="S18" s="714"/>
      <c r="T18" s="713"/>
      <c r="U18" s="714"/>
      <c r="V18" s="713"/>
      <c r="W18" s="714"/>
      <c r="X18" s="1540"/>
      <c r="Y18" s="3353"/>
      <c r="Z18" s="1541"/>
      <c r="AA18" s="1538">
        <v>1</v>
      </c>
      <c r="AB18" s="1538">
        <v>1</v>
      </c>
      <c r="AC18" s="1538">
        <v>1</v>
      </c>
    </row>
    <row r="19" spans="1:29" ht="15">
      <c r="A19" s="386"/>
      <c r="B19" s="409" t="s">
        <v>1945</v>
      </c>
      <c r="C19" s="2087"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51"/>
      <c r="Q19" s="1537" t="str">
        <f>B19</f>
        <v>公共配套设施</v>
      </c>
      <c r="R19" s="713" t="s">
        <v>21</v>
      </c>
      <c r="S19" s="714">
        <f>F19</f>
        <v>100</v>
      </c>
      <c r="T19" s="713" t="s">
        <v>21</v>
      </c>
      <c r="U19" s="714">
        <f>H19</f>
        <v>100</v>
      </c>
      <c r="V19" s="713" t="s">
        <v>21</v>
      </c>
      <c r="W19" s="714">
        <f>J19</f>
        <v>100</v>
      </c>
      <c r="X19" s="1540"/>
      <c r="Y19" s="3353"/>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8"/>
      <c r="M20" s="2942"/>
      <c r="N20" s="2942"/>
      <c r="O20" s="2942"/>
      <c r="P20" s="3351"/>
      <c r="Q20" s="1537"/>
      <c r="R20" s="713"/>
      <c r="S20" s="714"/>
      <c r="T20" s="713"/>
      <c r="U20" s="714"/>
      <c r="V20" s="713"/>
      <c r="W20" s="714"/>
      <c r="X20" s="1540"/>
      <c r="Y20" s="3353"/>
      <c r="Z20" s="1541"/>
      <c r="AA20" s="1538">
        <v>1</v>
      </c>
      <c r="AB20" s="1538">
        <v>1</v>
      </c>
      <c r="AC20" s="1538">
        <v>1</v>
      </c>
    </row>
    <row r="21" spans="1:29" ht="15">
      <c r="A21" s="386"/>
      <c r="B21" s="1292" t="s">
        <v>1947</v>
      </c>
      <c r="C21" s="2087"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51"/>
      <c r="Q21" s="1537" t="str">
        <f>B21</f>
        <v>基础设施水平</v>
      </c>
      <c r="R21" s="713" t="s">
        <v>17</v>
      </c>
      <c r="S21" s="714">
        <f>F21</f>
        <v>100</v>
      </c>
      <c r="T21" s="713" t="s">
        <v>17</v>
      </c>
      <c r="U21" s="714">
        <f>H21</f>
        <v>100</v>
      </c>
      <c r="V21" s="713" t="s">
        <v>17</v>
      </c>
      <c r="W21" s="714">
        <f>J21</f>
        <v>100</v>
      </c>
      <c r="X21" s="1540"/>
      <c r="Y21" s="335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8"/>
      <c r="M22" s="2942"/>
      <c r="N22" s="2942"/>
      <c r="O22" s="2942"/>
      <c r="P22" s="3351"/>
      <c r="Q22" s="1537"/>
      <c r="R22" s="713"/>
      <c r="S22" s="714"/>
      <c r="T22" s="713"/>
      <c r="U22" s="714"/>
      <c r="V22" s="713"/>
      <c r="W22" s="714"/>
      <c r="X22" s="1540"/>
      <c r="Y22" s="3353"/>
      <c r="Z22" s="1541"/>
      <c r="AA22" s="1538">
        <v>1</v>
      </c>
      <c r="AB22" s="1538">
        <v>1</v>
      </c>
      <c r="AC22" s="1538">
        <v>1</v>
      </c>
    </row>
    <row r="23" spans="1:29" ht="15">
      <c r="A23" s="386"/>
      <c r="B23" s="409" t="s">
        <v>1948</v>
      </c>
      <c r="C23" s="2087"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51"/>
      <c r="Q23" s="1537" t="str">
        <f>B23</f>
        <v>自然及人文环境</v>
      </c>
      <c r="R23" s="713" t="s">
        <v>21</v>
      </c>
      <c r="S23" s="714">
        <f>F23</f>
        <v>100</v>
      </c>
      <c r="T23" s="713" t="s">
        <v>21</v>
      </c>
      <c r="U23" s="714">
        <f>H23</f>
        <v>100</v>
      </c>
      <c r="V23" s="713" t="s">
        <v>21</v>
      </c>
      <c r="W23" s="714">
        <f>J23</f>
        <v>100</v>
      </c>
      <c r="X23" s="1540"/>
      <c r="Y23" s="3353"/>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8"/>
      <c r="M24" s="2942"/>
      <c r="N24" s="2942"/>
      <c r="O24" s="2942"/>
      <c r="P24" s="3351"/>
      <c r="Q24" s="1537"/>
      <c r="R24" s="713"/>
      <c r="S24" s="714"/>
      <c r="T24" s="713"/>
      <c r="U24" s="714"/>
      <c r="V24" s="713"/>
      <c r="W24" s="714"/>
      <c r="X24" s="1540"/>
      <c r="Y24" s="3353"/>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48"/>
      <c r="M25" s="2942"/>
      <c r="N25" s="2942"/>
      <c r="O25" s="2942"/>
      <c r="P25" s="3351"/>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53"/>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48"/>
      <c r="M26" s="2942"/>
      <c r="N26" s="2942"/>
      <c r="O26" s="2942"/>
      <c r="P26" s="3351"/>
      <c r="Q26" s="1537" t="str">
        <f t="shared" si="11"/>
        <v>朝向</v>
      </c>
      <c r="R26" s="713" t="s">
        <v>21</v>
      </c>
      <c r="S26" s="714">
        <f t="shared" si="12"/>
        <v>100</v>
      </c>
      <c r="T26" s="713" t="s">
        <v>21</v>
      </c>
      <c r="U26" s="714">
        <f t="shared" si="13"/>
        <v>100</v>
      </c>
      <c r="V26" s="713" t="s">
        <v>21</v>
      </c>
      <c r="W26" s="714">
        <f t="shared" si="14"/>
        <v>100</v>
      </c>
      <c r="X26" s="1540"/>
      <c r="Y26" s="3353"/>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3"/>
      <c r="M27" s="2944"/>
      <c r="N27" s="2944"/>
      <c r="O27" s="2944"/>
      <c r="P27" s="3351"/>
      <c r="Q27" s="1528">
        <f t="shared" si="11"/>
        <v>111</v>
      </c>
      <c r="R27" s="709" t="s">
        <v>21</v>
      </c>
      <c r="S27" s="710">
        <f t="shared" si="12"/>
        <v>100</v>
      </c>
      <c r="T27" s="709" t="s">
        <v>21</v>
      </c>
      <c r="U27" s="710">
        <f t="shared" si="13"/>
        <v>100</v>
      </c>
      <c r="V27" s="709" t="s">
        <v>21</v>
      </c>
      <c r="W27" s="710">
        <f t="shared" si="14"/>
        <v>100</v>
      </c>
      <c r="X27" s="711"/>
      <c r="Y27" s="3353"/>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8"/>
      <c r="M28" s="2942"/>
      <c r="N28" s="2942"/>
      <c r="O28" s="2942"/>
      <c r="P28" s="3351"/>
      <c r="Q28" s="1537">
        <f t="shared" si="11"/>
        <v>111</v>
      </c>
      <c r="R28" s="713" t="s">
        <v>21</v>
      </c>
      <c r="S28" s="714">
        <f t="shared" si="12"/>
        <v>100</v>
      </c>
      <c r="T28" s="713" t="s">
        <v>21</v>
      </c>
      <c r="U28" s="714">
        <f t="shared" si="13"/>
        <v>100</v>
      </c>
      <c r="V28" s="713" t="s">
        <v>21</v>
      </c>
      <c r="W28" s="714">
        <f t="shared" si="14"/>
        <v>100</v>
      </c>
      <c r="X28" s="1540"/>
      <c r="Y28" s="3353"/>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8"/>
      <c r="M29" s="2942"/>
      <c r="N29" s="2942"/>
      <c r="O29" s="2942"/>
      <c r="P29" s="3351"/>
      <c r="Q29" s="1537">
        <f t="shared" si="11"/>
        <v>111</v>
      </c>
      <c r="R29" s="713" t="s">
        <v>21</v>
      </c>
      <c r="S29" s="714">
        <f t="shared" si="12"/>
        <v>100</v>
      </c>
      <c r="T29" s="713" t="s">
        <v>21</v>
      </c>
      <c r="U29" s="714">
        <f t="shared" si="13"/>
        <v>100</v>
      </c>
      <c r="V29" s="713" t="s">
        <v>21</v>
      </c>
      <c r="W29" s="714">
        <f t="shared" si="14"/>
        <v>100</v>
      </c>
      <c r="X29" s="1540"/>
      <c r="Y29" s="3353"/>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8"/>
      <c r="M30" s="2942"/>
      <c r="N30" s="2942"/>
      <c r="O30" s="2942"/>
      <c r="P30" s="3351"/>
      <c r="Q30" s="1537">
        <f t="shared" si="11"/>
        <v>111</v>
      </c>
      <c r="R30" s="713" t="s">
        <v>21</v>
      </c>
      <c r="S30" s="714">
        <f t="shared" si="12"/>
        <v>100</v>
      </c>
      <c r="T30" s="713" t="s">
        <v>21</v>
      </c>
      <c r="U30" s="714">
        <f t="shared" si="13"/>
        <v>100</v>
      </c>
      <c r="V30" s="713" t="s">
        <v>21</v>
      </c>
      <c r="W30" s="714">
        <f t="shared" si="14"/>
        <v>100</v>
      </c>
      <c r="X30" s="1540"/>
      <c r="Y30" s="3353"/>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8"/>
      <c r="M31" s="2942"/>
      <c r="N31" s="2942"/>
      <c r="O31" s="2942"/>
      <c r="P31" s="3351"/>
      <c r="Q31" s="1537">
        <f t="shared" si="11"/>
        <v>111</v>
      </c>
      <c r="R31" s="713" t="s">
        <v>21</v>
      </c>
      <c r="S31" s="714">
        <f t="shared" si="12"/>
        <v>100</v>
      </c>
      <c r="T31" s="713" t="s">
        <v>21</v>
      </c>
      <c r="U31" s="714">
        <f t="shared" si="13"/>
        <v>100</v>
      </c>
      <c r="V31" s="713" t="s">
        <v>21</v>
      </c>
      <c r="W31" s="714">
        <f t="shared" si="14"/>
        <v>100</v>
      </c>
      <c r="X31" s="1540"/>
      <c r="Y31" s="3353"/>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8"/>
      <c r="M32" s="2942"/>
      <c r="N32" s="2942"/>
      <c r="O32" s="2942"/>
      <c r="P32" s="3354" t="s">
        <v>2387</v>
      </c>
      <c r="Q32" s="1537" t="str">
        <f t="shared" si="11"/>
        <v>建筑类型</v>
      </c>
      <c r="R32" s="713" t="s">
        <v>21</v>
      </c>
      <c r="S32" s="714">
        <f t="shared" si="12"/>
        <v>100</v>
      </c>
      <c r="T32" s="713" t="s">
        <v>21</v>
      </c>
      <c r="U32" s="714">
        <f t="shared" si="13"/>
        <v>100</v>
      </c>
      <c r="V32" s="713" t="s">
        <v>21</v>
      </c>
      <c r="W32" s="714">
        <f t="shared" si="14"/>
        <v>100</v>
      </c>
      <c r="X32" s="1540"/>
      <c r="Y32" s="3357"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7"/>
      <c r="M33" s="2949"/>
      <c r="N33" s="2949"/>
      <c r="O33" s="2949"/>
      <c r="P33" s="3355"/>
      <c r="Q33" s="715" t="str">
        <f t="shared" si="11"/>
        <v>项目建筑规模</v>
      </c>
      <c r="R33" s="716" t="s">
        <v>21</v>
      </c>
      <c r="S33" s="717" t="e">
        <f t="shared" si="12"/>
        <v>#N/A</v>
      </c>
      <c r="T33" s="716" t="s">
        <v>21</v>
      </c>
      <c r="U33" s="717" t="e">
        <f t="shared" si="13"/>
        <v>#N/A</v>
      </c>
      <c r="V33" s="716" t="s">
        <v>21</v>
      </c>
      <c r="W33" s="717" t="e">
        <f t="shared" si="14"/>
        <v>#N/A</v>
      </c>
      <c r="X33" s="718"/>
      <c r="Y33" s="3357"/>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8"/>
      <c r="M34" s="2942"/>
      <c r="N34" s="2942"/>
      <c r="O34" s="2942"/>
      <c r="P34" s="3355"/>
      <c r="Q34" s="1537" t="str">
        <f t="shared" si="11"/>
        <v>建筑结构</v>
      </c>
      <c r="R34" s="713" t="s">
        <v>21</v>
      </c>
      <c r="S34" s="714">
        <f t="shared" si="12"/>
        <v>100</v>
      </c>
      <c r="T34" s="713" t="s">
        <v>21</v>
      </c>
      <c r="U34" s="714">
        <f t="shared" si="13"/>
        <v>100</v>
      </c>
      <c r="V34" s="713" t="s">
        <v>21</v>
      </c>
      <c r="W34" s="714">
        <f t="shared" si="14"/>
        <v>100</v>
      </c>
      <c r="X34" s="1540"/>
      <c r="Y34" s="3357"/>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8"/>
      <c r="M35" s="2942"/>
      <c r="N35" s="2942"/>
      <c r="O35" s="2942"/>
      <c r="P35" s="3355"/>
      <c r="Q35" s="1537" t="str">
        <f t="shared" si="11"/>
        <v>建筑品质</v>
      </c>
      <c r="R35" s="713" t="s">
        <v>21</v>
      </c>
      <c r="S35" s="714">
        <f t="shared" si="12"/>
        <v>100</v>
      </c>
      <c r="T35" s="713" t="s">
        <v>21</v>
      </c>
      <c r="U35" s="714">
        <f t="shared" si="13"/>
        <v>100</v>
      </c>
      <c r="V35" s="713" t="s">
        <v>21</v>
      </c>
      <c r="W35" s="714">
        <f t="shared" si="14"/>
        <v>100</v>
      </c>
      <c r="X35" s="1540"/>
      <c r="Y35" s="3357"/>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8"/>
      <c r="M36" s="2942"/>
      <c r="N36" s="2942"/>
      <c r="O36" s="2942"/>
      <c r="P36" s="3355"/>
      <c r="Q36" s="1537" t="str">
        <f t="shared" si="11"/>
        <v>公共部分装修</v>
      </c>
      <c r="R36" s="713" t="s">
        <v>21</v>
      </c>
      <c r="S36" s="714">
        <f t="shared" si="12"/>
        <v>100</v>
      </c>
      <c r="T36" s="713" t="s">
        <v>21</v>
      </c>
      <c r="U36" s="714">
        <f t="shared" si="13"/>
        <v>100</v>
      </c>
      <c r="V36" s="713" t="s">
        <v>21</v>
      </c>
      <c r="W36" s="714">
        <f t="shared" si="14"/>
        <v>100</v>
      </c>
      <c r="X36" s="1540"/>
      <c r="Y36" s="3357"/>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355"/>
      <c r="Q37" s="1528" t="str">
        <f t="shared" si="11"/>
        <v>成新度</v>
      </c>
      <c r="R37" s="709" t="s">
        <v>21</v>
      </c>
      <c r="S37" s="710" t="e">
        <f t="shared" si="12"/>
        <v>#N/A</v>
      </c>
      <c r="T37" s="709" t="s">
        <v>21</v>
      </c>
      <c r="U37" s="710" t="e">
        <f t="shared" si="13"/>
        <v>#N/A</v>
      </c>
      <c r="V37" s="709" t="s">
        <v>21</v>
      </c>
      <c r="W37" s="710" t="e">
        <f t="shared" si="14"/>
        <v>#N/A</v>
      </c>
      <c r="X37" s="711"/>
      <c r="Y37" s="3357"/>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8"/>
      <c r="M38" s="2942"/>
      <c r="N38" s="2942"/>
      <c r="O38" s="2942"/>
      <c r="P38" s="3355" t="s">
        <v>2387</v>
      </c>
      <c r="Q38" s="1537" t="str">
        <f t="shared" si="11"/>
        <v>物业管理</v>
      </c>
      <c r="R38" s="713" t="s">
        <v>21</v>
      </c>
      <c r="S38" s="714">
        <f t="shared" si="12"/>
        <v>100</v>
      </c>
      <c r="T38" s="713" t="s">
        <v>21</v>
      </c>
      <c r="U38" s="714">
        <f t="shared" si="13"/>
        <v>100</v>
      </c>
      <c r="V38" s="713" t="s">
        <v>21</v>
      </c>
      <c r="W38" s="714">
        <f t="shared" si="14"/>
        <v>100</v>
      </c>
      <c r="X38" s="1540"/>
      <c r="Y38" s="3357"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8"/>
      <c r="M39" s="2942"/>
      <c r="N39" s="2942"/>
      <c r="O39" s="2942"/>
      <c r="P39" s="3355"/>
      <c r="Q39" s="1537" t="str">
        <f t="shared" si="11"/>
        <v>市政基础设施</v>
      </c>
      <c r="R39" s="713" t="s">
        <v>21</v>
      </c>
      <c r="S39" s="714">
        <f t="shared" si="12"/>
        <v>100</v>
      </c>
      <c r="T39" s="713" t="s">
        <v>21</v>
      </c>
      <c r="U39" s="714">
        <f t="shared" si="13"/>
        <v>100</v>
      </c>
      <c r="V39" s="713" t="s">
        <v>21</v>
      </c>
      <c r="W39" s="714">
        <f t="shared" si="14"/>
        <v>100</v>
      </c>
      <c r="X39" s="1540"/>
      <c r="Y39" s="3357"/>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8"/>
      <c r="M40" s="2942"/>
      <c r="N40" s="2942"/>
      <c r="O40" s="2942"/>
      <c r="P40" s="3355"/>
      <c r="Q40" s="1537" t="str">
        <f t="shared" si="11"/>
        <v>房型</v>
      </c>
      <c r="R40" s="713" t="s">
        <v>21</v>
      </c>
      <c r="S40" s="714">
        <f t="shared" si="12"/>
        <v>100</v>
      </c>
      <c r="T40" s="713" t="s">
        <v>21</v>
      </c>
      <c r="U40" s="714">
        <f t="shared" si="13"/>
        <v>100</v>
      </c>
      <c r="V40" s="713" t="s">
        <v>21</v>
      </c>
      <c r="W40" s="714">
        <f t="shared" si="14"/>
        <v>100</v>
      </c>
      <c r="X40" s="1540"/>
      <c r="Y40" s="3357"/>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7"/>
      <c r="M41" s="2949"/>
      <c r="N41" s="2949"/>
      <c r="O41" s="2949"/>
      <c r="P41" s="3355"/>
      <c r="Q41" s="715" t="str">
        <f t="shared" si="11"/>
        <v>单套/主力户型建筑面积</v>
      </c>
      <c r="R41" s="716" t="s">
        <v>21</v>
      </c>
      <c r="S41" s="717">
        <f t="shared" si="12"/>
        <v>100</v>
      </c>
      <c r="T41" s="716" t="s">
        <v>21</v>
      </c>
      <c r="U41" s="717">
        <f t="shared" si="13"/>
        <v>100</v>
      </c>
      <c r="V41" s="716" t="s">
        <v>21</v>
      </c>
      <c r="W41" s="717">
        <f t="shared" si="14"/>
        <v>100</v>
      </c>
      <c r="X41" s="718"/>
      <c r="Y41" s="3357"/>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8"/>
      <c r="M42" s="2942"/>
      <c r="N42" s="2942"/>
      <c r="O42" s="2942"/>
      <c r="P42" s="3355"/>
      <c r="Q42" s="1537" t="str">
        <f t="shared" si="11"/>
        <v>内部装修</v>
      </c>
      <c r="R42" s="713" t="s">
        <v>21</v>
      </c>
      <c r="S42" s="714">
        <f t="shared" si="12"/>
        <v>100</v>
      </c>
      <c r="T42" s="713" t="s">
        <v>21</v>
      </c>
      <c r="U42" s="714">
        <f t="shared" si="13"/>
        <v>100</v>
      </c>
      <c r="V42" s="713" t="s">
        <v>21</v>
      </c>
      <c r="W42" s="714">
        <f t="shared" si="14"/>
        <v>100</v>
      </c>
      <c r="X42" s="1540"/>
      <c r="Y42" s="3357"/>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8"/>
      <c r="M43" s="2942"/>
      <c r="N43" s="2942"/>
      <c r="O43" s="2942"/>
      <c r="P43" s="3355"/>
      <c r="Q43" s="1537" t="str">
        <f t="shared" si="11"/>
        <v>内部装修维护情况</v>
      </c>
      <c r="R43" s="713" t="s">
        <v>21</v>
      </c>
      <c r="S43" s="714">
        <f t="shared" si="12"/>
        <v>100</v>
      </c>
      <c r="T43" s="713" t="s">
        <v>21</v>
      </c>
      <c r="U43" s="714">
        <f t="shared" si="13"/>
        <v>100</v>
      </c>
      <c r="V43" s="713" t="s">
        <v>21</v>
      </c>
      <c r="W43" s="714">
        <f t="shared" si="14"/>
        <v>100</v>
      </c>
      <c r="X43" s="1540"/>
      <c r="Y43" s="3357"/>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3"/>
      <c r="M44" s="2944"/>
      <c r="N44" s="2944"/>
      <c r="O44" s="2944"/>
      <c r="P44" s="3355"/>
      <c r="Q44" s="1528">
        <f t="shared" si="11"/>
        <v>111</v>
      </c>
      <c r="R44" s="709" t="s">
        <v>21</v>
      </c>
      <c r="S44" s="710">
        <f t="shared" si="12"/>
        <v>100</v>
      </c>
      <c r="T44" s="709" t="s">
        <v>21</v>
      </c>
      <c r="U44" s="710">
        <f t="shared" si="13"/>
        <v>100</v>
      </c>
      <c r="V44" s="709" t="s">
        <v>21</v>
      </c>
      <c r="W44" s="710">
        <f t="shared" si="14"/>
        <v>100</v>
      </c>
      <c r="X44" s="711"/>
      <c r="Y44" s="3357"/>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8"/>
      <c r="M45" s="2942"/>
      <c r="N45" s="2942"/>
      <c r="O45" s="2942"/>
      <c r="P45" s="3355"/>
      <c r="Q45" s="1537">
        <f t="shared" si="11"/>
        <v>111</v>
      </c>
      <c r="R45" s="713" t="s">
        <v>21</v>
      </c>
      <c r="S45" s="714">
        <f t="shared" si="12"/>
        <v>100</v>
      </c>
      <c r="T45" s="713" t="s">
        <v>21</v>
      </c>
      <c r="U45" s="714">
        <f t="shared" si="13"/>
        <v>100</v>
      </c>
      <c r="V45" s="713" t="s">
        <v>21</v>
      </c>
      <c r="W45" s="714">
        <f t="shared" si="14"/>
        <v>100</v>
      </c>
      <c r="X45" s="1540"/>
      <c r="Y45" s="3357"/>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8"/>
      <c r="M46" s="2942"/>
      <c r="N46" s="2942"/>
      <c r="O46" s="2942"/>
      <c r="P46" s="3356"/>
      <c r="Q46" s="1537">
        <f t="shared" si="11"/>
        <v>111</v>
      </c>
      <c r="R46" s="713" t="s">
        <v>20</v>
      </c>
      <c r="S46" s="714">
        <f t="shared" si="12"/>
        <v>100</v>
      </c>
      <c r="T46" s="713" t="s">
        <v>20</v>
      </c>
      <c r="U46" s="714">
        <f t="shared" si="13"/>
        <v>100</v>
      </c>
      <c r="V46" s="713" t="s">
        <v>20</v>
      </c>
      <c r="W46" s="714">
        <f t="shared" si="14"/>
        <v>100</v>
      </c>
      <c r="X46" s="1540"/>
      <c r="Y46" s="3358"/>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0"/>
      <c r="M47" s="2951"/>
      <c r="N47" s="2942"/>
      <c r="O47" s="2951"/>
      <c r="P47" s="3359" t="str">
        <f>A47</f>
        <v>成交单价（元/平方米）</v>
      </c>
      <c r="Q47" s="3359"/>
      <c r="R47" s="3360">
        <f>E47</f>
        <v>0</v>
      </c>
      <c r="S47" s="3360"/>
      <c r="T47" s="3360">
        <f>G47</f>
        <v>0</v>
      </c>
      <c r="U47" s="3360"/>
      <c r="V47" s="3360">
        <f>I47</f>
        <v>0</v>
      </c>
      <c r="W47" s="3360"/>
      <c r="X47" s="698"/>
      <c r="Y47" s="720"/>
      <c r="Z47" s="698"/>
      <c r="AA47" s="698"/>
      <c r="AB47" s="698"/>
      <c r="AC47" s="698"/>
    </row>
    <row r="48" spans="1:29" ht="15.75" thickBot="1">
      <c r="A48" s="444" t="s">
        <v>2400</v>
      </c>
      <c r="B48" s="445"/>
      <c r="C48" s="1321" t="e">
        <f>R49</f>
        <v>#DIV/0!</v>
      </c>
      <c r="D48" s="2539" t="s">
        <v>2880</v>
      </c>
      <c r="E48" s="1322" t="e">
        <f>R48</f>
        <v>#DIV/0!</v>
      </c>
      <c r="F48" s="2540"/>
      <c r="G48" s="1321" t="e">
        <f>T48</f>
        <v>#DIV/0!</v>
      </c>
      <c r="H48" s="2540"/>
      <c r="I48" s="1322" t="e">
        <f>V48</f>
        <v>#DIV/0!</v>
      </c>
      <c r="J48" s="2540"/>
      <c r="K48" s="2541">
        <f>F48+H48+J48</f>
        <v>0</v>
      </c>
      <c r="L48" s="2950"/>
      <c r="M48" s="2951"/>
      <c r="N48" s="2951"/>
      <c r="O48" s="2951"/>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0"/>
      <c r="M49" s="2951"/>
      <c r="N49" s="2951"/>
      <c r="O49" s="2951"/>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4"/>
    </row>
    <row r="55" spans="1:29" s="458"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#DIV/0!</v>
      </c>
      <c r="C3" s="359" t="s">
        <v>2466</v>
      </c>
      <c r="D3" s="358">
        <f>IF(D1="",'数据-汇总表'!E3,SUMIF('数据-汇总表'!$C19:$C33,D1,'数据-汇总表'!$E19:$E33))</f>
        <v>15279.68</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0" t="s">
        <v>2467</v>
      </c>
      <c r="B4" s="361"/>
      <c r="C4" s="3334" t="s">
        <v>2468</v>
      </c>
      <c r="D4" s="3335"/>
      <c r="E4" s="3336" t="s">
        <v>2469</v>
      </c>
      <c r="F4" s="3337"/>
      <c r="G4" s="3334" t="s">
        <v>2470</v>
      </c>
      <c r="H4" s="3335"/>
      <c r="I4" s="3334" t="s">
        <v>2471</v>
      </c>
      <c r="J4" s="3335"/>
      <c r="K4" s="566" t="s">
        <v>2472</v>
      </c>
      <c r="L4" s="2941"/>
      <c r="M4" s="2942"/>
      <c r="N4" s="2942"/>
      <c r="O4" s="2942"/>
      <c r="P4" s="3399" t="s">
        <v>2473</v>
      </c>
      <c r="Q4" s="3400"/>
      <c r="R4" s="3397" t="s">
        <v>2469</v>
      </c>
      <c r="S4" s="3398"/>
      <c r="T4" s="3397" t="s">
        <v>2470</v>
      </c>
      <c r="U4" s="3398"/>
      <c r="V4" s="3347" t="s">
        <v>2471</v>
      </c>
      <c r="W4" s="3347"/>
      <c r="X4" s="1540"/>
      <c r="Y4" s="3397" t="s">
        <v>2473</v>
      </c>
      <c r="Z4" s="3398"/>
      <c r="AA4" s="3396" t="s">
        <v>2469</v>
      </c>
      <c r="AB4" s="3347" t="s">
        <v>2470</v>
      </c>
      <c r="AC4" s="3396" t="s">
        <v>2471</v>
      </c>
    </row>
    <row r="5" spans="1:29" ht="15">
      <c r="A5" s="363"/>
      <c r="B5" s="364"/>
      <c r="C5" s="3324" t="s">
        <v>2364</v>
      </c>
      <c r="D5" s="3325"/>
      <c r="E5" s="3322" t="s">
        <v>2365</v>
      </c>
      <c r="F5" s="3323"/>
      <c r="G5" s="3324" t="s">
        <v>2366</v>
      </c>
      <c r="H5" s="3325"/>
      <c r="I5" s="3324" t="s">
        <v>2367</v>
      </c>
      <c r="J5" s="3325"/>
      <c r="K5" s="566"/>
      <c r="L5" s="2941"/>
      <c r="M5" s="2942"/>
      <c r="N5" s="2942"/>
      <c r="O5" s="2942"/>
      <c r="P5" s="3401"/>
      <c r="Q5" s="3341"/>
      <c r="R5" s="3320"/>
      <c r="S5" s="3321"/>
      <c r="T5" s="3320"/>
      <c r="U5" s="3321"/>
      <c r="V5" s="3347"/>
      <c r="W5" s="3347"/>
      <c r="X5" s="1540"/>
      <c r="Y5" s="3320"/>
      <c r="Z5" s="3321"/>
      <c r="AA5" s="3314"/>
      <c r="AB5" s="3347"/>
      <c r="AC5" s="3314"/>
    </row>
    <row r="6" spans="1:29" ht="15.75" thickBot="1">
      <c r="A6" s="365"/>
      <c r="B6" s="366"/>
      <c r="C6" s="3326" t="s">
        <v>2368</v>
      </c>
      <c r="D6" s="3327"/>
      <c r="E6" s="3328" t="s">
        <v>2368</v>
      </c>
      <c r="F6" s="3329"/>
      <c r="G6" s="3326" t="s">
        <v>2368</v>
      </c>
      <c r="H6" s="3327"/>
      <c r="I6" s="3326" t="s">
        <v>2368</v>
      </c>
      <c r="J6" s="3327"/>
      <c r="K6" s="566" t="s">
        <v>2369</v>
      </c>
      <c r="L6" s="2941"/>
      <c r="M6" s="2942"/>
      <c r="N6" s="2942"/>
      <c r="O6" s="2942"/>
      <c r="P6" s="3402"/>
      <c r="Q6" s="3343"/>
      <c r="R6" s="3320"/>
      <c r="S6" s="3321"/>
      <c r="T6" s="3344"/>
      <c r="U6" s="3345"/>
      <c r="V6" s="3347"/>
      <c r="W6" s="3347"/>
      <c r="X6" s="1540"/>
      <c r="Y6" s="3344"/>
      <c r="Z6" s="3345"/>
      <c r="AA6" s="3315"/>
      <c r="AB6" s="3347"/>
      <c r="AC6" s="3315"/>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16" t="s">
        <v>2371</v>
      </c>
      <c r="Q7" s="3349"/>
      <c r="R7" s="709" t="s">
        <v>17</v>
      </c>
      <c r="S7" s="710">
        <f t="shared" ref="S7:S15" si="0">F7</f>
        <v>0</v>
      </c>
      <c r="T7" s="709" t="s">
        <v>17</v>
      </c>
      <c r="U7" s="710">
        <f t="shared" ref="U7:U15" si="1">H7</f>
        <v>0</v>
      </c>
      <c r="V7" s="709" t="s">
        <v>17</v>
      </c>
      <c r="W7" s="710">
        <f t="shared" ref="W7:W15" si="2">J7</f>
        <v>0</v>
      </c>
      <c r="X7" s="711"/>
      <c r="Y7" s="3316" t="s">
        <v>2371</v>
      </c>
      <c r="Z7" s="3317"/>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16" t="s">
        <v>2374</v>
      </c>
      <c r="Q8" s="3317"/>
      <c r="R8" s="709" t="s">
        <v>17</v>
      </c>
      <c r="S8" s="710">
        <f t="shared" si="0"/>
        <v>0</v>
      </c>
      <c r="T8" s="709" t="s">
        <v>17</v>
      </c>
      <c r="U8" s="710">
        <f t="shared" si="1"/>
        <v>0</v>
      </c>
      <c r="V8" s="709" t="s">
        <v>17</v>
      </c>
      <c r="W8" s="710">
        <f t="shared" si="2"/>
        <v>0</v>
      </c>
      <c r="X8" s="711"/>
      <c r="Y8" s="3316" t="s">
        <v>2374</v>
      </c>
      <c r="Z8" s="3317"/>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30"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30"/>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30"/>
      <c r="Q11" s="1528" t="str">
        <f t="shared" si="6"/>
        <v>容积率</v>
      </c>
      <c r="R11" s="709" t="s">
        <v>17</v>
      </c>
      <c r="S11" s="710" t="e">
        <f t="shared" si="0"/>
        <v>#N/A</v>
      </c>
      <c r="T11" s="709" t="s">
        <v>17</v>
      </c>
      <c r="U11" s="710" t="e">
        <f t="shared" si="1"/>
        <v>#N/A</v>
      </c>
      <c r="V11" s="709" t="s">
        <v>17</v>
      </c>
      <c r="W11" s="710" t="e">
        <f t="shared" si="2"/>
        <v>#N/A</v>
      </c>
      <c r="X11" s="711"/>
      <c r="Y11" s="3258"/>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30"/>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30"/>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30"/>
      <c r="Q14" s="1528">
        <f t="shared" si="6"/>
        <v>111</v>
      </c>
      <c r="R14" s="709" t="s">
        <v>17</v>
      </c>
      <c r="S14" s="710">
        <f t="shared" si="0"/>
        <v>100</v>
      </c>
      <c r="T14" s="709" t="s">
        <v>17</v>
      </c>
      <c r="U14" s="710">
        <f t="shared" si="1"/>
        <v>100</v>
      </c>
      <c r="V14" s="709" t="s">
        <v>17</v>
      </c>
      <c r="W14" s="710">
        <f t="shared" si="2"/>
        <v>100</v>
      </c>
      <c r="X14" s="711"/>
      <c r="Y14" s="3258"/>
      <c r="Z14" s="55">
        <f t="shared" si="7"/>
        <v>111</v>
      </c>
      <c r="AA14" s="712">
        <f t="shared" si="3"/>
        <v>1</v>
      </c>
      <c r="AB14" s="712">
        <f t="shared" si="4"/>
        <v>1</v>
      </c>
      <c r="AC14" s="712">
        <f t="shared" si="5"/>
        <v>1</v>
      </c>
    </row>
    <row r="15" spans="1:29" ht="15">
      <c r="A15" s="398" t="s">
        <v>2381</v>
      </c>
      <c r="B15" s="65" t="s">
        <v>2475</v>
      </c>
      <c r="C15" s="2083" t="str">
        <f>估价对象房地状况!C4</f>
        <v>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50" t="s">
        <v>2382</v>
      </c>
      <c r="Q15" s="1537" t="str">
        <f t="shared" si="6"/>
        <v>商业繁华度</v>
      </c>
      <c r="R15" s="713" t="s">
        <v>17</v>
      </c>
      <c r="S15" s="714">
        <f t="shared" si="0"/>
        <v>100</v>
      </c>
      <c r="T15" s="713" t="s">
        <v>17</v>
      </c>
      <c r="U15" s="714">
        <f t="shared" si="1"/>
        <v>100</v>
      </c>
      <c r="V15" s="713" t="s">
        <v>17</v>
      </c>
      <c r="W15" s="714">
        <f t="shared" si="2"/>
        <v>100</v>
      </c>
      <c r="X15" s="1540"/>
      <c r="Y15" s="3352"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351"/>
      <c r="Q16" s="1537"/>
      <c r="R16" s="713"/>
      <c r="S16" s="714"/>
      <c r="T16" s="713"/>
      <c r="U16" s="714"/>
      <c r="V16" s="713"/>
      <c r="W16" s="714"/>
      <c r="X16" s="1540"/>
      <c r="Y16" s="3353"/>
      <c r="Z16" s="1541"/>
      <c r="AA16" s="1538">
        <v>1</v>
      </c>
      <c r="AB16" s="1538">
        <v>1</v>
      </c>
      <c r="AC16" s="1538">
        <v>1</v>
      </c>
    </row>
    <row r="17" spans="1:29" ht="15">
      <c r="A17" s="386"/>
      <c r="B17" s="409" t="s">
        <v>1946</v>
      </c>
      <c r="C17" s="2087"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51"/>
      <c r="Q17" s="1537" t="str">
        <f>B17</f>
        <v>交通便捷度</v>
      </c>
      <c r="R17" s="713" t="s">
        <v>17</v>
      </c>
      <c r="S17" s="714">
        <f>F17</f>
        <v>100</v>
      </c>
      <c r="T17" s="713" t="s">
        <v>17</v>
      </c>
      <c r="U17" s="714">
        <f>H17</f>
        <v>100</v>
      </c>
      <c r="V17" s="713" t="s">
        <v>17</v>
      </c>
      <c r="W17" s="714">
        <f>J17</f>
        <v>100</v>
      </c>
      <c r="X17" s="1540"/>
      <c r="Y17" s="3353"/>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8"/>
      <c r="M18" s="2942"/>
      <c r="N18" s="2942"/>
      <c r="O18" s="2942"/>
      <c r="P18" s="3351"/>
      <c r="Q18" s="1537"/>
      <c r="R18" s="713"/>
      <c r="S18" s="714"/>
      <c r="T18" s="713"/>
      <c r="U18" s="714"/>
      <c r="V18" s="713"/>
      <c r="W18" s="714"/>
      <c r="X18" s="1540"/>
      <c r="Y18" s="3353"/>
      <c r="Z18" s="1541"/>
      <c r="AA18" s="1538">
        <v>1</v>
      </c>
      <c r="AB18" s="1538">
        <v>1</v>
      </c>
      <c r="AC18" s="1538">
        <v>1</v>
      </c>
    </row>
    <row r="19" spans="1:29" ht="15">
      <c r="A19" s="386"/>
      <c r="B19" s="409" t="s">
        <v>2476</v>
      </c>
      <c r="C19" s="2087"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51"/>
      <c r="Q19" s="1537" t="str">
        <f>B19</f>
        <v>公共配套设施</v>
      </c>
      <c r="R19" s="713" t="s">
        <v>17</v>
      </c>
      <c r="S19" s="714">
        <f>F19</f>
        <v>100</v>
      </c>
      <c r="T19" s="713" t="s">
        <v>17</v>
      </c>
      <c r="U19" s="714">
        <f>H19</f>
        <v>100</v>
      </c>
      <c r="V19" s="713" t="s">
        <v>17</v>
      </c>
      <c r="W19" s="714">
        <f>J19</f>
        <v>100</v>
      </c>
      <c r="X19" s="1540"/>
      <c r="Y19" s="3353"/>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8"/>
      <c r="M20" s="2942"/>
      <c r="N20" s="2942"/>
      <c r="O20" s="2942"/>
      <c r="P20" s="3351"/>
      <c r="Q20" s="1537"/>
      <c r="R20" s="713"/>
      <c r="S20" s="714"/>
      <c r="T20" s="713"/>
      <c r="U20" s="714"/>
      <c r="V20" s="713"/>
      <c r="W20" s="714"/>
      <c r="X20" s="1540"/>
      <c r="Y20" s="3353"/>
      <c r="Z20" s="1541"/>
      <c r="AA20" s="1538">
        <v>1</v>
      </c>
      <c r="AB20" s="1538">
        <v>1</v>
      </c>
      <c r="AC20" s="1538">
        <v>1</v>
      </c>
    </row>
    <row r="21" spans="1:29" ht="15">
      <c r="A21" s="386"/>
      <c r="B21" s="1292" t="s">
        <v>2477</v>
      </c>
      <c r="C21" s="2087"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51"/>
      <c r="Q21" s="1537" t="str">
        <f>B21</f>
        <v>基础设施水平</v>
      </c>
      <c r="R21" s="713" t="s">
        <v>17</v>
      </c>
      <c r="S21" s="714">
        <f>F21</f>
        <v>100</v>
      </c>
      <c r="T21" s="713" t="s">
        <v>17</v>
      </c>
      <c r="U21" s="714">
        <f>H21</f>
        <v>100</v>
      </c>
      <c r="V21" s="713" t="s">
        <v>17</v>
      </c>
      <c r="W21" s="714">
        <f>J21</f>
        <v>100</v>
      </c>
      <c r="X21" s="1540"/>
      <c r="Y21" s="335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8"/>
      <c r="M22" s="2942"/>
      <c r="N22" s="2942"/>
      <c r="O22" s="2942"/>
      <c r="P22" s="3351"/>
      <c r="Q22" s="1537"/>
      <c r="R22" s="713"/>
      <c r="S22" s="714"/>
      <c r="T22" s="713"/>
      <c r="U22" s="714"/>
      <c r="V22" s="713"/>
      <c r="W22" s="714"/>
      <c r="X22" s="1540"/>
      <c r="Y22" s="3353"/>
      <c r="Z22" s="1541"/>
      <c r="AA22" s="1538">
        <v>1</v>
      </c>
      <c r="AB22" s="1538">
        <v>1</v>
      </c>
      <c r="AC22" s="1538">
        <v>1</v>
      </c>
    </row>
    <row r="23" spans="1:29" ht="15">
      <c r="A23" s="386"/>
      <c r="B23" s="409" t="s">
        <v>1948</v>
      </c>
      <c r="C23" s="2142"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51"/>
      <c r="Q23" s="1537" t="str">
        <f>B23</f>
        <v>自然及人文环境</v>
      </c>
      <c r="R23" s="713" t="s">
        <v>17</v>
      </c>
      <c r="S23" s="714">
        <f>F23</f>
        <v>100</v>
      </c>
      <c r="T23" s="713" t="s">
        <v>17</v>
      </c>
      <c r="U23" s="714">
        <f>H23</f>
        <v>100</v>
      </c>
      <c r="V23" s="713" t="s">
        <v>17</v>
      </c>
      <c r="W23" s="714">
        <f>J23</f>
        <v>100</v>
      </c>
      <c r="X23" s="1540"/>
      <c r="Y23" s="3353"/>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8"/>
      <c r="M24" s="2942"/>
      <c r="N24" s="2942"/>
      <c r="O24" s="2942"/>
      <c r="P24" s="3351"/>
      <c r="Q24" s="1537"/>
      <c r="R24" s="713"/>
      <c r="S24" s="714"/>
      <c r="T24" s="713"/>
      <c r="U24" s="714"/>
      <c r="V24" s="713"/>
      <c r="W24" s="714"/>
      <c r="X24" s="1540"/>
      <c r="Y24" s="3353"/>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51"/>
      <c r="Q25" s="1537" t="str">
        <f t="shared" ref="Q25:Q46" si="11">B25</f>
        <v>临街状况</v>
      </c>
      <c r="R25" s="713" t="s">
        <v>17</v>
      </c>
      <c r="S25" s="714">
        <f>F25</f>
        <v>100</v>
      </c>
      <c r="T25" s="713" t="s">
        <v>17</v>
      </c>
      <c r="U25" s="714">
        <f>H25</f>
        <v>100</v>
      </c>
      <c r="V25" s="713" t="s">
        <v>17</v>
      </c>
      <c r="W25" s="714">
        <f>J25</f>
        <v>100</v>
      </c>
      <c r="X25" s="1540"/>
      <c r="Y25" s="3353"/>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51"/>
      <c r="Q26" s="1537" t="str">
        <f t="shared" si="11"/>
        <v>平面位置/可视性</v>
      </c>
      <c r="R26" s="713" t="s">
        <v>17</v>
      </c>
      <c r="S26" s="714">
        <f>F26</f>
        <v>100</v>
      </c>
      <c r="T26" s="713" t="s">
        <v>17</v>
      </c>
      <c r="U26" s="714">
        <f>H26</f>
        <v>100</v>
      </c>
      <c r="V26" s="713" t="s">
        <v>17</v>
      </c>
      <c r="W26" s="714">
        <f>J26</f>
        <v>100</v>
      </c>
      <c r="X26" s="1540"/>
      <c r="Y26" s="3353"/>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3"/>
      <c r="M27" s="2944"/>
      <c r="N27" s="2944"/>
      <c r="O27" s="2944"/>
      <c r="P27" s="3351"/>
      <c r="Q27" s="1528" t="str">
        <f t="shared" si="11"/>
        <v>人流量</v>
      </c>
      <c r="R27" s="709" t="s">
        <v>17</v>
      </c>
      <c r="S27" s="710">
        <f>F27</f>
        <v>100</v>
      </c>
      <c r="T27" s="709" t="s">
        <v>17</v>
      </c>
      <c r="U27" s="710">
        <f>H27</f>
        <v>100</v>
      </c>
      <c r="V27" s="709" t="s">
        <v>17</v>
      </c>
      <c r="W27" s="710">
        <f>J27</f>
        <v>100</v>
      </c>
      <c r="X27" s="711"/>
      <c r="Y27" s="3353"/>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51"/>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53"/>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51"/>
      <c r="Q29" s="1537">
        <f t="shared" si="11"/>
        <v>111</v>
      </c>
      <c r="R29" s="713" t="s">
        <v>17</v>
      </c>
      <c r="S29" s="714">
        <f t="shared" si="12"/>
        <v>100</v>
      </c>
      <c r="T29" s="713" t="s">
        <v>17</v>
      </c>
      <c r="U29" s="714">
        <f t="shared" si="13"/>
        <v>100</v>
      </c>
      <c r="V29" s="713" t="s">
        <v>17</v>
      </c>
      <c r="W29" s="714">
        <f t="shared" si="14"/>
        <v>100</v>
      </c>
      <c r="X29" s="1540"/>
      <c r="Y29" s="3353"/>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51"/>
      <c r="Q30" s="1537">
        <f t="shared" si="11"/>
        <v>111</v>
      </c>
      <c r="R30" s="713" t="s">
        <v>17</v>
      </c>
      <c r="S30" s="714">
        <f t="shared" si="12"/>
        <v>100</v>
      </c>
      <c r="T30" s="713" t="s">
        <v>17</v>
      </c>
      <c r="U30" s="714">
        <f t="shared" si="13"/>
        <v>100</v>
      </c>
      <c r="V30" s="713" t="s">
        <v>17</v>
      </c>
      <c r="W30" s="714">
        <f t="shared" si="14"/>
        <v>100</v>
      </c>
      <c r="X30" s="1540"/>
      <c r="Y30" s="3353"/>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51"/>
      <c r="Q31" s="1537">
        <f t="shared" si="11"/>
        <v>111</v>
      </c>
      <c r="R31" s="713" t="s">
        <v>17</v>
      </c>
      <c r="S31" s="714">
        <f t="shared" si="12"/>
        <v>100</v>
      </c>
      <c r="T31" s="713" t="s">
        <v>17</v>
      </c>
      <c r="U31" s="714">
        <f t="shared" si="13"/>
        <v>100</v>
      </c>
      <c r="V31" s="713" t="s">
        <v>17</v>
      </c>
      <c r="W31" s="714">
        <f t="shared" si="14"/>
        <v>100</v>
      </c>
      <c r="X31" s="1540"/>
      <c r="Y31" s="3353"/>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8"/>
      <c r="M32" s="2942"/>
      <c r="N32" s="2942"/>
      <c r="O32" s="2942"/>
      <c r="P32" s="3354" t="s">
        <v>2387</v>
      </c>
      <c r="Q32" s="1537" t="str">
        <f t="shared" si="11"/>
        <v>商业类型</v>
      </c>
      <c r="R32" s="713" t="s">
        <v>17</v>
      </c>
      <c r="S32" s="714">
        <f t="shared" si="12"/>
        <v>100</v>
      </c>
      <c r="T32" s="713" t="s">
        <v>17</v>
      </c>
      <c r="U32" s="714">
        <f t="shared" si="13"/>
        <v>100</v>
      </c>
      <c r="V32" s="713" t="s">
        <v>17</v>
      </c>
      <c r="W32" s="714">
        <f t="shared" si="14"/>
        <v>100</v>
      </c>
      <c r="X32" s="1540"/>
      <c r="Y32" s="3357"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55"/>
      <c r="Q33" s="715" t="str">
        <f t="shared" si="11"/>
        <v>项目建筑规模</v>
      </c>
      <c r="R33" s="716" t="s">
        <v>17</v>
      </c>
      <c r="S33" s="717" t="e">
        <f t="shared" si="12"/>
        <v>#N/A</v>
      </c>
      <c r="T33" s="716" t="s">
        <v>17</v>
      </c>
      <c r="U33" s="717" t="e">
        <f t="shared" si="13"/>
        <v>#N/A</v>
      </c>
      <c r="V33" s="716" t="s">
        <v>17</v>
      </c>
      <c r="W33" s="717" t="e">
        <f t="shared" si="14"/>
        <v>#N/A</v>
      </c>
      <c r="X33" s="718"/>
      <c r="Y33" s="3357"/>
      <c r="Z33" s="719" t="str">
        <f t="shared" si="15"/>
        <v>项目建筑规模</v>
      </c>
      <c r="AA33" s="1538" t="e">
        <f t="shared" si="3"/>
        <v>#N/A</v>
      </c>
      <c r="AB33" s="1538" t="e">
        <f t="shared" si="4"/>
        <v>#N/A</v>
      </c>
      <c r="AC33" s="1538" t="e">
        <f t="shared" si="5"/>
        <v>#N/A</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8"/>
      <c r="M34" s="2942"/>
      <c r="N34" s="2942"/>
      <c r="O34" s="2942"/>
      <c r="P34" s="3355"/>
      <c r="Q34" s="1537" t="str">
        <f t="shared" si="11"/>
        <v>建筑结构</v>
      </c>
      <c r="R34" s="713" t="s">
        <v>17</v>
      </c>
      <c r="S34" s="714">
        <f t="shared" si="12"/>
        <v>100</v>
      </c>
      <c r="T34" s="713" t="s">
        <v>17</v>
      </c>
      <c r="U34" s="714">
        <f t="shared" si="13"/>
        <v>100</v>
      </c>
      <c r="V34" s="713" t="s">
        <v>17</v>
      </c>
      <c r="W34" s="714">
        <f t="shared" si="14"/>
        <v>100</v>
      </c>
      <c r="X34" s="1540"/>
      <c r="Y34" s="3357"/>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8"/>
      <c r="M35" s="2942"/>
      <c r="N35" s="2942"/>
      <c r="O35" s="2942"/>
      <c r="P35" s="3355"/>
      <c r="Q35" s="1537" t="str">
        <f t="shared" si="11"/>
        <v>公共部分装修</v>
      </c>
      <c r="R35" s="713" t="s">
        <v>17</v>
      </c>
      <c r="S35" s="714">
        <f t="shared" si="12"/>
        <v>100</v>
      </c>
      <c r="T35" s="713" t="s">
        <v>17</v>
      </c>
      <c r="U35" s="714">
        <f t="shared" si="13"/>
        <v>100</v>
      </c>
      <c r="V35" s="713" t="s">
        <v>17</v>
      </c>
      <c r="W35" s="714">
        <f t="shared" si="14"/>
        <v>100</v>
      </c>
      <c r="X35" s="1540"/>
      <c r="Y35" s="3357"/>
      <c r="Z35" s="1541" t="str">
        <f t="shared" si="15"/>
        <v>公共部分装修</v>
      </c>
      <c r="AA35" s="1538">
        <f t="shared" si="3"/>
        <v>1</v>
      </c>
      <c r="AB35" s="1538">
        <f t="shared" si="4"/>
        <v>1</v>
      </c>
      <c r="AC35" s="1538">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55"/>
      <c r="Q36" s="1537" t="str">
        <f t="shared" si="11"/>
        <v>成新度</v>
      </c>
      <c r="R36" s="713" t="s">
        <v>17</v>
      </c>
      <c r="S36" s="714" t="e">
        <f t="shared" si="12"/>
        <v>#N/A</v>
      </c>
      <c r="T36" s="713" t="s">
        <v>17</v>
      </c>
      <c r="U36" s="714" t="e">
        <f t="shared" si="13"/>
        <v>#N/A</v>
      </c>
      <c r="V36" s="713" t="s">
        <v>17</v>
      </c>
      <c r="W36" s="714" t="e">
        <f t="shared" si="14"/>
        <v>#N/A</v>
      </c>
      <c r="X36" s="1540"/>
      <c r="Y36" s="3357"/>
      <c r="Z36" s="1541" t="str">
        <f t="shared" si="15"/>
        <v>成新度</v>
      </c>
      <c r="AA36" s="1538" t="e">
        <f t="shared" si="3"/>
        <v>#N/A</v>
      </c>
      <c r="AB36" s="1538" t="e">
        <f t="shared" si="4"/>
        <v>#N/A</v>
      </c>
      <c r="AC36" s="1538" t="e">
        <f t="shared" si="5"/>
        <v>#N/A</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3"/>
      <c r="M37" s="2944"/>
      <c r="N37" s="2944"/>
      <c r="O37" s="2944"/>
      <c r="P37" s="3355"/>
      <c r="Q37" s="1528" t="str">
        <f t="shared" si="11"/>
        <v>市政基础设施</v>
      </c>
      <c r="R37" s="709" t="s">
        <v>17</v>
      </c>
      <c r="S37" s="710">
        <f t="shared" si="12"/>
        <v>100</v>
      </c>
      <c r="T37" s="709" t="s">
        <v>17</v>
      </c>
      <c r="U37" s="710">
        <f t="shared" si="13"/>
        <v>100</v>
      </c>
      <c r="V37" s="709" t="s">
        <v>17</v>
      </c>
      <c r="W37" s="710">
        <f t="shared" si="14"/>
        <v>100</v>
      </c>
      <c r="X37" s="711"/>
      <c r="Y37" s="3357"/>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8"/>
      <c r="M38" s="2942"/>
      <c r="N38" s="2942"/>
      <c r="O38" s="2942"/>
      <c r="P38" s="3355" t="s">
        <v>2387</v>
      </c>
      <c r="Q38" s="1537" t="str">
        <f t="shared" si="11"/>
        <v>业态</v>
      </c>
      <c r="R38" s="713" t="s">
        <v>17</v>
      </c>
      <c r="S38" s="714">
        <f t="shared" si="12"/>
        <v>100</v>
      </c>
      <c r="T38" s="713" t="s">
        <v>17</v>
      </c>
      <c r="U38" s="714">
        <f t="shared" si="13"/>
        <v>100</v>
      </c>
      <c r="V38" s="713" t="s">
        <v>17</v>
      </c>
      <c r="W38" s="714">
        <f t="shared" si="14"/>
        <v>100</v>
      </c>
      <c r="X38" s="1540"/>
      <c r="Y38" s="3357"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8"/>
      <c r="M39" s="2942"/>
      <c r="N39" s="2942"/>
      <c r="O39" s="2942"/>
      <c r="P39" s="3355"/>
      <c r="Q39" s="1537" t="str">
        <f t="shared" si="11"/>
        <v>层高</v>
      </c>
      <c r="R39" s="713" t="s">
        <v>17</v>
      </c>
      <c r="S39" s="714">
        <f t="shared" si="12"/>
        <v>100</v>
      </c>
      <c r="T39" s="713" t="s">
        <v>17</v>
      </c>
      <c r="U39" s="714">
        <f t="shared" si="13"/>
        <v>100</v>
      </c>
      <c r="V39" s="713" t="s">
        <v>17</v>
      </c>
      <c r="W39" s="714">
        <f t="shared" si="14"/>
        <v>100</v>
      </c>
      <c r="X39" s="1540"/>
      <c r="Y39" s="3357"/>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55"/>
      <c r="Q40" s="1537" t="str">
        <f t="shared" si="11"/>
        <v>单套建筑面积</v>
      </c>
      <c r="R40" s="713" t="s">
        <v>17</v>
      </c>
      <c r="S40" s="714">
        <f t="shared" si="12"/>
        <v>100</v>
      </c>
      <c r="T40" s="713" t="s">
        <v>17</v>
      </c>
      <c r="U40" s="714">
        <f t="shared" si="13"/>
        <v>100</v>
      </c>
      <c r="V40" s="713" t="s">
        <v>17</v>
      </c>
      <c r="W40" s="714">
        <f t="shared" si="14"/>
        <v>100</v>
      </c>
      <c r="X40" s="1540"/>
      <c r="Y40" s="3357"/>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55"/>
      <c r="Q41" s="715" t="str">
        <f t="shared" si="11"/>
        <v>进深比</v>
      </c>
      <c r="R41" s="716" t="s">
        <v>17</v>
      </c>
      <c r="S41" s="717">
        <f t="shared" si="12"/>
        <v>100</v>
      </c>
      <c r="T41" s="716" t="s">
        <v>17</v>
      </c>
      <c r="U41" s="717">
        <f t="shared" si="13"/>
        <v>100</v>
      </c>
      <c r="V41" s="716" t="s">
        <v>17</v>
      </c>
      <c r="W41" s="717">
        <f t="shared" si="14"/>
        <v>100</v>
      </c>
      <c r="X41" s="718"/>
      <c r="Y41" s="3357"/>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8"/>
      <c r="M42" s="2942"/>
      <c r="N42" s="2942"/>
      <c r="O42" s="2942"/>
      <c r="P42" s="3355"/>
      <c r="Q42" s="1537" t="str">
        <f t="shared" si="11"/>
        <v>内部装修</v>
      </c>
      <c r="R42" s="713" t="s">
        <v>17</v>
      </c>
      <c r="S42" s="714">
        <f t="shared" si="12"/>
        <v>100</v>
      </c>
      <c r="T42" s="713" t="s">
        <v>17</v>
      </c>
      <c r="U42" s="714">
        <f t="shared" si="13"/>
        <v>100</v>
      </c>
      <c r="V42" s="713" t="s">
        <v>17</v>
      </c>
      <c r="W42" s="714">
        <f t="shared" si="14"/>
        <v>100</v>
      </c>
      <c r="X42" s="1540"/>
      <c r="Y42" s="3357"/>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8"/>
      <c r="M43" s="2942"/>
      <c r="N43" s="2942"/>
      <c r="O43" s="2942"/>
      <c r="P43" s="3355"/>
      <c r="Q43" s="1537" t="str">
        <f t="shared" si="11"/>
        <v>内部装修维护情况</v>
      </c>
      <c r="R43" s="713" t="s">
        <v>17</v>
      </c>
      <c r="S43" s="714">
        <f t="shared" si="12"/>
        <v>100</v>
      </c>
      <c r="T43" s="713" t="s">
        <v>17</v>
      </c>
      <c r="U43" s="714">
        <f t="shared" si="13"/>
        <v>100</v>
      </c>
      <c r="V43" s="713" t="s">
        <v>17</v>
      </c>
      <c r="W43" s="714">
        <f t="shared" si="14"/>
        <v>100</v>
      </c>
      <c r="X43" s="1540"/>
      <c r="Y43" s="3357"/>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55"/>
      <c r="Q44" s="1528">
        <f t="shared" si="11"/>
        <v>111</v>
      </c>
      <c r="R44" s="709" t="s">
        <v>17</v>
      </c>
      <c r="S44" s="710">
        <f t="shared" si="12"/>
        <v>100</v>
      </c>
      <c r="T44" s="709" t="s">
        <v>17</v>
      </c>
      <c r="U44" s="710">
        <f t="shared" si="13"/>
        <v>100</v>
      </c>
      <c r="V44" s="709" t="s">
        <v>17</v>
      </c>
      <c r="W44" s="710">
        <f t="shared" si="14"/>
        <v>100</v>
      </c>
      <c r="X44" s="711"/>
      <c r="Y44" s="3357"/>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55"/>
      <c r="Q45" s="1537">
        <f t="shared" si="11"/>
        <v>111</v>
      </c>
      <c r="R45" s="713" t="s">
        <v>17</v>
      </c>
      <c r="S45" s="714">
        <f t="shared" si="12"/>
        <v>100</v>
      </c>
      <c r="T45" s="713" t="s">
        <v>17</v>
      </c>
      <c r="U45" s="714">
        <f t="shared" si="13"/>
        <v>100</v>
      </c>
      <c r="V45" s="713" t="s">
        <v>17</v>
      </c>
      <c r="W45" s="714">
        <f t="shared" si="14"/>
        <v>100</v>
      </c>
      <c r="X45" s="1540"/>
      <c r="Y45" s="3357"/>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56"/>
      <c r="Q46" s="1537">
        <f t="shared" si="11"/>
        <v>111</v>
      </c>
      <c r="R46" s="713" t="s">
        <v>17</v>
      </c>
      <c r="S46" s="714">
        <f t="shared" si="12"/>
        <v>100</v>
      </c>
      <c r="T46" s="713" t="s">
        <v>17</v>
      </c>
      <c r="U46" s="714">
        <f t="shared" si="13"/>
        <v>100</v>
      </c>
      <c r="V46" s="713" t="s">
        <v>17</v>
      </c>
      <c r="W46" s="714">
        <f t="shared" si="14"/>
        <v>100</v>
      </c>
      <c r="X46" s="1540"/>
      <c r="Y46" s="3358"/>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0"/>
      <c r="M47" s="2951"/>
      <c r="N47" s="2942"/>
      <c r="O47" s="2951"/>
      <c r="P47" s="3359" t="str">
        <f>A47</f>
        <v>成交单价（元/平方米）</v>
      </c>
      <c r="Q47" s="3359"/>
      <c r="R47" s="3347">
        <f>E47</f>
        <v>0</v>
      </c>
      <c r="S47" s="3347"/>
      <c r="T47" s="3347">
        <f>G47</f>
        <v>0</v>
      </c>
      <c r="U47" s="3347"/>
      <c r="V47" s="3347">
        <f>I47</f>
        <v>0</v>
      </c>
      <c r="W47" s="3347"/>
      <c r="X47" s="698"/>
      <c r="Y47" s="720"/>
      <c r="Z47" s="698"/>
      <c r="AA47" s="698"/>
      <c r="AB47" s="698"/>
      <c r="AC47" s="698"/>
    </row>
    <row r="48" spans="1:29" ht="15.75" thickBot="1">
      <c r="A48" s="444" t="s">
        <v>2491</v>
      </c>
      <c r="B48" s="445"/>
      <c r="C48" s="1321" t="e">
        <f>R49</f>
        <v>#DIV/0!</v>
      </c>
      <c r="D48" s="2539" t="s">
        <v>2880</v>
      </c>
      <c r="E48" s="1322" t="e">
        <f>R48</f>
        <v>#DIV/0!</v>
      </c>
      <c r="F48" s="2540"/>
      <c r="G48" s="1321" t="e">
        <f>T48</f>
        <v>#DIV/0!</v>
      </c>
      <c r="H48" s="2540"/>
      <c r="I48" s="1322" t="e">
        <f>V48</f>
        <v>#DIV/0!</v>
      </c>
      <c r="J48" s="2540"/>
      <c r="K48" s="2542">
        <f>F48+H48+J48</f>
        <v>0</v>
      </c>
      <c r="L48" s="2950"/>
      <c r="M48" s="2951"/>
      <c r="N48" s="2942"/>
      <c r="O48" s="2951"/>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50"/>
      <c r="M49" s="2951"/>
      <c r="N49" s="2942"/>
      <c r="O49" s="2951"/>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2496</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2370</v>
      </c>
      <c r="B58" s="462"/>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6"/>
      <c r="R59" s="2886"/>
      <c r="S59" s="2886"/>
      <c r="T59" s="2886"/>
      <c r="U59" s="2886"/>
      <c r="V59" s="2886"/>
      <c r="W59" s="2886"/>
      <c r="X59" s="2886"/>
      <c r="Y59" s="2886"/>
      <c r="Z59" s="2886"/>
      <c r="AA59" s="2886"/>
      <c r="AB59" s="2886"/>
      <c r="AC59" s="2886"/>
    </row>
    <row r="60" spans="1:29" s="113" customFormat="1" ht="15.75" thickBot="1">
      <c r="A60" s="471" t="s">
        <v>2407</v>
      </c>
      <c r="B60" s="472"/>
      <c r="C60" s="473"/>
      <c r="D60" s="474"/>
      <c r="E60" s="474"/>
      <c r="F60" s="474"/>
      <c r="G60" s="474"/>
      <c r="H60" s="474"/>
      <c r="I60" s="474"/>
      <c r="J60" s="474"/>
      <c r="K60" s="474"/>
      <c r="L60" s="474"/>
      <c r="M60" s="475"/>
      <c r="N60" s="474"/>
      <c r="O60" s="475"/>
      <c r="P60" s="2968"/>
      <c r="Q60" s="2965"/>
      <c r="R60" s="2886"/>
      <c r="S60" s="2886"/>
      <c r="T60" s="2886"/>
      <c r="U60" s="2886"/>
      <c r="V60" s="2886"/>
      <c r="W60" s="2886"/>
      <c r="X60" s="2886"/>
      <c r="Y60" s="2886"/>
      <c r="Z60" s="2886"/>
      <c r="AA60" s="2886"/>
      <c r="AB60" s="2886"/>
      <c r="AC60" s="2886"/>
    </row>
    <row r="61" spans="1:29" s="113" customFormat="1" ht="15">
      <c r="A61" s="477" t="s">
        <v>2372</v>
      </c>
      <c r="B61" s="466"/>
      <c r="C61" s="478" t="s">
        <v>2474</v>
      </c>
      <c r="D61" s="479"/>
      <c r="E61" s="479"/>
      <c r="F61" s="479"/>
      <c r="G61" s="479"/>
      <c r="H61" s="479"/>
      <c r="I61" s="479"/>
      <c r="J61" s="479"/>
      <c r="K61" s="479"/>
      <c r="L61" s="480"/>
      <c r="M61" s="481"/>
      <c r="N61" s="2978"/>
      <c r="O61" s="2978"/>
      <c r="P61" s="2969"/>
      <c r="Q61" s="2965"/>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6"/>
      <c r="S62" s="2886"/>
      <c r="T62" s="2886"/>
      <c r="U62" s="2886"/>
      <c r="V62" s="2886"/>
      <c r="W62" s="2886"/>
      <c r="X62" s="2886"/>
      <c r="Y62" s="2886"/>
      <c r="Z62" s="2886"/>
      <c r="AA62" s="2886"/>
      <c r="AB62" s="2886"/>
      <c r="AC62" s="2886"/>
    </row>
    <row r="63" spans="1:29">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2477</v>
      </c>
      <c r="C82" s="615" t="s">
        <v>2497</v>
      </c>
      <c r="D82" s="615" t="s">
        <v>2498</v>
      </c>
      <c r="E82" s="615" t="s">
        <v>2499</v>
      </c>
      <c r="F82" s="615" t="s">
        <v>2500</v>
      </c>
      <c r="G82" s="615" t="s">
        <v>2501</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2502</v>
      </c>
      <c r="C86" s="510"/>
      <c r="D86" s="510"/>
      <c r="E86" s="510"/>
      <c r="F86" s="510"/>
      <c r="G86" s="510"/>
      <c r="H86" s="510"/>
      <c r="I86" s="510"/>
      <c r="J86" s="510"/>
      <c r="K86" s="510"/>
      <c r="L86" s="536"/>
      <c r="M86" s="537"/>
      <c r="N86" s="2978"/>
      <c r="O86" s="2978"/>
      <c r="P86" s="2970"/>
      <c r="Q86" s="2965"/>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4"/>
      <c r="G88" s="510"/>
      <c r="H88" s="510"/>
      <c r="I88" s="510"/>
      <c r="J88" s="510"/>
      <c r="K88" s="510"/>
      <c r="L88" s="510"/>
      <c r="M88" s="537"/>
      <c r="N88" s="2978"/>
      <c r="O88" s="2978"/>
      <c r="P88" s="2970"/>
      <c r="Q88" s="2965"/>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0"/>
      <c r="O89" s="2980"/>
      <c r="P89" s="2970"/>
      <c r="Q89" s="2965"/>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5"/>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15279.68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34" t="s">
        <v>2468</v>
      </c>
      <c r="D4" s="3335"/>
      <c r="E4" s="3336" t="s">
        <v>2469</v>
      </c>
      <c r="F4" s="3337"/>
      <c r="G4" s="3334" t="s">
        <v>2470</v>
      </c>
      <c r="H4" s="3335"/>
      <c r="I4" s="3334" t="s">
        <v>2471</v>
      </c>
      <c r="J4" s="3335"/>
      <c r="K4" s="566" t="s">
        <v>2472</v>
      </c>
      <c r="L4" s="1043"/>
      <c r="M4" s="1044"/>
      <c r="N4" s="1044"/>
      <c r="O4" s="1044"/>
      <c r="P4" s="3399" t="s">
        <v>2473</v>
      </c>
      <c r="Q4" s="3400"/>
      <c r="R4" s="3397" t="s">
        <v>2469</v>
      </c>
      <c r="S4" s="3398"/>
      <c r="T4" s="3397" t="s">
        <v>2470</v>
      </c>
      <c r="U4" s="3398"/>
      <c r="V4" s="3347" t="s">
        <v>2471</v>
      </c>
      <c r="W4" s="3347"/>
      <c r="X4" s="1540"/>
      <c r="Y4" s="3397" t="s">
        <v>2473</v>
      </c>
      <c r="Z4" s="3398"/>
      <c r="AA4" s="3396" t="s">
        <v>2469</v>
      </c>
      <c r="AB4" s="3314" t="s">
        <v>2470</v>
      </c>
      <c r="AC4" s="3396" t="s">
        <v>2471</v>
      </c>
    </row>
    <row r="5" spans="1:29" ht="15">
      <c r="A5" s="363"/>
      <c r="B5" s="364"/>
      <c r="C5" s="3324" t="s">
        <v>2364</v>
      </c>
      <c r="D5" s="3325"/>
      <c r="E5" s="3322" t="s">
        <v>2365</v>
      </c>
      <c r="F5" s="3323"/>
      <c r="G5" s="3324" t="s">
        <v>2366</v>
      </c>
      <c r="H5" s="3325"/>
      <c r="I5" s="3324" t="s">
        <v>2367</v>
      </c>
      <c r="J5" s="3325"/>
      <c r="K5" s="566"/>
      <c r="L5" s="1043"/>
      <c r="M5" s="1044"/>
      <c r="N5" s="1044"/>
      <c r="O5" s="1044"/>
      <c r="P5" s="3401"/>
      <c r="Q5" s="3341"/>
      <c r="R5" s="3320"/>
      <c r="S5" s="3321"/>
      <c r="T5" s="3320"/>
      <c r="U5" s="3321"/>
      <c r="V5" s="3347"/>
      <c r="W5" s="3347"/>
      <c r="X5" s="1540"/>
      <c r="Y5" s="3320"/>
      <c r="Z5" s="3321"/>
      <c r="AA5" s="3314"/>
      <c r="AB5" s="3314"/>
      <c r="AC5" s="3314"/>
    </row>
    <row r="6" spans="1:29" ht="15.75" thickBot="1">
      <c r="A6" s="365"/>
      <c r="B6" s="366"/>
      <c r="C6" s="3326" t="s">
        <v>2368</v>
      </c>
      <c r="D6" s="3327"/>
      <c r="E6" s="3328" t="s">
        <v>2368</v>
      </c>
      <c r="F6" s="3329"/>
      <c r="G6" s="3326" t="s">
        <v>2368</v>
      </c>
      <c r="H6" s="3327"/>
      <c r="I6" s="3326" t="s">
        <v>2368</v>
      </c>
      <c r="J6" s="3327"/>
      <c r="K6" s="566" t="s">
        <v>2369</v>
      </c>
      <c r="L6" s="1043"/>
      <c r="M6" s="1044"/>
      <c r="N6" s="1044"/>
      <c r="O6" s="1044"/>
      <c r="P6" s="3402"/>
      <c r="Q6" s="3343"/>
      <c r="R6" s="3320"/>
      <c r="S6" s="3321"/>
      <c r="T6" s="3344"/>
      <c r="U6" s="3345"/>
      <c r="V6" s="3347"/>
      <c r="W6" s="3347"/>
      <c r="X6" s="1540"/>
      <c r="Y6" s="3344"/>
      <c r="Z6" s="3345"/>
      <c r="AA6" s="3315"/>
      <c r="AB6" s="3315"/>
      <c r="AC6" s="3315"/>
    </row>
    <row r="7" spans="1:29" s="113" customFormat="1" ht="15.75" thickBot="1">
      <c r="A7" s="367" t="s">
        <v>2370</v>
      </c>
      <c r="B7" s="368"/>
      <c r="C7" s="369">
        <f>'数据-取费表'!B2</f>
        <v>44088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6" t="s">
        <v>2371</v>
      </c>
      <c r="Q7" s="3349"/>
      <c r="R7" s="709" t="s">
        <v>17</v>
      </c>
      <c r="S7" s="710">
        <f t="shared" ref="S7:S15" si="0">F7</f>
        <v>0</v>
      </c>
      <c r="T7" s="709" t="s">
        <v>17</v>
      </c>
      <c r="U7" s="710">
        <f t="shared" ref="U7:U15" si="1">H7</f>
        <v>0</v>
      </c>
      <c r="V7" s="709" t="s">
        <v>17</v>
      </c>
      <c r="W7" s="710">
        <f t="shared" ref="W7:W15" si="2">J7</f>
        <v>0</v>
      </c>
      <c r="X7" s="711"/>
      <c r="Y7" s="3316" t="s">
        <v>2371</v>
      </c>
      <c r="Z7" s="3317"/>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6" t="s">
        <v>2374</v>
      </c>
      <c r="Q8" s="3317"/>
      <c r="R8" s="709" t="s">
        <v>17</v>
      </c>
      <c r="S8" s="710">
        <f t="shared" si="0"/>
        <v>0</v>
      </c>
      <c r="T8" s="709" t="s">
        <v>17</v>
      </c>
      <c r="U8" s="710">
        <f t="shared" si="1"/>
        <v>0</v>
      </c>
      <c r="V8" s="709" t="s">
        <v>17</v>
      </c>
      <c r="W8" s="710">
        <f t="shared" si="2"/>
        <v>0</v>
      </c>
      <c r="X8" s="711"/>
      <c r="Y8" s="3316" t="s">
        <v>2374</v>
      </c>
      <c r="Z8" s="3317"/>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59"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59"/>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59"/>
      <c r="Q11" s="1528" t="str">
        <f t="shared" si="6"/>
        <v>容积率</v>
      </c>
      <c r="R11" s="709" t="s">
        <v>17</v>
      </c>
      <c r="S11" s="710" t="e">
        <f t="shared" si="0"/>
        <v>#N/A</v>
      </c>
      <c r="T11" s="709" t="s">
        <v>17</v>
      </c>
      <c r="U11" s="710" t="e">
        <f t="shared" si="1"/>
        <v>#N/A</v>
      </c>
      <c r="V11" s="709" t="s">
        <v>17</v>
      </c>
      <c r="W11" s="710" t="e">
        <f t="shared" si="2"/>
        <v>#N/A</v>
      </c>
      <c r="X11" s="711"/>
      <c r="Y11" s="3258"/>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59"/>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59"/>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59"/>
      <c r="Q14" s="1528">
        <f t="shared" si="6"/>
        <v>111</v>
      </c>
      <c r="R14" s="709" t="s">
        <v>17</v>
      </c>
      <c r="S14" s="710">
        <f t="shared" si="0"/>
        <v>100</v>
      </c>
      <c r="T14" s="709" t="s">
        <v>17</v>
      </c>
      <c r="U14" s="710">
        <f t="shared" si="1"/>
        <v>100</v>
      </c>
      <c r="V14" s="709" t="s">
        <v>17</v>
      </c>
      <c r="W14" s="710">
        <f t="shared" si="2"/>
        <v>100</v>
      </c>
      <c r="X14" s="711"/>
      <c r="Y14" s="3258"/>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52" t="s">
        <v>2382</v>
      </c>
      <c r="Q15" s="1537" t="str">
        <f t="shared" si="6"/>
        <v>产业集聚程度</v>
      </c>
      <c r="R15" s="713" t="s">
        <v>17</v>
      </c>
      <c r="S15" s="714">
        <f t="shared" si="0"/>
        <v>100</v>
      </c>
      <c r="T15" s="713" t="s">
        <v>17</v>
      </c>
      <c r="U15" s="714">
        <f t="shared" si="1"/>
        <v>100</v>
      </c>
      <c r="V15" s="713" t="s">
        <v>17</v>
      </c>
      <c r="W15" s="714">
        <f t="shared" si="2"/>
        <v>100</v>
      </c>
      <c r="X15" s="1540"/>
      <c r="Y15" s="3352"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53"/>
      <c r="Q16" s="1537"/>
      <c r="R16" s="713"/>
      <c r="S16" s="714"/>
      <c r="T16" s="713"/>
      <c r="U16" s="714"/>
      <c r="V16" s="713"/>
      <c r="W16" s="714"/>
      <c r="X16" s="1540"/>
      <c r="Y16" s="3353"/>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53"/>
      <c r="Q17" s="1537" t="str">
        <f>B17</f>
        <v>交通便捷度</v>
      </c>
      <c r="R17" s="713" t="s">
        <v>17</v>
      </c>
      <c r="S17" s="714">
        <f>F17</f>
        <v>100</v>
      </c>
      <c r="T17" s="713" t="s">
        <v>17</v>
      </c>
      <c r="U17" s="714">
        <f>H17</f>
        <v>100</v>
      </c>
      <c r="V17" s="713" t="s">
        <v>17</v>
      </c>
      <c r="W17" s="714">
        <f>J17</f>
        <v>100</v>
      </c>
      <c r="X17" s="1540"/>
      <c r="Y17" s="3353"/>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53"/>
      <c r="Q18" s="1537"/>
      <c r="R18" s="713"/>
      <c r="S18" s="714"/>
      <c r="T18" s="713"/>
      <c r="U18" s="714"/>
      <c r="V18" s="713"/>
      <c r="W18" s="714"/>
      <c r="X18" s="1540"/>
      <c r="Y18" s="3353"/>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53"/>
      <c r="Q19" s="1537" t="str">
        <f>B19</f>
        <v>公共配套设施</v>
      </c>
      <c r="R19" s="713" t="s">
        <v>17</v>
      </c>
      <c r="S19" s="714">
        <f>F19</f>
        <v>100</v>
      </c>
      <c r="T19" s="713" t="s">
        <v>17</v>
      </c>
      <c r="U19" s="714">
        <f>H19</f>
        <v>100</v>
      </c>
      <c r="V19" s="713" t="s">
        <v>17</v>
      </c>
      <c r="W19" s="714">
        <f>J19</f>
        <v>100</v>
      </c>
      <c r="X19" s="1540"/>
      <c r="Y19" s="3353"/>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53"/>
      <c r="Q20" s="1537"/>
      <c r="R20" s="713"/>
      <c r="S20" s="714"/>
      <c r="T20" s="713"/>
      <c r="U20" s="714"/>
      <c r="V20" s="713"/>
      <c r="W20" s="714"/>
      <c r="X20" s="1540"/>
      <c r="Y20" s="3353"/>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53"/>
      <c r="Q21" s="1537" t="str">
        <f>B21</f>
        <v>基础设施水平</v>
      </c>
      <c r="R21" s="713" t="s">
        <v>17</v>
      </c>
      <c r="S21" s="714">
        <f>F21</f>
        <v>100</v>
      </c>
      <c r="T21" s="713" t="s">
        <v>17</v>
      </c>
      <c r="U21" s="714">
        <f>H21</f>
        <v>100</v>
      </c>
      <c r="V21" s="713" t="s">
        <v>17</v>
      </c>
      <c r="W21" s="714">
        <f>J21</f>
        <v>100</v>
      </c>
      <c r="X21" s="1540"/>
      <c r="Y21" s="335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53"/>
      <c r="Q22" s="1537"/>
      <c r="R22" s="713"/>
      <c r="S22" s="714"/>
      <c r="T22" s="713"/>
      <c r="U22" s="714"/>
      <c r="V22" s="713"/>
      <c r="W22" s="714"/>
      <c r="X22" s="1540"/>
      <c r="Y22" s="3353"/>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53"/>
      <c r="Q23" s="1537" t="str">
        <f>B23</f>
        <v>环境质量</v>
      </c>
      <c r="R23" s="713" t="s">
        <v>17</v>
      </c>
      <c r="S23" s="714">
        <f>F23</f>
        <v>100</v>
      </c>
      <c r="T23" s="713" t="s">
        <v>17</v>
      </c>
      <c r="U23" s="714">
        <f>H23</f>
        <v>100</v>
      </c>
      <c r="V23" s="713" t="s">
        <v>17</v>
      </c>
      <c r="W23" s="714">
        <f>J23</f>
        <v>100</v>
      </c>
      <c r="X23" s="1540"/>
      <c r="Y23" s="3353"/>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53"/>
      <c r="Q24" s="1537"/>
      <c r="R24" s="713"/>
      <c r="S24" s="714"/>
      <c r="T24" s="713"/>
      <c r="U24" s="714"/>
      <c r="V24" s="713"/>
      <c r="W24" s="714"/>
      <c r="X24" s="1540"/>
      <c r="Y24" s="3353"/>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53"/>
      <c r="Q25" s="1537">
        <f>B25</f>
        <v>111</v>
      </c>
      <c r="R25" s="713" t="s">
        <v>17</v>
      </c>
      <c r="S25" s="714">
        <f>F25</f>
        <v>100</v>
      </c>
      <c r="T25" s="713" t="s">
        <v>17</v>
      </c>
      <c r="U25" s="714">
        <f>H25</f>
        <v>100</v>
      </c>
      <c r="V25" s="713" t="s">
        <v>17</v>
      </c>
      <c r="W25" s="714">
        <f>J25</f>
        <v>100</v>
      </c>
      <c r="X25" s="1540"/>
      <c r="Y25" s="3353"/>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53"/>
      <c r="Q26" s="1537">
        <f t="shared" ref="Q26:Q40" si="11">B26</f>
        <v>111</v>
      </c>
      <c r="R26" s="713" t="s">
        <v>17</v>
      </c>
      <c r="S26" s="714">
        <f>F26</f>
        <v>100</v>
      </c>
      <c r="T26" s="713" t="s">
        <v>17</v>
      </c>
      <c r="U26" s="714">
        <f>H26</f>
        <v>100</v>
      </c>
      <c r="V26" s="713" t="s">
        <v>17</v>
      </c>
      <c r="W26" s="714">
        <f>J26</f>
        <v>100</v>
      </c>
      <c r="X26" s="1540"/>
      <c r="Y26" s="3353"/>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53"/>
      <c r="Q27" s="1528">
        <f t="shared" si="11"/>
        <v>111</v>
      </c>
      <c r="R27" s="709" t="s">
        <v>17</v>
      </c>
      <c r="S27" s="710">
        <f>F27</f>
        <v>100</v>
      </c>
      <c r="T27" s="709" t="s">
        <v>17</v>
      </c>
      <c r="U27" s="710">
        <f>H27</f>
        <v>100</v>
      </c>
      <c r="V27" s="709" t="s">
        <v>17</v>
      </c>
      <c r="W27" s="710">
        <f>J27</f>
        <v>100</v>
      </c>
      <c r="X27" s="711"/>
      <c r="Y27" s="3353"/>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53"/>
      <c r="Q28" s="1537">
        <f t="shared" si="11"/>
        <v>111</v>
      </c>
      <c r="R28" s="713" t="s">
        <v>17</v>
      </c>
      <c r="S28" s="714">
        <f t="shared" ref="S28:S40" si="12">F28</f>
        <v>100</v>
      </c>
      <c r="T28" s="713" t="s">
        <v>17</v>
      </c>
      <c r="U28" s="714">
        <f t="shared" ref="U28:U40" si="13">H28</f>
        <v>100</v>
      </c>
      <c r="V28" s="713" t="s">
        <v>17</v>
      </c>
      <c r="W28" s="714">
        <f t="shared" ref="W28:W40" si="14">J28</f>
        <v>100</v>
      </c>
      <c r="X28" s="1540"/>
      <c r="Y28" s="3353"/>
      <c r="Z28" s="1541">
        <f t="shared" ref="Z28:Z40" si="15">Q28</f>
        <v>111</v>
      </c>
      <c r="AA28" s="1538">
        <f t="shared" si="3"/>
        <v>1</v>
      </c>
      <c r="AB28" s="1538">
        <f t="shared" si="4"/>
        <v>1</v>
      </c>
      <c r="AC28" s="1538">
        <f t="shared" si="5"/>
        <v>1</v>
      </c>
    </row>
    <row r="29" spans="1:29" ht="28.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406" t="s">
        <v>2387</v>
      </c>
      <c r="Q29" s="1537" t="str">
        <f t="shared" si="11"/>
        <v>建筑类型</v>
      </c>
      <c r="R29" s="713" t="s">
        <v>17</v>
      </c>
      <c r="S29" s="714">
        <f t="shared" si="12"/>
        <v>100</v>
      </c>
      <c r="T29" s="713" t="s">
        <v>17</v>
      </c>
      <c r="U29" s="714">
        <f t="shared" si="13"/>
        <v>100</v>
      </c>
      <c r="V29" s="713" t="s">
        <v>17</v>
      </c>
      <c r="W29" s="714">
        <f t="shared" si="14"/>
        <v>100</v>
      </c>
      <c r="X29" s="1540"/>
      <c r="Y29" s="3357"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57"/>
      <c r="Q30" s="715" t="str">
        <f t="shared" si="11"/>
        <v>项目建筑规模</v>
      </c>
      <c r="R30" s="716" t="s">
        <v>17</v>
      </c>
      <c r="S30" s="717" t="e">
        <f t="shared" si="12"/>
        <v>#N/A</v>
      </c>
      <c r="T30" s="716" t="s">
        <v>17</v>
      </c>
      <c r="U30" s="717" t="e">
        <f t="shared" si="13"/>
        <v>#N/A</v>
      </c>
      <c r="V30" s="716" t="s">
        <v>17</v>
      </c>
      <c r="W30" s="717" t="e">
        <f t="shared" si="14"/>
        <v>#N/A</v>
      </c>
      <c r="X30" s="718"/>
      <c r="Y30" s="3357"/>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57"/>
      <c r="Q31" s="1537" t="str">
        <f t="shared" si="11"/>
        <v>建筑结构</v>
      </c>
      <c r="R31" s="713" t="s">
        <v>17</v>
      </c>
      <c r="S31" s="714">
        <f t="shared" si="12"/>
        <v>100</v>
      </c>
      <c r="T31" s="713" t="s">
        <v>17</v>
      </c>
      <c r="U31" s="714">
        <f t="shared" si="13"/>
        <v>100</v>
      </c>
      <c r="V31" s="713" t="s">
        <v>17</v>
      </c>
      <c r="W31" s="714">
        <f t="shared" si="14"/>
        <v>100</v>
      </c>
      <c r="X31" s="1540"/>
      <c r="Y31" s="3357"/>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57"/>
      <c r="Q32" s="1537" t="str">
        <f t="shared" si="11"/>
        <v>公共部分装修</v>
      </c>
      <c r="R32" s="713" t="s">
        <v>17</v>
      </c>
      <c r="S32" s="714">
        <f t="shared" si="12"/>
        <v>100</v>
      </c>
      <c r="T32" s="713" t="s">
        <v>17</v>
      </c>
      <c r="U32" s="714">
        <f t="shared" si="13"/>
        <v>100</v>
      </c>
      <c r="V32" s="713" t="s">
        <v>17</v>
      </c>
      <c r="W32" s="714">
        <f t="shared" si="14"/>
        <v>100</v>
      </c>
      <c r="X32" s="1540"/>
      <c r="Y32" s="3357"/>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57"/>
      <c r="Q33" s="1537" t="str">
        <f t="shared" si="11"/>
        <v>成新度</v>
      </c>
      <c r="R33" s="713" t="s">
        <v>17</v>
      </c>
      <c r="S33" s="714" t="e">
        <f t="shared" si="12"/>
        <v>#N/A</v>
      </c>
      <c r="T33" s="713" t="s">
        <v>17</v>
      </c>
      <c r="U33" s="714" t="e">
        <f t="shared" si="13"/>
        <v>#N/A</v>
      </c>
      <c r="V33" s="713" t="s">
        <v>17</v>
      </c>
      <c r="W33" s="714" t="e">
        <f t="shared" si="14"/>
        <v>#N/A</v>
      </c>
      <c r="X33" s="1540"/>
      <c r="Y33" s="3357"/>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57"/>
      <c r="Q34" s="1528" t="str">
        <f t="shared" si="11"/>
        <v>物业管理</v>
      </c>
      <c r="R34" s="709" t="s">
        <v>17</v>
      </c>
      <c r="S34" s="710">
        <f t="shared" si="12"/>
        <v>100</v>
      </c>
      <c r="T34" s="709" t="s">
        <v>17</v>
      </c>
      <c r="U34" s="710">
        <f t="shared" si="13"/>
        <v>100</v>
      </c>
      <c r="V34" s="709" t="s">
        <v>17</v>
      </c>
      <c r="W34" s="710">
        <f t="shared" si="14"/>
        <v>100</v>
      </c>
      <c r="X34" s="711"/>
      <c r="Y34" s="3357"/>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57" t="s">
        <v>2387</v>
      </c>
      <c r="Q35" s="1537" t="str">
        <f t="shared" si="11"/>
        <v>市政基础设施</v>
      </c>
      <c r="R35" s="713" t="s">
        <v>17</v>
      </c>
      <c r="S35" s="714">
        <f t="shared" si="12"/>
        <v>100</v>
      </c>
      <c r="T35" s="713" t="s">
        <v>17</v>
      </c>
      <c r="U35" s="714">
        <f t="shared" si="13"/>
        <v>100</v>
      </c>
      <c r="V35" s="713" t="s">
        <v>17</v>
      </c>
      <c r="W35" s="714">
        <f t="shared" si="14"/>
        <v>100</v>
      </c>
      <c r="X35" s="1540"/>
      <c r="Y35" s="3357"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57"/>
      <c r="Q36" s="1537" t="str">
        <f t="shared" si="11"/>
        <v>内部装修</v>
      </c>
      <c r="R36" s="713" t="s">
        <v>17</v>
      </c>
      <c r="S36" s="714">
        <f t="shared" si="12"/>
        <v>100</v>
      </c>
      <c r="T36" s="713" t="s">
        <v>17</v>
      </c>
      <c r="U36" s="714">
        <f t="shared" si="13"/>
        <v>100</v>
      </c>
      <c r="V36" s="713" t="s">
        <v>17</v>
      </c>
      <c r="W36" s="714">
        <f t="shared" si="14"/>
        <v>100</v>
      </c>
      <c r="X36" s="1540"/>
      <c r="Y36" s="3357"/>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57"/>
      <c r="Q37" s="1537" t="str">
        <f t="shared" si="11"/>
        <v>内部装修状况</v>
      </c>
      <c r="R37" s="713" t="s">
        <v>17</v>
      </c>
      <c r="S37" s="714">
        <f t="shared" si="12"/>
        <v>100</v>
      </c>
      <c r="T37" s="713" t="s">
        <v>17</v>
      </c>
      <c r="U37" s="714">
        <f t="shared" si="13"/>
        <v>100</v>
      </c>
      <c r="V37" s="713" t="s">
        <v>17</v>
      </c>
      <c r="W37" s="714">
        <f t="shared" si="14"/>
        <v>100</v>
      </c>
      <c r="X37" s="1540"/>
      <c r="Y37" s="3357"/>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57"/>
      <c r="Q38" s="715">
        <f t="shared" si="11"/>
        <v>111</v>
      </c>
      <c r="R38" s="716" t="s">
        <v>17</v>
      </c>
      <c r="S38" s="717">
        <f t="shared" si="12"/>
        <v>100</v>
      </c>
      <c r="T38" s="716" t="s">
        <v>17</v>
      </c>
      <c r="U38" s="717">
        <f t="shared" si="13"/>
        <v>100</v>
      </c>
      <c r="V38" s="716" t="s">
        <v>17</v>
      </c>
      <c r="W38" s="717">
        <f t="shared" si="14"/>
        <v>100</v>
      </c>
      <c r="X38" s="718"/>
      <c r="Y38" s="3357"/>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57"/>
      <c r="Q39" s="1537">
        <f t="shared" si="11"/>
        <v>111</v>
      </c>
      <c r="R39" s="713" t="s">
        <v>17</v>
      </c>
      <c r="S39" s="714">
        <f t="shared" si="12"/>
        <v>100</v>
      </c>
      <c r="T39" s="713" t="s">
        <v>17</v>
      </c>
      <c r="U39" s="714">
        <f t="shared" si="13"/>
        <v>100</v>
      </c>
      <c r="V39" s="713" t="s">
        <v>17</v>
      </c>
      <c r="W39" s="714">
        <f t="shared" si="14"/>
        <v>100</v>
      </c>
      <c r="X39" s="1540"/>
      <c r="Y39" s="3357"/>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8"/>
      <c r="Q40" s="1537">
        <f t="shared" si="11"/>
        <v>111</v>
      </c>
      <c r="R40" s="713" t="s">
        <v>17</v>
      </c>
      <c r="S40" s="714">
        <f t="shared" si="12"/>
        <v>100</v>
      </c>
      <c r="T40" s="713" t="s">
        <v>17</v>
      </c>
      <c r="U40" s="714">
        <f t="shared" si="13"/>
        <v>100</v>
      </c>
      <c r="V40" s="713" t="s">
        <v>17</v>
      </c>
      <c r="W40" s="714">
        <f t="shared" si="14"/>
        <v>100</v>
      </c>
      <c r="X40" s="1540"/>
      <c r="Y40" s="3358"/>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359" t="str">
        <f>A41</f>
        <v>成交单价（元/平方米）</v>
      </c>
      <c r="Q41" s="3359"/>
      <c r="R41" s="3360">
        <f>E41</f>
        <v>0</v>
      </c>
      <c r="S41" s="3360"/>
      <c r="T41" s="3360">
        <f>G41</f>
        <v>0</v>
      </c>
      <c r="U41" s="3360"/>
      <c r="V41" s="3360">
        <f>I41</f>
        <v>0</v>
      </c>
      <c r="W41" s="3360"/>
      <c r="X41" s="698"/>
      <c r="Y41" s="720"/>
      <c r="Z41" s="698"/>
      <c r="AA41" s="698"/>
      <c r="AB41" s="698"/>
      <c r="AC41" s="698"/>
    </row>
    <row r="42" spans="1:29" ht="15.75" thickBot="1">
      <c r="A42" s="444" t="s">
        <v>2491</v>
      </c>
      <c r="B42" s="445"/>
      <c r="C42" s="1321" t="e">
        <f>R43</f>
        <v>#DIV/0!</v>
      </c>
      <c r="D42" s="2539" t="s">
        <v>2880</v>
      </c>
      <c r="E42" s="1322" t="e">
        <f>R42</f>
        <v>#DIV/0!</v>
      </c>
      <c r="F42" s="2540"/>
      <c r="G42" s="1321" t="e">
        <f>T42</f>
        <v>#DIV/0!</v>
      </c>
      <c r="H42" s="2540"/>
      <c r="I42" s="1322" t="e">
        <f>V42</f>
        <v>#DIV/0!</v>
      </c>
      <c r="J42" s="2540"/>
      <c r="K42" s="2542">
        <f>F42+H42+J42</f>
        <v>0</v>
      </c>
      <c r="L42" s="1056"/>
      <c r="M42" s="1057"/>
      <c r="N42" s="1044"/>
      <c r="O42" s="1057"/>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6"/>
      <c r="O54" s="2997"/>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2467</v>
      </c>
      <c r="B4" s="361"/>
      <c r="C4" s="3334" t="s">
        <v>2468</v>
      </c>
      <c r="D4" s="3335"/>
      <c r="E4" s="3336" t="s">
        <v>2469</v>
      </c>
      <c r="F4" s="3337"/>
      <c r="G4" s="3334" t="s">
        <v>2470</v>
      </c>
      <c r="H4" s="3335"/>
      <c r="I4" s="3334" t="s">
        <v>2471</v>
      </c>
      <c r="J4" s="3335"/>
      <c r="K4" s="566" t="s">
        <v>2472</v>
      </c>
      <c r="L4" s="2941"/>
      <c r="M4" s="2942"/>
      <c r="N4" s="2942"/>
      <c r="O4" s="2942"/>
      <c r="P4" s="3399" t="s">
        <v>2473</v>
      </c>
      <c r="Q4" s="3400"/>
      <c r="R4" s="3397" t="s">
        <v>2469</v>
      </c>
      <c r="S4" s="3398"/>
      <c r="T4" s="3397" t="s">
        <v>2470</v>
      </c>
      <c r="U4" s="3398"/>
      <c r="V4" s="3347" t="s">
        <v>2471</v>
      </c>
      <c r="W4" s="3347"/>
      <c r="X4" s="1540"/>
      <c r="Y4" s="3397" t="s">
        <v>2473</v>
      </c>
      <c r="Z4" s="3398"/>
      <c r="AA4" s="3396" t="s">
        <v>2469</v>
      </c>
      <c r="AB4" s="3314" t="s">
        <v>2470</v>
      </c>
      <c r="AC4" s="3396" t="s">
        <v>2471</v>
      </c>
    </row>
    <row r="5" spans="1:29" ht="15">
      <c r="A5" s="363"/>
      <c r="B5" s="364"/>
      <c r="C5" s="3324" t="s">
        <v>2364</v>
      </c>
      <c r="D5" s="3325"/>
      <c r="E5" s="3322" t="s">
        <v>2365</v>
      </c>
      <c r="F5" s="3323"/>
      <c r="G5" s="3324" t="s">
        <v>2366</v>
      </c>
      <c r="H5" s="3325"/>
      <c r="I5" s="3324" t="s">
        <v>2367</v>
      </c>
      <c r="J5" s="3325"/>
      <c r="K5" s="566"/>
      <c r="L5" s="2941"/>
      <c r="M5" s="2942"/>
      <c r="N5" s="2942"/>
      <c r="O5" s="2942"/>
      <c r="P5" s="3401"/>
      <c r="Q5" s="3341"/>
      <c r="R5" s="3320"/>
      <c r="S5" s="3321"/>
      <c r="T5" s="3320"/>
      <c r="U5" s="3321"/>
      <c r="V5" s="3347"/>
      <c r="W5" s="3347"/>
      <c r="X5" s="1540"/>
      <c r="Y5" s="3320"/>
      <c r="Z5" s="3321"/>
      <c r="AA5" s="3314"/>
      <c r="AB5" s="3314"/>
      <c r="AC5" s="3314"/>
    </row>
    <row r="6" spans="1:29" ht="15.75" thickBot="1">
      <c r="A6" s="365"/>
      <c r="B6" s="366"/>
      <c r="C6" s="3326" t="s">
        <v>2368</v>
      </c>
      <c r="D6" s="3327"/>
      <c r="E6" s="3328" t="s">
        <v>2368</v>
      </c>
      <c r="F6" s="3329"/>
      <c r="G6" s="3326" t="s">
        <v>2368</v>
      </c>
      <c r="H6" s="3327"/>
      <c r="I6" s="3326" t="s">
        <v>2368</v>
      </c>
      <c r="J6" s="3327"/>
      <c r="K6" s="566" t="s">
        <v>2369</v>
      </c>
      <c r="L6" s="2941"/>
      <c r="M6" s="2942"/>
      <c r="N6" s="2942"/>
      <c r="O6" s="2942"/>
      <c r="P6" s="3402"/>
      <c r="Q6" s="3343"/>
      <c r="R6" s="3320"/>
      <c r="S6" s="3321"/>
      <c r="T6" s="3344"/>
      <c r="U6" s="3345"/>
      <c r="V6" s="3347"/>
      <c r="W6" s="3347"/>
      <c r="X6" s="1540"/>
      <c r="Y6" s="3344"/>
      <c r="Z6" s="3345"/>
      <c r="AA6" s="3315"/>
      <c r="AB6" s="3315"/>
      <c r="AC6" s="3315"/>
    </row>
    <row r="7" spans="1:29" s="113" customFormat="1" ht="15.75" thickBot="1">
      <c r="A7" s="367" t="s">
        <v>2370</v>
      </c>
      <c r="B7" s="368"/>
      <c r="C7" s="369">
        <f>'数据-取费表'!B2</f>
        <v>44088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16" t="s">
        <v>2371</v>
      </c>
      <c r="Q7" s="3349"/>
      <c r="R7" s="709" t="s">
        <v>17</v>
      </c>
      <c r="S7" s="710">
        <f t="shared" ref="S7:S14" si="0">F7</f>
        <v>0</v>
      </c>
      <c r="T7" s="709" t="s">
        <v>17</v>
      </c>
      <c r="U7" s="710">
        <f t="shared" ref="U7:U14" si="1">H7</f>
        <v>0</v>
      </c>
      <c r="V7" s="709" t="s">
        <v>17</v>
      </c>
      <c r="W7" s="710">
        <f t="shared" ref="W7:W14" si="2">J7</f>
        <v>0</v>
      </c>
      <c r="X7" s="711"/>
      <c r="Y7" s="3316" t="s">
        <v>2371</v>
      </c>
      <c r="Z7" s="3317"/>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16" t="s">
        <v>2374</v>
      </c>
      <c r="Q8" s="3317"/>
      <c r="R8" s="709" t="s">
        <v>17</v>
      </c>
      <c r="S8" s="710">
        <f t="shared" si="0"/>
        <v>0</v>
      </c>
      <c r="T8" s="709" t="s">
        <v>17</v>
      </c>
      <c r="U8" s="710">
        <f t="shared" si="1"/>
        <v>0</v>
      </c>
      <c r="V8" s="709" t="s">
        <v>17</v>
      </c>
      <c r="W8" s="710">
        <f t="shared" si="2"/>
        <v>0</v>
      </c>
      <c r="X8" s="711"/>
      <c r="Y8" s="3316" t="s">
        <v>2374</v>
      </c>
      <c r="Z8" s="3317"/>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59" t="s">
        <v>2377</v>
      </c>
      <c r="Q9" s="1528" t="str">
        <f t="shared" ref="Q9:Q14" si="6">B9</f>
        <v>用途</v>
      </c>
      <c r="R9" s="709" t="s">
        <v>17</v>
      </c>
      <c r="S9" s="710">
        <f t="shared" si="0"/>
        <v>100</v>
      </c>
      <c r="T9" s="709" t="s">
        <v>17</v>
      </c>
      <c r="U9" s="710">
        <f t="shared" si="1"/>
        <v>100</v>
      </c>
      <c r="V9" s="709" t="s">
        <v>17</v>
      </c>
      <c r="W9" s="710">
        <f t="shared" si="2"/>
        <v>100</v>
      </c>
      <c r="X9" s="711"/>
      <c r="Y9" s="3258"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59"/>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59"/>
      <c r="Q11" s="1528">
        <f t="shared" si="6"/>
        <v>111</v>
      </c>
      <c r="R11" s="709" t="s">
        <v>17</v>
      </c>
      <c r="S11" s="710">
        <f t="shared" si="0"/>
        <v>100</v>
      </c>
      <c r="T11" s="709" t="s">
        <v>17</v>
      </c>
      <c r="U11" s="710">
        <f t="shared" si="1"/>
        <v>100</v>
      </c>
      <c r="V11" s="709" t="s">
        <v>17</v>
      </c>
      <c r="W11" s="710">
        <f t="shared" si="2"/>
        <v>100</v>
      </c>
      <c r="X11" s="711"/>
      <c r="Y11" s="325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59"/>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59"/>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712">
        <f t="shared" si="5"/>
        <v>1</v>
      </c>
    </row>
    <row r="14" spans="1:29" ht="15">
      <c r="A14" s="360" t="s">
        <v>2381</v>
      </c>
      <c r="B14" s="584" t="s">
        <v>2531</v>
      </c>
      <c r="C14" s="2158"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52" t="s">
        <v>2382</v>
      </c>
      <c r="Q14" s="1537" t="str">
        <f t="shared" si="6"/>
        <v>交通便捷度</v>
      </c>
      <c r="R14" s="713" t="s">
        <v>17</v>
      </c>
      <c r="S14" s="714">
        <f t="shared" si="0"/>
        <v>100</v>
      </c>
      <c r="T14" s="713" t="s">
        <v>17</v>
      </c>
      <c r="U14" s="714">
        <f t="shared" si="1"/>
        <v>100</v>
      </c>
      <c r="V14" s="713" t="s">
        <v>17</v>
      </c>
      <c r="W14" s="714">
        <f t="shared" si="2"/>
        <v>100</v>
      </c>
      <c r="X14" s="1540"/>
      <c r="Y14" s="3352"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353"/>
      <c r="Q15" s="1537"/>
      <c r="R15" s="713"/>
      <c r="S15" s="714"/>
      <c r="T15" s="713"/>
      <c r="U15" s="714"/>
      <c r="V15" s="713"/>
      <c r="W15" s="714"/>
      <c r="X15" s="1540"/>
      <c r="Y15" s="3353"/>
      <c r="Z15" s="1541"/>
      <c r="AA15" s="1538">
        <v>1</v>
      </c>
      <c r="AB15" s="1538">
        <v>1</v>
      </c>
      <c r="AC15" s="1538">
        <v>1</v>
      </c>
    </row>
    <row r="16" spans="1:29" ht="15">
      <c r="A16" s="363"/>
      <c r="B16" s="586" t="s">
        <v>2510</v>
      </c>
      <c r="C16" s="2087"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53"/>
      <c r="Q16" s="1537" t="str">
        <f>B16</f>
        <v>公共配套设施</v>
      </c>
      <c r="R16" s="713" t="s">
        <v>17</v>
      </c>
      <c r="S16" s="714">
        <f>F16</f>
        <v>100</v>
      </c>
      <c r="T16" s="713" t="s">
        <v>17</v>
      </c>
      <c r="U16" s="714">
        <f>H16</f>
        <v>100</v>
      </c>
      <c r="V16" s="713" t="s">
        <v>17</v>
      </c>
      <c r="W16" s="714">
        <f>J16</f>
        <v>100</v>
      </c>
      <c r="X16" s="1540"/>
      <c r="Y16" s="3353"/>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8"/>
      <c r="M17" s="2942"/>
      <c r="N17" s="2942"/>
      <c r="O17" s="2942"/>
      <c r="P17" s="3353"/>
      <c r="Q17" s="1537"/>
      <c r="R17" s="713"/>
      <c r="S17" s="714"/>
      <c r="T17" s="713"/>
      <c r="U17" s="714"/>
      <c r="V17" s="713"/>
      <c r="W17" s="714"/>
      <c r="X17" s="1540"/>
      <c r="Y17" s="3353"/>
      <c r="Z17" s="1541"/>
      <c r="AA17" s="1538">
        <v>1</v>
      </c>
      <c r="AB17" s="1538">
        <v>1</v>
      </c>
      <c r="AC17" s="1538">
        <v>1</v>
      </c>
    </row>
    <row r="18" spans="1:29" ht="15">
      <c r="A18" s="363"/>
      <c r="B18" s="588" t="s">
        <v>2511</v>
      </c>
      <c r="C18" s="2087"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53"/>
      <c r="Q18" s="1537" t="str">
        <f>B18</f>
        <v>基础设施水平</v>
      </c>
      <c r="R18" s="713" t="s">
        <v>17</v>
      </c>
      <c r="S18" s="714">
        <f>F18</f>
        <v>100</v>
      </c>
      <c r="T18" s="713" t="s">
        <v>17</v>
      </c>
      <c r="U18" s="714">
        <f>H18</f>
        <v>100</v>
      </c>
      <c r="V18" s="713" t="s">
        <v>17</v>
      </c>
      <c r="W18" s="714">
        <f>J18</f>
        <v>100</v>
      </c>
      <c r="X18" s="1540"/>
      <c r="Y18" s="3353"/>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8"/>
      <c r="M19" s="2942"/>
      <c r="N19" s="2942"/>
      <c r="O19" s="2942"/>
      <c r="P19" s="3353"/>
      <c r="Q19" s="1537"/>
      <c r="R19" s="713"/>
      <c r="S19" s="714"/>
      <c r="T19" s="713"/>
      <c r="U19" s="714"/>
      <c r="V19" s="713"/>
      <c r="W19" s="714"/>
      <c r="X19" s="1540"/>
      <c r="Y19" s="3353"/>
      <c r="Z19" s="1541"/>
      <c r="AA19" s="1538">
        <v>1</v>
      </c>
      <c r="AB19" s="1538">
        <v>1</v>
      </c>
      <c r="AC19" s="1538">
        <v>1</v>
      </c>
    </row>
    <row r="20" spans="1:29" ht="15">
      <c r="A20" s="363"/>
      <c r="B20" s="586" t="s">
        <v>2532</v>
      </c>
      <c r="C20" s="2087"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53"/>
      <c r="Q20" s="1537" t="str">
        <f>B20</f>
        <v>自然及人文环境</v>
      </c>
      <c r="R20" s="713" t="s">
        <v>17</v>
      </c>
      <c r="S20" s="714">
        <f>F20</f>
        <v>100</v>
      </c>
      <c r="T20" s="713" t="s">
        <v>17</v>
      </c>
      <c r="U20" s="714">
        <f>H20</f>
        <v>100</v>
      </c>
      <c r="V20" s="713" t="s">
        <v>17</v>
      </c>
      <c r="W20" s="714">
        <f>J20</f>
        <v>100</v>
      </c>
      <c r="X20" s="1540"/>
      <c r="Y20" s="3353"/>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353"/>
      <c r="Q21" s="1537"/>
      <c r="R21" s="713"/>
      <c r="S21" s="714"/>
      <c r="T21" s="713"/>
      <c r="U21" s="714"/>
      <c r="V21" s="713"/>
      <c r="W21" s="714"/>
      <c r="X21" s="1540"/>
      <c r="Y21" s="3353"/>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53"/>
      <c r="Q22" s="1537" t="str">
        <f>B22</f>
        <v>楼层</v>
      </c>
      <c r="R22" s="713" t="s">
        <v>17</v>
      </c>
      <c r="S22" s="714">
        <f>F22</f>
        <v>100</v>
      </c>
      <c r="T22" s="713" t="s">
        <v>17</v>
      </c>
      <c r="U22" s="714">
        <f>H22</f>
        <v>100</v>
      </c>
      <c r="V22" s="713" t="s">
        <v>17</v>
      </c>
      <c r="W22" s="714">
        <f>J22</f>
        <v>100</v>
      </c>
      <c r="X22" s="1540"/>
      <c r="Y22" s="3353"/>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53"/>
      <c r="Q23" s="1537">
        <f>B23</f>
        <v>111</v>
      </c>
      <c r="R23" s="713" t="s">
        <v>17</v>
      </c>
      <c r="S23" s="714">
        <f>F23</f>
        <v>100</v>
      </c>
      <c r="T23" s="713" t="s">
        <v>17</v>
      </c>
      <c r="U23" s="714">
        <f>H23</f>
        <v>100</v>
      </c>
      <c r="V23" s="713" t="s">
        <v>17</v>
      </c>
      <c r="W23" s="714">
        <f>J23</f>
        <v>100</v>
      </c>
      <c r="X23" s="1540"/>
      <c r="Y23" s="3353"/>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53"/>
      <c r="Q24" s="1537">
        <f t="shared" ref="Q24:Q36" si="11">B24</f>
        <v>111</v>
      </c>
      <c r="R24" s="713" t="s">
        <v>17</v>
      </c>
      <c r="S24" s="714">
        <f>F24</f>
        <v>100</v>
      </c>
      <c r="T24" s="713" t="s">
        <v>17</v>
      </c>
      <c r="U24" s="714">
        <f>H24</f>
        <v>100</v>
      </c>
      <c r="V24" s="713" t="s">
        <v>17</v>
      </c>
      <c r="W24" s="714">
        <f>J24</f>
        <v>100</v>
      </c>
      <c r="X24" s="1540"/>
      <c r="Y24" s="3353"/>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53"/>
      <c r="Q25" s="1528">
        <f t="shared" si="11"/>
        <v>111</v>
      </c>
      <c r="R25" s="709" t="s">
        <v>17</v>
      </c>
      <c r="S25" s="710">
        <f>F25</f>
        <v>100</v>
      </c>
      <c r="T25" s="709" t="s">
        <v>17</v>
      </c>
      <c r="U25" s="710">
        <f>H25</f>
        <v>100</v>
      </c>
      <c r="V25" s="709" t="s">
        <v>17</v>
      </c>
      <c r="W25" s="710">
        <f>J25</f>
        <v>100</v>
      </c>
      <c r="X25" s="711"/>
      <c r="Y25" s="3353"/>
      <c r="Z25" s="55">
        <f>Q25</f>
        <v>111</v>
      </c>
      <c r="AA25" s="1538">
        <f>D25/F25</f>
        <v>1</v>
      </c>
      <c r="AB25" s="1538">
        <f>D25/H25</f>
        <v>1</v>
      </c>
      <c r="AC25" s="1538">
        <f>D25/J25</f>
        <v>1</v>
      </c>
    </row>
    <row r="26" spans="1:29" ht="28.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406"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57"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57"/>
      <c r="Q27" s="715" t="str">
        <f t="shared" si="11"/>
        <v>项目停车位配比</v>
      </c>
      <c r="R27" s="716" t="s">
        <v>17</v>
      </c>
      <c r="S27" s="717">
        <f t="shared" si="12"/>
        <v>100</v>
      </c>
      <c r="T27" s="716" t="s">
        <v>17</v>
      </c>
      <c r="U27" s="717">
        <f t="shared" si="13"/>
        <v>100</v>
      </c>
      <c r="V27" s="716" t="s">
        <v>17</v>
      </c>
      <c r="W27" s="717">
        <f t="shared" si="14"/>
        <v>100</v>
      </c>
      <c r="X27" s="718"/>
      <c r="Y27" s="3357"/>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57"/>
      <c r="Q28" s="1537" t="str">
        <f t="shared" si="11"/>
        <v>公共部分装修</v>
      </c>
      <c r="R28" s="713" t="s">
        <v>17</v>
      </c>
      <c r="S28" s="714">
        <f t="shared" si="12"/>
        <v>100</v>
      </c>
      <c r="T28" s="713" t="s">
        <v>17</v>
      </c>
      <c r="U28" s="714">
        <f t="shared" si="13"/>
        <v>100</v>
      </c>
      <c r="V28" s="713" t="s">
        <v>17</v>
      </c>
      <c r="W28" s="714">
        <f t="shared" si="14"/>
        <v>100</v>
      </c>
      <c r="X28" s="1540"/>
      <c r="Y28" s="3357"/>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57"/>
      <c r="Q29" s="1537" t="str">
        <f t="shared" si="11"/>
        <v>成新率</v>
      </c>
      <c r="R29" s="713" t="s">
        <v>17</v>
      </c>
      <c r="S29" s="714" t="e">
        <f t="shared" si="12"/>
        <v>#N/A</v>
      </c>
      <c r="T29" s="713" t="s">
        <v>17</v>
      </c>
      <c r="U29" s="714" t="e">
        <f t="shared" si="13"/>
        <v>#N/A</v>
      </c>
      <c r="V29" s="713" t="s">
        <v>17</v>
      </c>
      <c r="W29" s="714" t="e">
        <f t="shared" si="14"/>
        <v>#N/A</v>
      </c>
      <c r="X29" s="1540"/>
      <c r="Y29" s="3357"/>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57"/>
      <c r="Q30" s="1537" t="str">
        <f t="shared" si="11"/>
        <v>物业等级</v>
      </c>
      <c r="R30" s="713" t="s">
        <v>17</v>
      </c>
      <c r="S30" s="714">
        <f t="shared" si="12"/>
        <v>100</v>
      </c>
      <c r="T30" s="713" t="s">
        <v>17</v>
      </c>
      <c r="U30" s="714">
        <f t="shared" si="13"/>
        <v>100</v>
      </c>
      <c r="V30" s="713" t="s">
        <v>17</v>
      </c>
      <c r="W30" s="714">
        <f t="shared" si="14"/>
        <v>100</v>
      </c>
      <c r="X30" s="1540"/>
      <c r="Y30" s="3357"/>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57"/>
      <c r="Q31" s="1528" t="str">
        <f t="shared" si="11"/>
        <v>停车位面积</v>
      </c>
      <c r="R31" s="709" t="s">
        <v>17</v>
      </c>
      <c r="S31" s="710" t="e">
        <f t="shared" si="12"/>
        <v>#N/A</v>
      </c>
      <c r="T31" s="709" t="s">
        <v>17</v>
      </c>
      <c r="U31" s="710" t="e">
        <f t="shared" si="13"/>
        <v>#N/A</v>
      </c>
      <c r="V31" s="709" t="s">
        <v>17</v>
      </c>
      <c r="W31" s="710" t="e">
        <f t="shared" si="14"/>
        <v>#N/A</v>
      </c>
      <c r="X31" s="711"/>
      <c r="Y31" s="3357"/>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57" t="s">
        <v>2387</v>
      </c>
      <c r="Q32" s="1537" t="str">
        <f t="shared" si="11"/>
        <v>车位类型</v>
      </c>
      <c r="R32" s="713" t="s">
        <v>17</v>
      </c>
      <c r="S32" s="714">
        <f t="shared" si="12"/>
        <v>100</v>
      </c>
      <c r="T32" s="713" t="s">
        <v>17</v>
      </c>
      <c r="U32" s="714">
        <f t="shared" si="13"/>
        <v>100</v>
      </c>
      <c r="V32" s="713" t="s">
        <v>17</v>
      </c>
      <c r="W32" s="714">
        <f t="shared" si="14"/>
        <v>100</v>
      </c>
      <c r="X32" s="1540"/>
      <c r="Y32" s="3357"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57"/>
      <c r="Q33" s="1537" t="str">
        <f t="shared" si="11"/>
        <v>是否直接入户</v>
      </c>
      <c r="R33" s="713" t="s">
        <v>17</v>
      </c>
      <c r="S33" s="714">
        <f t="shared" si="12"/>
        <v>100</v>
      </c>
      <c r="T33" s="713" t="s">
        <v>17</v>
      </c>
      <c r="U33" s="714">
        <f t="shared" si="13"/>
        <v>100</v>
      </c>
      <c r="V33" s="713" t="s">
        <v>17</v>
      </c>
      <c r="W33" s="714">
        <f t="shared" si="14"/>
        <v>100</v>
      </c>
      <c r="X33" s="1540"/>
      <c r="Y33" s="3357"/>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57"/>
      <c r="Q34" s="1537">
        <f t="shared" si="11"/>
        <v>111</v>
      </c>
      <c r="R34" s="713" t="s">
        <v>17</v>
      </c>
      <c r="S34" s="714">
        <f t="shared" si="12"/>
        <v>100</v>
      </c>
      <c r="T34" s="713" t="s">
        <v>17</v>
      </c>
      <c r="U34" s="714">
        <f t="shared" si="13"/>
        <v>100</v>
      </c>
      <c r="V34" s="713" t="s">
        <v>17</v>
      </c>
      <c r="W34" s="714">
        <f t="shared" si="14"/>
        <v>100</v>
      </c>
      <c r="X34" s="1540"/>
      <c r="Y34" s="3357"/>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57"/>
      <c r="Q35" s="715">
        <f t="shared" si="11"/>
        <v>111</v>
      </c>
      <c r="R35" s="716" t="s">
        <v>17</v>
      </c>
      <c r="S35" s="717">
        <f t="shared" si="12"/>
        <v>100</v>
      </c>
      <c r="T35" s="716" t="s">
        <v>17</v>
      </c>
      <c r="U35" s="717">
        <f t="shared" si="13"/>
        <v>100</v>
      </c>
      <c r="V35" s="716" t="s">
        <v>17</v>
      </c>
      <c r="W35" s="717">
        <f t="shared" si="14"/>
        <v>100</v>
      </c>
      <c r="X35" s="718"/>
      <c r="Y35" s="3357"/>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57"/>
      <c r="Q36" s="1537">
        <f t="shared" si="11"/>
        <v>111</v>
      </c>
      <c r="R36" s="713" t="s">
        <v>17</v>
      </c>
      <c r="S36" s="714">
        <f t="shared" si="12"/>
        <v>100</v>
      </c>
      <c r="T36" s="713" t="s">
        <v>17</v>
      </c>
      <c r="U36" s="714">
        <f t="shared" si="13"/>
        <v>100</v>
      </c>
      <c r="V36" s="713" t="s">
        <v>17</v>
      </c>
      <c r="W36" s="714">
        <f t="shared" si="14"/>
        <v>100</v>
      </c>
      <c r="X36" s="1540"/>
      <c r="Y36" s="3357"/>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0"/>
      <c r="M37" s="2951"/>
      <c r="N37" s="2942"/>
      <c r="O37" s="2951"/>
      <c r="P37" s="3359" t="str">
        <f>A37</f>
        <v>成交单价</v>
      </c>
      <c r="Q37" s="3359"/>
      <c r="R37" s="3360">
        <f>E37</f>
        <v>0</v>
      </c>
      <c r="S37" s="3360"/>
      <c r="T37" s="3360">
        <f>G37</f>
        <v>0</v>
      </c>
      <c r="U37" s="3360"/>
      <c r="V37" s="3360">
        <f>I37</f>
        <v>0</v>
      </c>
      <c r="W37" s="3360"/>
      <c r="X37" s="698"/>
      <c r="Y37" s="720"/>
      <c r="Z37" s="698"/>
      <c r="AA37" s="698"/>
      <c r="AB37" s="698"/>
      <c r="AC37" s="698"/>
    </row>
    <row r="38" spans="1:29" ht="15.75" thickBot="1">
      <c r="A38" s="444" t="s">
        <v>2544</v>
      </c>
      <c r="B38" s="445" t="str">
        <f>B37</f>
        <v>元/车位</v>
      </c>
      <c r="C38" s="1321" t="e">
        <f>R39</f>
        <v>#DIV/0!</v>
      </c>
      <c r="D38" s="2539" t="s">
        <v>2880</v>
      </c>
      <c r="E38" s="1322" t="e">
        <f>R38</f>
        <v>#DIV/0!</v>
      </c>
      <c r="F38" s="2540"/>
      <c r="G38" s="1321" t="e">
        <f>T38</f>
        <v>#DIV/0!</v>
      </c>
      <c r="H38" s="2540"/>
      <c r="I38" s="1322" t="e">
        <f>V38</f>
        <v>#DIV/0!</v>
      </c>
      <c r="J38" s="2540"/>
      <c r="K38" s="2542">
        <f>F38+H38+J38</f>
        <v>0</v>
      </c>
      <c r="L38" s="2950"/>
      <c r="M38" s="2951"/>
      <c r="N38" s="2951"/>
      <c r="O38" s="2951"/>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0"/>
      <c r="M39" s="2951"/>
      <c r="N39" s="2951"/>
      <c r="O39" s="2951"/>
      <c r="P39" s="3403" t="str">
        <f>A39</f>
        <v>估价对象XX用房的比较价值（楼面单价，元/平方米）</v>
      </c>
      <c r="Q39" s="3404"/>
      <c r="R39" s="3407" t="e">
        <f>IF(F1="售价",ROUND(IF(D38="简单平均",AVERAGE(R38:W38),R38*F38+T38*H38+V38*J38),0),ROUND(IF(D38="简单平均",AVERAGE(R38:V38),R38*F38+T38*H38+V38*J38),1))</f>
        <v>#DIV/0!</v>
      </c>
      <c r="S39" s="3407"/>
      <c r="T39" s="3407"/>
      <c r="U39" s="3407"/>
      <c r="V39" s="3407"/>
      <c r="W39" s="3407"/>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2549</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2550</v>
      </c>
      <c r="B48" s="462"/>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6"/>
      <c r="R49" s="2886"/>
      <c r="S49" s="2886"/>
      <c r="T49" s="2886"/>
      <c r="U49" s="2886"/>
      <c r="V49" s="2886"/>
      <c r="W49" s="2886"/>
      <c r="X49" s="2886"/>
      <c r="Y49" s="2886"/>
      <c r="Z49" s="2886"/>
      <c r="AA49" s="2886"/>
      <c r="AB49" s="2886"/>
      <c r="AC49" s="2886"/>
    </row>
    <row r="50" spans="1:29" s="113" customFormat="1" ht="15.75" thickBot="1">
      <c r="A50" s="471" t="s">
        <v>2407</v>
      </c>
      <c r="B50" s="472"/>
      <c r="C50" s="473"/>
      <c r="D50" s="474"/>
      <c r="E50" s="474"/>
      <c r="F50" s="474"/>
      <c r="G50" s="474"/>
      <c r="H50" s="474"/>
      <c r="I50" s="474"/>
      <c r="J50" s="474"/>
      <c r="K50" s="474"/>
      <c r="L50" s="474"/>
      <c r="M50" s="475"/>
      <c r="N50" s="474"/>
      <c r="O50" s="475"/>
      <c r="P50" s="2986"/>
      <c r="Q50" s="2965"/>
      <c r="R50" s="2886"/>
      <c r="S50" s="2886"/>
      <c r="T50" s="2886"/>
      <c r="U50" s="2886"/>
      <c r="V50" s="2886"/>
      <c r="W50" s="2886"/>
      <c r="X50" s="2886"/>
      <c r="Y50" s="2886"/>
      <c r="Z50" s="2886"/>
      <c r="AA50" s="2886"/>
      <c r="AB50" s="2886"/>
      <c r="AC50" s="2886"/>
    </row>
    <row r="51" spans="1:29" s="113" customFormat="1" ht="15">
      <c r="A51" s="477" t="s">
        <v>2372</v>
      </c>
      <c r="B51" s="466"/>
      <c r="C51" s="478" t="s">
        <v>2474</v>
      </c>
      <c r="D51" s="479"/>
      <c r="E51" s="479"/>
      <c r="F51" s="479"/>
      <c r="G51" s="479"/>
      <c r="H51" s="479"/>
      <c r="I51" s="479"/>
      <c r="J51" s="479"/>
      <c r="K51" s="479"/>
      <c r="L51" s="480"/>
      <c r="M51" s="481"/>
      <c r="N51" s="2978"/>
      <c r="O51" s="2978"/>
      <c r="P51" s="2987"/>
      <c r="Q51" s="2965"/>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6"/>
      <c r="S52" s="2886"/>
      <c r="T52" s="2886"/>
      <c r="U52" s="2886"/>
      <c r="V52" s="2886"/>
      <c r="W52" s="2886"/>
      <c r="X52" s="2886"/>
      <c r="Y52" s="2886"/>
      <c r="Z52" s="2886"/>
      <c r="AA52" s="2886"/>
      <c r="AB52" s="2886"/>
      <c r="AC52" s="2886"/>
    </row>
    <row r="53" spans="1:29">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2511</v>
      </c>
      <c r="C67" s="615" t="s">
        <v>2497</v>
      </c>
      <c r="D67" s="615" t="s">
        <v>2498</v>
      </c>
      <c r="E67" s="615" t="s">
        <v>2499</v>
      </c>
      <c r="F67" s="615" t="s">
        <v>2500</v>
      </c>
      <c r="G67" s="615" t="s">
        <v>2501</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0"/>
      <c r="O74" s="2980"/>
      <c r="P74" s="2988"/>
      <c r="Q74" s="2965"/>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0"/>
      <c r="O76" s="2980"/>
      <c r="P76" s="2988"/>
      <c r="Q76" s="2965"/>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34" t="s">
        <v>2468</v>
      </c>
      <c r="D4" s="3335"/>
      <c r="E4" s="3336" t="s">
        <v>2469</v>
      </c>
      <c r="F4" s="3337"/>
      <c r="G4" s="3334" t="s">
        <v>2470</v>
      </c>
      <c r="H4" s="3335"/>
      <c r="I4" s="3334" t="s">
        <v>2471</v>
      </c>
      <c r="J4" s="3335"/>
      <c r="K4" s="566" t="s">
        <v>2472</v>
      </c>
      <c r="L4" s="2941"/>
      <c r="M4" s="2942"/>
      <c r="N4" s="2942"/>
      <c r="O4" s="2942"/>
      <c r="P4" s="3399" t="s">
        <v>2473</v>
      </c>
      <c r="Q4" s="3400"/>
      <c r="R4" s="3397" t="s">
        <v>2469</v>
      </c>
      <c r="S4" s="3398"/>
      <c r="T4" s="3397" t="s">
        <v>2470</v>
      </c>
      <c r="U4" s="3398"/>
      <c r="V4" s="3347" t="s">
        <v>2471</v>
      </c>
      <c r="W4" s="3347"/>
      <c r="X4" s="1540"/>
      <c r="Y4" s="3397" t="s">
        <v>2473</v>
      </c>
      <c r="Z4" s="3398"/>
      <c r="AA4" s="3396" t="s">
        <v>2469</v>
      </c>
      <c r="AB4" s="3314" t="s">
        <v>2470</v>
      </c>
      <c r="AC4" s="3396" t="s">
        <v>2471</v>
      </c>
    </row>
    <row r="5" spans="1:29" ht="15">
      <c r="A5" s="363"/>
      <c r="B5" s="364"/>
      <c r="C5" s="3324" t="s">
        <v>2364</v>
      </c>
      <c r="D5" s="3325"/>
      <c r="E5" s="3322" t="s">
        <v>2365</v>
      </c>
      <c r="F5" s="3323"/>
      <c r="G5" s="3324" t="s">
        <v>2366</v>
      </c>
      <c r="H5" s="3325"/>
      <c r="I5" s="3324" t="s">
        <v>2367</v>
      </c>
      <c r="J5" s="3325"/>
      <c r="K5" s="566"/>
      <c r="L5" s="2941"/>
      <c r="M5" s="2942"/>
      <c r="N5" s="2942"/>
      <c r="O5" s="2942"/>
      <c r="P5" s="3401"/>
      <c r="Q5" s="3341"/>
      <c r="R5" s="3320"/>
      <c r="S5" s="3321"/>
      <c r="T5" s="3320"/>
      <c r="U5" s="3321"/>
      <c r="V5" s="3347"/>
      <c r="W5" s="3347"/>
      <c r="X5" s="1540"/>
      <c r="Y5" s="3320"/>
      <c r="Z5" s="3321"/>
      <c r="AA5" s="3314"/>
      <c r="AB5" s="3314"/>
      <c r="AC5" s="3314"/>
    </row>
    <row r="6" spans="1:29" ht="15.75" thickBot="1">
      <c r="A6" s="365"/>
      <c r="B6" s="366"/>
      <c r="C6" s="3326" t="s">
        <v>2368</v>
      </c>
      <c r="D6" s="3327"/>
      <c r="E6" s="3328" t="s">
        <v>2368</v>
      </c>
      <c r="F6" s="3329"/>
      <c r="G6" s="3326" t="s">
        <v>2368</v>
      </c>
      <c r="H6" s="3327"/>
      <c r="I6" s="3326" t="s">
        <v>2368</v>
      </c>
      <c r="J6" s="3327"/>
      <c r="K6" s="566" t="s">
        <v>2369</v>
      </c>
      <c r="L6" s="2941"/>
      <c r="M6" s="2942"/>
      <c r="N6" s="2942"/>
      <c r="O6" s="2942"/>
      <c r="P6" s="3402"/>
      <c r="Q6" s="3343"/>
      <c r="R6" s="3320"/>
      <c r="S6" s="3321"/>
      <c r="T6" s="3344"/>
      <c r="U6" s="3345"/>
      <c r="V6" s="3347"/>
      <c r="W6" s="3347"/>
      <c r="X6" s="1540"/>
      <c r="Y6" s="3344"/>
      <c r="Z6" s="3345"/>
      <c r="AA6" s="3315"/>
      <c r="AB6" s="3315"/>
      <c r="AC6" s="3315"/>
    </row>
    <row r="7" spans="1:29" s="113" customFormat="1" ht="15.75" thickBot="1">
      <c r="A7" s="367" t="s">
        <v>2370</v>
      </c>
      <c r="B7" s="368"/>
      <c r="C7" s="369">
        <f>'数据-取费表'!B2</f>
        <v>44088</v>
      </c>
      <c r="D7" s="370">
        <v>100</v>
      </c>
      <c r="E7" s="371"/>
      <c r="F7" s="372">
        <f>SUMIF(46:46,YEAR(E7)&amp;"-"&amp;MONTH(E7),47:47)</f>
        <v>0</v>
      </c>
      <c r="G7" s="2161"/>
      <c r="H7" s="370">
        <f>SUMIF(46:46,YEAR(G7)&amp;"-"&amp;MONTH(G7),47:47)</f>
        <v>0</v>
      </c>
      <c r="I7" s="371"/>
      <c r="J7" s="370">
        <f>SUMIF(46:46,YEAR(I7)&amp;"-"&amp;MONTH(I7),47:47)</f>
        <v>0</v>
      </c>
      <c r="K7" s="567"/>
      <c r="L7" s="2943"/>
      <c r="M7" s="2944"/>
      <c r="N7" s="2944"/>
      <c r="O7" s="2944"/>
      <c r="P7" s="3316" t="s">
        <v>2371</v>
      </c>
      <c r="Q7" s="3349"/>
      <c r="R7" s="709" t="s">
        <v>17</v>
      </c>
      <c r="S7" s="710">
        <f t="shared" ref="S7:S14" si="0">F7</f>
        <v>0</v>
      </c>
      <c r="T7" s="709" t="s">
        <v>17</v>
      </c>
      <c r="U7" s="710">
        <f t="shared" ref="U7:U14" si="1">H7</f>
        <v>0</v>
      </c>
      <c r="V7" s="709" t="s">
        <v>17</v>
      </c>
      <c r="W7" s="710">
        <f t="shared" ref="W7:W14" si="2">J7</f>
        <v>0</v>
      </c>
      <c r="X7" s="711"/>
      <c r="Y7" s="3316" t="s">
        <v>2371</v>
      </c>
      <c r="Z7" s="3317"/>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16" t="s">
        <v>2374</v>
      </c>
      <c r="Q8" s="3317"/>
      <c r="R8" s="709" t="s">
        <v>17</v>
      </c>
      <c r="S8" s="710">
        <f t="shared" si="0"/>
        <v>0</v>
      </c>
      <c r="T8" s="709" t="s">
        <v>17</v>
      </c>
      <c r="U8" s="710">
        <f t="shared" si="1"/>
        <v>0</v>
      </c>
      <c r="V8" s="709" t="s">
        <v>17</v>
      </c>
      <c r="W8" s="710">
        <f t="shared" si="2"/>
        <v>0</v>
      </c>
      <c r="X8" s="711"/>
      <c r="Y8" s="3316" t="s">
        <v>2374</v>
      </c>
      <c r="Z8" s="3317"/>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59" t="s">
        <v>2377</v>
      </c>
      <c r="Q9" s="1528" t="str">
        <f t="shared" ref="Q9:Q14" si="6">B9</f>
        <v>用途</v>
      </c>
      <c r="R9" s="709" t="s">
        <v>17</v>
      </c>
      <c r="S9" s="710">
        <f t="shared" si="0"/>
        <v>100</v>
      </c>
      <c r="T9" s="709" t="s">
        <v>17</v>
      </c>
      <c r="U9" s="710">
        <f t="shared" si="1"/>
        <v>100</v>
      </c>
      <c r="V9" s="709" t="s">
        <v>17</v>
      </c>
      <c r="W9" s="710">
        <f t="shared" si="2"/>
        <v>100</v>
      </c>
      <c r="X9" s="711"/>
      <c r="Y9" s="3258"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59"/>
      <c r="Q10" s="1528" t="str">
        <f t="shared" si="6"/>
        <v>土地使用年限（年）</v>
      </c>
      <c r="R10" s="709" t="s">
        <v>17</v>
      </c>
      <c r="S10" s="710">
        <f t="shared" si="0"/>
        <v>100</v>
      </c>
      <c r="T10" s="709" t="s">
        <v>17</v>
      </c>
      <c r="U10" s="710">
        <f t="shared" si="1"/>
        <v>100</v>
      </c>
      <c r="V10" s="709" t="s">
        <v>17</v>
      </c>
      <c r="W10" s="710">
        <f t="shared" si="2"/>
        <v>100</v>
      </c>
      <c r="X10" s="711"/>
      <c r="Y10" s="3258"/>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59"/>
      <c r="Q11" s="1528">
        <f t="shared" si="6"/>
        <v>111</v>
      </c>
      <c r="R11" s="709" t="s">
        <v>17</v>
      </c>
      <c r="S11" s="710">
        <f t="shared" si="0"/>
        <v>100</v>
      </c>
      <c r="T11" s="709" t="s">
        <v>17</v>
      </c>
      <c r="U11" s="710">
        <f t="shared" si="1"/>
        <v>100</v>
      </c>
      <c r="V11" s="709" t="s">
        <v>17</v>
      </c>
      <c r="W11" s="710">
        <f t="shared" si="2"/>
        <v>100</v>
      </c>
      <c r="X11" s="711"/>
      <c r="Y11" s="3258"/>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59"/>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712">
        <f t="shared" si="5"/>
        <v>1</v>
      </c>
    </row>
    <row r="14" spans="1:29" ht="15">
      <c r="A14" s="398" t="s">
        <v>2381</v>
      </c>
      <c r="B14" s="65" t="s">
        <v>2531</v>
      </c>
      <c r="C14" s="2158"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52" t="s">
        <v>2382</v>
      </c>
      <c r="Q14" s="1537" t="str">
        <f t="shared" si="6"/>
        <v>交通便捷度</v>
      </c>
      <c r="R14" s="713" t="s">
        <v>17</v>
      </c>
      <c r="S14" s="714">
        <f t="shared" si="0"/>
        <v>100</v>
      </c>
      <c r="T14" s="713" t="s">
        <v>17</v>
      </c>
      <c r="U14" s="714">
        <f t="shared" si="1"/>
        <v>100</v>
      </c>
      <c r="V14" s="713" t="s">
        <v>17</v>
      </c>
      <c r="W14" s="714">
        <f t="shared" si="2"/>
        <v>100</v>
      </c>
      <c r="X14" s="1540"/>
      <c r="Y14" s="3352"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353"/>
      <c r="Q15" s="1537"/>
      <c r="R15" s="713"/>
      <c r="S15" s="714"/>
      <c r="T15" s="713"/>
      <c r="U15" s="714"/>
      <c r="V15" s="713"/>
      <c r="W15" s="714"/>
      <c r="X15" s="1540"/>
      <c r="Y15" s="3353"/>
      <c r="Z15" s="1541"/>
      <c r="AA15" s="1538">
        <v>1</v>
      </c>
      <c r="AB15" s="1538">
        <v>1</v>
      </c>
      <c r="AC15" s="1538">
        <v>1</v>
      </c>
    </row>
    <row r="16" spans="1:29" ht="15">
      <c r="A16" s="386"/>
      <c r="B16" s="409" t="s">
        <v>2510</v>
      </c>
      <c r="C16" s="2087"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53"/>
      <c r="Q16" s="1537" t="str">
        <f>B16</f>
        <v>公共配套设施</v>
      </c>
      <c r="R16" s="713" t="s">
        <v>17</v>
      </c>
      <c r="S16" s="714">
        <f>F16</f>
        <v>100</v>
      </c>
      <c r="T16" s="713" t="s">
        <v>17</v>
      </c>
      <c r="U16" s="714">
        <f>H16</f>
        <v>100</v>
      </c>
      <c r="V16" s="713" t="s">
        <v>17</v>
      </c>
      <c r="W16" s="714">
        <f>J16</f>
        <v>100</v>
      </c>
      <c r="X16" s="1540"/>
      <c r="Y16" s="3353"/>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8"/>
      <c r="M17" s="2942"/>
      <c r="N17" s="2942"/>
      <c r="O17" s="3000"/>
      <c r="P17" s="3353"/>
      <c r="Q17" s="1537"/>
      <c r="R17" s="713"/>
      <c r="S17" s="714"/>
      <c r="T17" s="713"/>
      <c r="U17" s="714"/>
      <c r="V17" s="713"/>
      <c r="W17" s="714"/>
      <c r="X17" s="1540"/>
      <c r="Y17" s="3353"/>
      <c r="Z17" s="1541"/>
      <c r="AA17" s="1538">
        <v>1</v>
      </c>
      <c r="AB17" s="1538">
        <v>1</v>
      </c>
      <c r="AC17" s="1538">
        <v>1</v>
      </c>
    </row>
    <row r="18" spans="1:29" ht="15">
      <c r="A18" s="386"/>
      <c r="B18" s="1292" t="s">
        <v>2511</v>
      </c>
      <c r="C18" s="2087"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53"/>
      <c r="Q18" s="1537" t="str">
        <f>B18</f>
        <v>基础设施水平</v>
      </c>
      <c r="R18" s="713" t="s">
        <v>17</v>
      </c>
      <c r="S18" s="714">
        <f>F18</f>
        <v>100</v>
      </c>
      <c r="T18" s="713" t="s">
        <v>17</v>
      </c>
      <c r="U18" s="714">
        <f>H18</f>
        <v>100</v>
      </c>
      <c r="V18" s="713" t="s">
        <v>17</v>
      </c>
      <c r="W18" s="714">
        <f>J18</f>
        <v>100</v>
      </c>
      <c r="X18" s="1540"/>
      <c r="Y18" s="3353"/>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8"/>
      <c r="M19" s="2942"/>
      <c r="N19" s="2942"/>
      <c r="O19" s="3000"/>
      <c r="P19" s="3353"/>
      <c r="Q19" s="1537"/>
      <c r="R19" s="713"/>
      <c r="S19" s="714"/>
      <c r="T19" s="713"/>
      <c r="U19" s="714"/>
      <c r="V19" s="713"/>
      <c r="W19" s="714"/>
      <c r="X19" s="1540"/>
      <c r="Y19" s="3353"/>
      <c r="Z19" s="1541"/>
      <c r="AA19" s="1538">
        <v>1</v>
      </c>
      <c r="AB19" s="1538">
        <v>1</v>
      </c>
      <c r="AC19" s="1538">
        <v>1</v>
      </c>
    </row>
    <row r="20" spans="1:29" ht="15">
      <c r="A20" s="386"/>
      <c r="B20" s="409" t="s">
        <v>2532</v>
      </c>
      <c r="C20" s="2087"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53"/>
      <c r="Q20" s="1537" t="str">
        <f>B20</f>
        <v>自然及人文环境</v>
      </c>
      <c r="R20" s="713" t="s">
        <v>17</v>
      </c>
      <c r="S20" s="714">
        <f>F20</f>
        <v>100</v>
      </c>
      <c r="T20" s="713" t="s">
        <v>17</v>
      </c>
      <c r="U20" s="714">
        <f>H20</f>
        <v>100</v>
      </c>
      <c r="V20" s="713" t="s">
        <v>17</v>
      </c>
      <c r="W20" s="714">
        <f>J20</f>
        <v>100</v>
      </c>
      <c r="X20" s="1540"/>
      <c r="Y20" s="3353"/>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353"/>
      <c r="Q21" s="1537"/>
      <c r="R21" s="713"/>
      <c r="S21" s="714"/>
      <c r="T21" s="713"/>
      <c r="U21" s="714"/>
      <c r="V21" s="713"/>
      <c r="W21" s="714"/>
      <c r="X21" s="1540"/>
      <c r="Y21" s="3353"/>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53"/>
      <c r="Q22" s="1537" t="str">
        <f>B22</f>
        <v>楼层</v>
      </c>
      <c r="R22" s="713" t="s">
        <v>17</v>
      </c>
      <c r="S22" s="714">
        <f>F22</f>
        <v>100</v>
      </c>
      <c r="T22" s="713" t="s">
        <v>17</v>
      </c>
      <c r="U22" s="714">
        <f>H22</f>
        <v>100</v>
      </c>
      <c r="V22" s="713" t="s">
        <v>17</v>
      </c>
      <c r="W22" s="714">
        <f>J22</f>
        <v>100</v>
      </c>
      <c r="X22" s="1540"/>
      <c r="Y22" s="3353"/>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53"/>
      <c r="Q23" s="1537">
        <f>B23</f>
        <v>111</v>
      </c>
      <c r="R23" s="713" t="s">
        <v>17</v>
      </c>
      <c r="S23" s="714">
        <f>F23</f>
        <v>100</v>
      </c>
      <c r="T23" s="713" t="s">
        <v>17</v>
      </c>
      <c r="U23" s="714">
        <f>H23</f>
        <v>100</v>
      </c>
      <c r="V23" s="713" t="s">
        <v>17</v>
      </c>
      <c r="W23" s="714">
        <f>J23</f>
        <v>100</v>
      </c>
      <c r="X23" s="1540"/>
      <c r="Y23" s="3353"/>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53"/>
      <c r="Q24" s="1537">
        <f t="shared" ref="Q24:Q34" si="11">B24</f>
        <v>111</v>
      </c>
      <c r="R24" s="713" t="s">
        <v>17</v>
      </c>
      <c r="S24" s="714">
        <f>F24</f>
        <v>100</v>
      </c>
      <c r="T24" s="713" t="s">
        <v>17</v>
      </c>
      <c r="U24" s="714">
        <f>H24</f>
        <v>100</v>
      </c>
      <c r="V24" s="713" t="s">
        <v>17</v>
      </c>
      <c r="W24" s="714">
        <f>J24</f>
        <v>100</v>
      </c>
      <c r="X24" s="1540"/>
      <c r="Y24" s="3353"/>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3"/>
      <c r="M25" s="2944"/>
      <c r="N25" s="2944"/>
      <c r="O25" s="2998"/>
      <c r="P25" s="3353"/>
      <c r="Q25" s="1528">
        <f t="shared" si="11"/>
        <v>111</v>
      </c>
      <c r="R25" s="709" t="s">
        <v>17</v>
      </c>
      <c r="S25" s="710">
        <f>F25</f>
        <v>100</v>
      </c>
      <c r="T25" s="709" t="s">
        <v>17</v>
      </c>
      <c r="U25" s="710">
        <f>H25</f>
        <v>100</v>
      </c>
      <c r="V25" s="709" t="s">
        <v>17</v>
      </c>
      <c r="W25" s="710">
        <f>J25</f>
        <v>100</v>
      </c>
      <c r="X25" s="711"/>
      <c r="Y25" s="3353"/>
      <c r="Z25" s="55">
        <f>Q25</f>
        <v>111</v>
      </c>
      <c r="AA25" s="1538">
        <f>D25/F25</f>
        <v>1</v>
      </c>
      <c r="AB25" s="1538">
        <f>D25/H25</f>
        <v>1</v>
      </c>
      <c r="AC25" s="1538">
        <f>D25/J25</f>
        <v>1</v>
      </c>
    </row>
    <row r="26" spans="1:29" ht="28.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48"/>
      <c r="M26" s="2942"/>
      <c r="N26" s="2942"/>
      <c r="O26" s="3000"/>
      <c r="P26" s="3406"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57"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57"/>
      <c r="Q27" s="715" t="str">
        <f t="shared" si="11"/>
        <v>成新率</v>
      </c>
      <c r="R27" s="716" t="s">
        <v>17</v>
      </c>
      <c r="S27" s="717" t="e">
        <f t="shared" si="12"/>
        <v>#N/A</v>
      </c>
      <c r="T27" s="716" t="s">
        <v>17</v>
      </c>
      <c r="U27" s="717" t="e">
        <f t="shared" si="13"/>
        <v>#N/A</v>
      </c>
      <c r="V27" s="716" t="s">
        <v>17</v>
      </c>
      <c r="W27" s="717" t="e">
        <f t="shared" si="14"/>
        <v>#N/A</v>
      </c>
      <c r="X27" s="718"/>
      <c r="Y27" s="3357"/>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57"/>
      <c r="Q28" s="1537" t="str">
        <f t="shared" si="11"/>
        <v>物业等级</v>
      </c>
      <c r="R28" s="713" t="s">
        <v>17</v>
      </c>
      <c r="S28" s="714">
        <f t="shared" si="12"/>
        <v>100</v>
      </c>
      <c r="T28" s="713" t="s">
        <v>17</v>
      </c>
      <c r="U28" s="714">
        <f t="shared" si="13"/>
        <v>100</v>
      </c>
      <c r="V28" s="713" t="s">
        <v>17</v>
      </c>
      <c r="W28" s="714">
        <f t="shared" si="14"/>
        <v>100</v>
      </c>
      <c r="X28" s="1540"/>
      <c r="Y28" s="3357"/>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57"/>
      <c r="Q29" s="1537" t="str">
        <f t="shared" si="11"/>
        <v>有无电梯</v>
      </c>
      <c r="R29" s="713" t="s">
        <v>17</v>
      </c>
      <c r="S29" s="714">
        <f t="shared" si="12"/>
        <v>100</v>
      </c>
      <c r="T29" s="713" t="s">
        <v>17</v>
      </c>
      <c r="U29" s="714">
        <f t="shared" si="13"/>
        <v>100</v>
      </c>
      <c r="V29" s="713" t="s">
        <v>17</v>
      </c>
      <c r="W29" s="714">
        <f t="shared" si="14"/>
        <v>100</v>
      </c>
      <c r="X29" s="1540"/>
      <c r="Y29" s="3357"/>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57"/>
      <c r="Q30" s="1537" t="str">
        <f t="shared" si="11"/>
        <v>建筑面积</v>
      </c>
      <c r="R30" s="713" t="s">
        <v>17</v>
      </c>
      <c r="S30" s="714" t="e">
        <f t="shared" si="12"/>
        <v>#N/A</v>
      </c>
      <c r="T30" s="713" t="s">
        <v>17</v>
      </c>
      <c r="U30" s="714" t="e">
        <f t="shared" si="13"/>
        <v>#N/A</v>
      </c>
      <c r="V30" s="713" t="s">
        <v>17</v>
      </c>
      <c r="W30" s="714" t="e">
        <f t="shared" si="14"/>
        <v>#N/A</v>
      </c>
      <c r="X30" s="1540"/>
      <c r="Y30" s="3357"/>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57"/>
      <c r="Q31" s="1528" t="str">
        <f t="shared" si="11"/>
        <v>是否封闭</v>
      </c>
      <c r="R31" s="709" t="s">
        <v>17</v>
      </c>
      <c r="S31" s="710">
        <f t="shared" si="12"/>
        <v>100</v>
      </c>
      <c r="T31" s="709" t="s">
        <v>17</v>
      </c>
      <c r="U31" s="710">
        <f t="shared" si="13"/>
        <v>100</v>
      </c>
      <c r="V31" s="709" t="s">
        <v>17</v>
      </c>
      <c r="W31" s="710">
        <f t="shared" si="14"/>
        <v>100</v>
      </c>
      <c r="X31" s="711"/>
      <c r="Y31" s="3357"/>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57" t="s">
        <v>2387</v>
      </c>
      <c r="Q32" s="1537">
        <f t="shared" si="11"/>
        <v>111</v>
      </c>
      <c r="R32" s="713" t="s">
        <v>17</v>
      </c>
      <c r="S32" s="714">
        <f t="shared" si="12"/>
        <v>100</v>
      </c>
      <c r="T32" s="713" t="s">
        <v>17</v>
      </c>
      <c r="U32" s="714">
        <f t="shared" si="13"/>
        <v>100</v>
      </c>
      <c r="V32" s="713" t="s">
        <v>17</v>
      </c>
      <c r="W32" s="714">
        <f t="shared" si="14"/>
        <v>100</v>
      </c>
      <c r="X32" s="1540"/>
      <c r="Y32" s="3357"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57"/>
      <c r="Q33" s="1537">
        <f t="shared" si="11"/>
        <v>111</v>
      </c>
      <c r="R33" s="713" t="s">
        <v>17</v>
      </c>
      <c r="S33" s="714">
        <f t="shared" si="12"/>
        <v>100</v>
      </c>
      <c r="T33" s="713" t="s">
        <v>17</v>
      </c>
      <c r="U33" s="714">
        <f t="shared" si="13"/>
        <v>100</v>
      </c>
      <c r="V33" s="713" t="s">
        <v>17</v>
      </c>
      <c r="W33" s="714">
        <f t="shared" si="14"/>
        <v>100</v>
      </c>
      <c r="X33" s="1540"/>
      <c r="Y33" s="3357"/>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8"/>
      <c r="M34" s="2942"/>
      <c r="N34" s="2942"/>
      <c r="O34" s="3000"/>
      <c r="P34" s="3357"/>
      <c r="Q34" s="1537">
        <f t="shared" si="11"/>
        <v>111</v>
      </c>
      <c r="R34" s="713" t="s">
        <v>17</v>
      </c>
      <c r="S34" s="714">
        <f t="shared" si="12"/>
        <v>100</v>
      </c>
      <c r="T34" s="713" t="s">
        <v>17</v>
      </c>
      <c r="U34" s="714">
        <f t="shared" si="13"/>
        <v>100</v>
      </c>
      <c r="V34" s="713" t="s">
        <v>17</v>
      </c>
      <c r="W34" s="714">
        <f t="shared" si="14"/>
        <v>100</v>
      </c>
      <c r="X34" s="1540"/>
      <c r="Y34" s="3357"/>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0"/>
      <c r="M35" s="2951"/>
      <c r="N35" s="2942"/>
      <c r="O35" s="2951"/>
      <c r="P35" s="3359" t="str">
        <f>A35</f>
        <v>成交单价（元/平方米）</v>
      </c>
      <c r="Q35" s="3359"/>
      <c r="R35" s="3360">
        <f>E35</f>
        <v>0</v>
      </c>
      <c r="S35" s="3360"/>
      <c r="T35" s="3360">
        <f>G35</f>
        <v>0</v>
      </c>
      <c r="U35" s="3360"/>
      <c r="V35" s="3360">
        <f>I35</f>
        <v>0</v>
      </c>
      <c r="W35" s="3360"/>
      <c r="X35" s="698"/>
      <c r="Y35" s="720"/>
      <c r="Z35" s="698"/>
      <c r="AA35" s="698"/>
      <c r="AB35" s="698"/>
      <c r="AC35" s="698"/>
    </row>
    <row r="36" spans="1:30" ht="15.75" thickBot="1">
      <c r="A36" s="444" t="s">
        <v>2491</v>
      </c>
      <c r="B36" s="445"/>
      <c r="C36" s="1321" t="e">
        <f>R37</f>
        <v>#DIV/0!</v>
      </c>
      <c r="D36" s="2539" t="s">
        <v>2880</v>
      </c>
      <c r="E36" s="1322" t="e">
        <f>R36</f>
        <v>#DIV/0!</v>
      </c>
      <c r="F36" s="2540"/>
      <c r="G36" s="1321" t="e">
        <f>T36</f>
        <v>#DIV/0!</v>
      </c>
      <c r="H36" s="2540"/>
      <c r="I36" s="1322" t="e">
        <f>V36</f>
        <v>#DIV/0!</v>
      </c>
      <c r="J36" s="2540"/>
      <c r="K36" s="2542">
        <f>F36+H36+J36</f>
        <v>0</v>
      </c>
      <c r="L36" s="2950"/>
      <c r="M36" s="2951"/>
      <c r="N36" s="2942"/>
      <c r="O36" s="2951"/>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0"/>
      <c r="M37" s="2951"/>
      <c r="N37" s="2951"/>
      <c r="O37" s="2951"/>
      <c r="P37" s="3403" t="str">
        <f>A37</f>
        <v>估价对象XX用房的比较价值（楼面单价，元/平方米）</v>
      </c>
      <c r="Q37" s="3404"/>
      <c r="R37" s="3407" t="e">
        <f>IF(F1="售价",ROUND(IF(D36="简单平均",AVERAGE(R36:W36),R36*F36+T36*H36+V36*J36),0),ROUND(IF(D36="简单平均",AVERAGE(R36:V36),R36*F36+T36*H36+V36*J36),1))</f>
        <v>#DIV/0!</v>
      </c>
      <c r="S37" s="3407"/>
      <c r="T37" s="3407"/>
      <c r="U37" s="3407"/>
      <c r="V37" s="3407"/>
      <c r="W37" s="3407"/>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2496</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2370</v>
      </c>
      <c r="B46" s="462"/>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6"/>
      <c r="R47" s="2886"/>
      <c r="S47" s="2886"/>
      <c r="T47" s="2886"/>
      <c r="U47" s="2886"/>
      <c r="V47" s="2886"/>
      <c r="W47" s="2886"/>
      <c r="X47" s="2886"/>
      <c r="Y47" s="2886"/>
      <c r="Z47" s="2886"/>
      <c r="AA47" s="2886"/>
      <c r="AB47" s="2886"/>
      <c r="AC47" s="2886"/>
      <c r="AD47" s="2886"/>
    </row>
    <row r="48" spans="1:30" s="113" customFormat="1" ht="15.75" thickBot="1">
      <c r="A48" s="471" t="s">
        <v>2407</v>
      </c>
      <c r="B48" s="472"/>
      <c r="C48" s="473"/>
      <c r="D48" s="474"/>
      <c r="E48" s="474"/>
      <c r="F48" s="474"/>
      <c r="G48" s="474"/>
      <c r="H48" s="474"/>
      <c r="I48" s="474"/>
      <c r="J48" s="474"/>
      <c r="K48" s="474"/>
      <c r="L48" s="474"/>
      <c r="M48" s="475"/>
      <c r="N48" s="474"/>
      <c r="O48" s="476"/>
      <c r="P48" s="2965"/>
      <c r="Q48" s="2965"/>
      <c r="R48" s="2886"/>
      <c r="S48" s="2886"/>
      <c r="T48" s="2886"/>
      <c r="U48" s="2886"/>
      <c r="V48" s="2886"/>
      <c r="W48" s="2886"/>
      <c r="X48" s="2886"/>
      <c r="Y48" s="2886"/>
      <c r="Z48" s="2886"/>
      <c r="AA48" s="2886"/>
      <c r="AB48" s="2886"/>
      <c r="AC48" s="2886"/>
      <c r="AD48" s="2886"/>
    </row>
    <row r="49" spans="1:30" s="113" customFormat="1" ht="15">
      <c r="A49" s="477" t="s">
        <v>2372</v>
      </c>
      <c r="B49" s="466"/>
      <c r="C49" s="478" t="s">
        <v>2474</v>
      </c>
      <c r="D49" s="479"/>
      <c r="E49" s="479"/>
      <c r="F49" s="479"/>
      <c r="G49" s="479"/>
      <c r="H49" s="479"/>
      <c r="I49" s="479"/>
      <c r="J49" s="479"/>
      <c r="K49" s="479"/>
      <c r="L49" s="480"/>
      <c r="M49" s="481"/>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6"/>
      <c r="S50" s="2886"/>
      <c r="T50" s="2886"/>
      <c r="U50" s="2886"/>
      <c r="V50" s="2886"/>
      <c r="W50" s="2886"/>
      <c r="X50" s="2886"/>
      <c r="Y50" s="2886"/>
      <c r="Z50" s="2886"/>
      <c r="AA50" s="2886"/>
      <c r="AB50" s="2886"/>
      <c r="AC50" s="2886"/>
      <c r="AD50" s="2886"/>
    </row>
    <row r="51" spans="1:30">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2511</v>
      </c>
      <c r="C65" s="615" t="s">
        <v>2497</v>
      </c>
      <c r="D65" s="615" t="s">
        <v>2498</v>
      </c>
      <c r="E65" s="615" t="s">
        <v>2499</v>
      </c>
      <c r="F65" s="615" t="s">
        <v>2500</v>
      </c>
      <c r="G65" s="615" t="s">
        <v>2501</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0"/>
      <c r="O74" s="2980"/>
      <c r="P74" s="3004"/>
      <c r="Q74" s="2965"/>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2467</v>
      </c>
      <c r="B4" s="361"/>
      <c r="C4" s="3334" t="s">
        <v>2468</v>
      </c>
      <c r="D4" s="3335"/>
      <c r="E4" s="3336" t="s">
        <v>2469</v>
      </c>
      <c r="F4" s="3337"/>
      <c r="G4" s="3334" t="s">
        <v>2470</v>
      </c>
      <c r="H4" s="3335"/>
      <c r="I4" s="3334" t="s">
        <v>2471</v>
      </c>
      <c r="J4" s="3335"/>
      <c r="K4" s="566" t="s">
        <v>2472</v>
      </c>
      <c r="L4" s="2941"/>
      <c r="M4" s="2942"/>
      <c r="N4" s="2942"/>
      <c r="O4" s="2942"/>
      <c r="P4" s="3399" t="s">
        <v>2473</v>
      </c>
      <c r="Q4" s="3400"/>
      <c r="R4" s="3397" t="s">
        <v>2469</v>
      </c>
      <c r="S4" s="3398"/>
      <c r="T4" s="3397" t="s">
        <v>2470</v>
      </c>
      <c r="U4" s="3398"/>
      <c r="V4" s="3347" t="s">
        <v>2471</v>
      </c>
      <c r="W4" s="3347"/>
      <c r="X4" s="1540"/>
      <c r="Y4" s="3397" t="s">
        <v>2473</v>
      </c>
      <c r="Z4" s="3398"/>
      <c r="AA4" s="3396" t="s">
        <v>2469</v>
      </c>
      <c r="AB4" s="3314" t="s">
        <v>2470</v>
      </c>
      <c r="AC4" s="3396" t="s">
        <v>2471</v>
      </c>
    </row>
    <row r="5" spans="1:30" ht="15">
      <c r="A5" s="363"/>
      <c r="B5" s="364"/>
      <c r="C5" s="3324" t="s">
        <v>2364</v>
      </c>
      <c r="D5" s="3325"/>
      <c r="E5" s="3322" t="s">
        <v>2365</v>
      </c>
      <c r="F5" s="3323"/>
      <c r="G5" s="3324" t="s">
        <v>2366</v>
      </c>
      <c r="H5" s="3325"/>
      <c r="I5" s="3324" t="s">
        <v>2367</v>
      </c>
      <c r="J5" s="3325"/>
      <c r="K5" s="566"/>
      <c r="L5" s="2941"/>
      <c r="M5" s="2942"/>
      <c r="N5" s="2942"/>
      <c r="O5" s="2942"/>
      <c r="P5" s="3401"/>
      <c r="Q5" s="3341"/>
      <c r="R5" s="3320"/>
      <c r="S5" s="3321"/>
      <c r="T5" s="3320"/>
      <c r="U5" s="3321"/>
      <c r="V5" s="3347"/>
      <c r="W5" s="3347"/>
      <c r="X5" s="1540"/>
      <c r="Y5" s="3320"/>
      <c r="Z5" s="3321"/>
      <c r="AA5" s="3314"/>
      <c r="AB5" s="3314"/>
      <c r="AC5" s="3314"/>
    </row>
    <row r="6" spans="1:30" ht="15.75" thickBot="1">
      <c r="A6" s="365"/>
      <c r="B6" s="366"/>
      <c r="C6" s="3326" t="s">
        <v>2368</v>
      </c>
      <c r="D6" s="3327"/>
      <c r="E6" s="3328" t="s">
        <v>2368</v>
      </c>
      <c r="F6" s="3329"/>
      <c r="G6" s="3326" t="s">
        <v>2368</v>
      </c>
      <c r="H6" s="3327"/>
      <c r="I6" s="3326" t="s">
        <v>2368</v>
      </c>
      <c r="J6" s="3327"/>
      <c r="K6" s="566" t="s">
        <v>2369</v>
      </c>
      <c r="L6" s="2941"/>
      <c r="M6" s="2942"/>
      <c r="N6" s="2942"/>
      <c r="O6" s="2942"/>
      <c r="P6" s="3402"/>
      <c r="Q6" s="3343"/>
      <c r="R6" s="3320"/>
      <c r="S6" s="3321"/>
      <c r="T6" s="3344"/>
      <c r="U6" s="3345"/>
      <c r="V6" s="3347"/>
      <c r="W6" s="3347"/>
      <c r="X6" s="1540"/>
      <c r="Y6" s="3344"/>
      <c r="Z6" s="3345"/>
      <c r="AA6" s="3315"/>
      <c r="AB6" s="3315"/>
      <c r="AC6" s="3315"/>
    </row>
    <row r="7" spans="1:30" s="113" customFormat="1" ht="15.75" thickBot="1">
      <c r="A7" s="367" t="s">
        <v>2370</v>
      </c>
      <c r="B7" s="368"/>
      <c r="C7" s="369">
        <f>'数据-取费表'!B2</f>
        <v>44088</v>
      </c>
      <c r="D7" s="370">
        <v>100</v>
      </c>
      <c r="E7" s="371"/>
      <c r="F7" s="372">
        <f>SUMIF(70:70,YEAR(E7)&amp;"-"&amp;INT((MONTH(E7)+2)/3),71:71)</f>
        <v>0</v>
      </c>
      <c r="G7" s="2161"/>
      <c r="H7" s="370">
        <f>SUMIF(70:70,YEAR(G7)&amp;"-"&amp;INT((MONTH(G7)+2)/3),71:71)</f>
        <v>0</v>
      </c>
      <c r="I7" s="2161"/>
      <c r="J7" s="370">
        <f>SUMIF(70:70,YEAR(I7)&amp;"-"&amp;INT((MONTH(I7)+2)/3),71:71)</f>
        <v>0</v>
      </c>
      <c r="K7" s="567"/>
      <c r="L7" s="2943"/>
      <c r="M7" s="2944"/>
      <c r="N7" s="2944"/>
      <c r="O7" s="2944"/>
      <c r="P7" s="3316" t="s">
        <v>2371</v>
      </c>
      <c r="Q7" s="3349"/>
      <c r="R7" s="709" t="s">
        <v>17</v>
      </c>
      <c r="S7" s="710">
        <f t="shared" ref="S7:S15" si="0">F7</f>
        <v>0</v>
      </c>
      <c r="T7" s="709" t="s">
        <v>17</v>
      </c>
      <c r="U7" s="710">
        <f t="shared" ref="U7:U15" si="1">H7</f>
        <v>0</v>
      </c>
      <c r="V7" s="709" t="s">
        <v>17</v>
      </c>
      <c r="W7" s="710">
        <f t="shared" ref="W7:W15" si="2">J7</f>
        <v>0</v>
      </c>
      <c r="X7" s="711"/>
      <c r="Y7" s="3316" t="s">
        <v>2371</v>
      </c>
      <c r="Z7" s="3317"/>
      <c r="AA7" s="712" t="e">
        <f>D7/F7</f>
        <v>#DIV/0!</v>
      </c>
      <c r="AB7" s="712" t="e">
        <f>D7/H7</f>
        <v>#DIV/0!</v>
      </c>
      <c r="AC7" s="712" t="e">
        <f>D7/J7</f>
        <v>#DIV/0!</v>
      </c>
    </row>
    <row r="8" spans="1:30" s="113" customFormat="1" ht="15.7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16" t="s">
        <v>2374</v>
      </c>
      <c r="Q8" s="3317"/>
      <c r="R8" s="709" t="s">
        <v>17</v>
      </c>
      <c r="S8" s="710">
        <f t="shared" si="0"/>
        <v>0</v>
      </c>
      <c r="T8" s="709" t="s">
        <v>17</v>
      </c>
      <c r="U8" s="710">
        <f t="shared" si="1"/>
        <v>0</v>
      </c>
      <c r="V8" s="709" t="s">
        <v>17</v>
      </c>
      <c r="W8" s="710">
        <f t="shared" si="2"/>
        <v>0</v>
      </c>
      <c r="X8" s="711"/>
      <c r="Y8" s="3316" t="s">
        <v>2374</v>
      </c>
      <c r="Z8" s="3317"/>
      <c r="AA8" s="712" t="e">
        <f t="shared" ref="AA8:AA45" si="3">D8/F8</f>
        <v>#DIV/0!</v>
      </c>
      <c r="AB8" s="712" t="e">
        <f t="shared" ref="AB8:AB45" si="4">D8/H8</f>
        <v>#DIV/0!</v>
      </c>
      <c r="AC8" s="712" t="e">
        <f t="shared" ref="AC8:AC45" si="5">D8/J8</f>
        <v>#DIV/0!</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3"/>
      <c r="M9" s="2944"/>
      <c r="N9" s="2944"/>
      <c r="O9" s="2998"/>
      <c r="P9" s="3359"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114</v>
      </c>
      <c r="G10" s="421"/>
      <c r="H10" s="131">
        <f>ROUND(100/'数据-取费表'!G16,0)</f>
        <v>114</v>
      </c>
      <c r="I10" s="421"/>
      <c r="J10" s="131">
        <f>ROUND(100/'数据-取费表'!G16,0)</f>
        <v>114</v>
      </c>
      <c r="K10" s="627"/>
      <c r="L10" s="2945"/>
      <c r="M10" s="2946"/>
      <c r="N10" s="2946"/>
      <c r="O10" s="2999"/>
      <c r="P10" s="3359"/>
      <c r="Q10" s="1528" t="str">
        <f t="shared" si="6"/>
        <v>土地使用年限（年）</v>
      </c>
      <c r="R10" s="709" t="s">
        <v>17</v>
      </c>
      <c r="S10" s="710">
        <f t="shared" si="0"/>
        <v>114</v>
      </c>
      <c r="T10" s="709" t="s">
        <v>17</v>
      </c>
      <c r="U10" s="710">
        <f t="shared" si="1"/>
        <v>114</v>
      </c>
      <c r="V10" s="709" t="s">
        <v>17</v>
      </c>
      <c r="W10" s="710">
        <f t="shared" si="2"/>
        <v>114</v>
      </c>
      <c r="X10" s="711"/>
      <c r="Y10" s="3258"/>
      <c r="Z10" s="55" t="str">
        <f t="shared" si="7"/>
        <v>土地使用年限（年）</v>
      </c>
      <c r="AA10" s="712">
        <f t="shared" si="3"/>
        <v>0.8771929824561403</v>
      </c>
      <c r="AB10" s="712">
        <f t="shared" si="4"/>
        <v>0.8771929824561403</v>
      </c>
      <c r="AC10" s="712">
        <f t="shared" si="5"/>
        <v>0.8771929824561403</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359"/>
      <c r="Q11" s="1528" t="str">
        <f t="shared" si="6"/>
        <v>容积率</v>
      </c>
      <c r="R11" s="709" t="s">
        <v>17</v>
      </c>
      <c r="S11" s="710" t="e">
        <f t="shared" si="0"/>
        <v>#N/A</v>
      </c>
      <c r="T11" s="709" t="s">
        <v>17</v>
      </c>
      <c r="U11" s="710" t="e">
        <f t="shared" si="1"/>
        <v>#N/A</v>
      </c>
      <c r="V11" s="709" t="s">
        <v>17</v>
      </c>
      <c r="W11" s="710" t="e">
        <f t="shared" si="2"/>
        <v>#N/A</v>
      </c>
      <c r="X11" s="711"/>
      <c r="Y11" s="3258"/>
      <c r="Z11" s="55" t="str">
        <f t="shared" si="7"/>
        <v>容积率</v>
      </c>
      <c r="AA11" s="712" t="e">
        <f t="shared" si="3"/>
        <v>#N/A</v>
      </c>
      <c r="AB11" s="712" t="e">
        <f t="shared" si="4"/>
        <v>#N/A</v>
      </c>
      <c r="AC11" s="712" t="e">
        <f t="shared" si="5"/>
        <v>#N/A</v>
      </c>
    </row>
    <row r="12" spans="1:30" s="113" customFormat="1" ht="15">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59"/>
      <c r="Q12" s="1528" t="str">
        <f t="shared" si="6"/>
        <v>配建</v>
      </c>
      <c r="R12" s="709" t="s">
        <v>17</v>
      </c>
      <c r="S12" s="710">
        <f t="shared" si="0"/>
        <v>100</v>
      </c>
      <c r="T12" s="709" t="s">
        <v>17</v>
      </c>
      <c r="U12" s="710">
        <f t="shared" si="1"/>
        <v>100</v>
      </c>
      <c r="V12" s="709" t="s">
        <v>17</v>
      </c>
      <c r="W12" s="710">
        <f t="shared" si="2"/>
        <v>100</v>
      </c>
      <c r="X12" s="711"/>
      <c r="Y12" s="3258"/>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58"/>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59"/>
      <c r="Q14" s="1528">
        <f t="shared" si="6"/>
        <v>111</v>
      </c>
      <c r="R14" s="709" t="s">
        <v>17</v>
      </c>
      <c r="S14" s="710">
        <f t="shared" si="0"/>
        <v>100</v>
      </c>
      <c r="T14" s="709" t="s">
        <v>17</v>
      </c>
      <c r="U14" s="710">
        <f t="shared" si="1"/>
        <v>100</v>
      </c>
      <c r="V14" s="709" t="s">
        <v>17</v>
      </c>
      <c r="W14" s="710">
        <f t="shared" si="2"/>
        <v>100</v>
      </c>
      <c r="X14" s="711"/>
      <c r="Y14" s="3258"/>
      <c r="Z14" s="55">
        <f t="shared" si="7"/>
        <v>111</v>
      </c>
      <c r="AA14" s="712">
        <f>D14/F14</f>
        <v>1</v>
      </c>
      <c r="AB14" s="712">
        <f>D14/H14</f>
        <v>1</v>
      </c>
      <c r="AC14" s="712">
        <f>D14/J14</f>
        <v>1</v>
      </c>
    </row>
    <row r="15" spans="1:30" ht="15">
      <c r="A15" s="398" t="s">
        <v>2381</v>
      </c>
      <c r="B15" s="65" t="s">
        <v>1944</v>
      </c>
      <c r="C15" s="2083" t="str">
        <f>估价对象房地状况!C15</f>
        <v>较好</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52" t="s">
        <v>2382</v>
      </c>
      <c r="Q15" s="1537" t="str">
        <f t="shared" si="6"/>
        <v>居住社区成熟度</v>
      </c>
      <c r="R15" s="713" t="s">
        <v>17</v>
      </c>
      <c r="S15" s="714">
        <f t="shared" si="0"/>
        <v>100</v>
      </c>
      <c r="T15" s="713" t="s">
        <v>17</v>
      </c>
      <c r="U15" s="714">
        <f t="shared" si="1"/>
        <v>100</v>
      </c>
      <c r="V15" s="713" t="s">
        <v>17</v>
      </c>
      <c r="W15" s="714">
        <f t="shared" si="2"/>
        <v>100</v>
      </c>
      <c r="X15" s="1540"/>
      <c r="Y15" s="3352" t="s">
        <v>2382</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8"/>
      <c r="M16" s="2942"/>
      <c r="N16" s="2942"/>
      <c r="O16" s="3000"/>
      <c r="P16" s="3353"/>
      <c r="Q16" s="1537"/>
      <c r="R16" s="713"/>
      <c r="S16" s="714"/>
      <c r="T16" s="713"/>
      <c r="U16" s="714"/>
      <c r="V16" s="713"/>
      <c r="W16" s="714"/>
      <c r="X16" s="1540"/>
      <c r="Y16" s="3353"/>
      <c r="Z16" s="1541"/>
      <c r="AA16" s="1538">
        <v>1</v>
      </c>
      <c r="AB16" s="1538">
        <v>1</v>
      </c>
      <c r="AC16" s="1538">
        <v>1</v>
      </c>
    </row>
    <row r="17" spans="1:29" ht="15">
      <c r="A17" s="386"/>
      <c r="B17" s="409" t="s">
        <v>2475</v>
      </c>
      <c r="C17" s="2142" t="str">
        <f>估价对象房地状况!C16</f>
        <v>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53"/>
      <c r="Q17" s="1537" t="str">
        <f>B17</f>
        <v>商业繁华度</v>
      </c>
      <c r="R17" s="713" t="s">
        <v>17</v>
      </c>
      <c r="S17" s="714">
        <f>F17</f>
        <v>100</v>
      </c>
      <c r="T17" s="713" t="s">
        <v>17</v>
      </c>
      <c r="U17" s="714">
        <f>H17</f>
        <v>100</v>
      </c>
      <c r="V17" s="713" t="s">
        <v>17</v>
      </c>
      <c r="W17" s="714">
        <f>J17</f>
        <v>100</v>
      </c>
      <c r="X17" s="1540"/>
      <c r="Y17" s="3353"/>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8"/>
      <c r="M18" s="2942"/>
      <c r="N18" s="2942"/>
      <c r="O18" s="3000"/>
      <c r="P18" s="3353"/>
      <c r="Q18" s="1537"/>
      <c r="R18" s="713"/>
      <c r="S18" s="714"/>
      <c r="T18" s="713"/>
      <c r="U18" s="714"/>
      <c r="V18" s="713"/>
      <c r="W18" s="714"/>
      <c r="X18" s="1540"/>
      <c r="Y18" s="3353"/>
      <c r="Z18" s="1541"/>
      <c r="AA18" s="1538">
        <v>1</v>
      </c>
      <c r="AB18" s="1538">
        <v>1</v>
      </c>
      <c r="AC18" s="1538">
        <v>1</v>
      </c>
    </row>
    <row r="19" spans="1:29" ht="15">
      <c r="A19" s="386"/>
      <c r="B19" s="409" t="s">
        <v>2509</v>
      </c>
      <c r="C19" s="2142" t="str">
        <f>估价对象房地状况!C17</f>
        <v>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53"/>
      <c r="Q19" s="1537" t="str">
        <f>B19</f>
        <v>办公集聚程度</v>
      </c>
      <c r="R19" s="713" t="s">
        <v>17</v>
      </c>
      <c r="S19" s="714">
        <f>F19</f>
        <v>100</v>
      </c>
      <c r="T19" s="713" t="s">
        <v>17</v>
      </c>
      <c r="U19" s="714">
        <f>H19</f>
        <v>100</v>
      </c>
      <c r="V19" s="713" t="s">
        <v>17</v>
      </c>
      <c r="W19" s="714">
        <f>J19</f>
        <v>100</v>
      </c>
      <c r="X19" s="1540"/>
      <c r="Y19" s="3353"/>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8"/>
      <c r="M20" s="2942"/>
      <c r="N20" s="2942"/>
      <c r="O20" s="3000"/>
      <c r="P20" s="3353"/>
      <c r="Q20" s="1537"/>
      <c r="R20" s="713"/>
      <c r="S20" s="714"/>
      <c r="T20" s="713"/>
      <c r="U20" s="714"/>
      <c r="V20" s="713"/>
      <c r="W20" s="714"/>
      <c r="X20" s="1540"/>
      <c r="Y20" s="3353"/>
      <c r="Z20" s="1541"/>
      <c r="AA20" s="1538">
        <v>1</v>
      </c>
      <c r="AB20" s="1538">
        <v>1</v>
      </c>
      <c r="AC20" s="1538">
        <v>1</v>
      </c>
    </row>
    <row r="21" spans="1:29" ht="15">
      <c r="A21" s="386"/>
      <c r="B21" s="409" t="s">
        <v>2531</v>
      </c>
      <c r="C21" s="2087"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53"/>
      <c r="Q21" s="1537" t="str">
        <f>B21</f>
        <v>交通便捷度</v>
      </c>
      <c r="R21" s="713" t="s">
        <v>17</v>
      </c>
      <c r="S21" s="714">
        <f>F21</f>
        <v>100</v>
      </c>
      <c r="T21" s="713" t="s">
        <v>17</v>
      </c>
      <c r="U21" s="714">
        <f>H21</f>
        <v>100</v>
      </c>
      <c r="V21" s="713" t="s">
        <v>17</v>
      </c>
      <c r="W21" s="714">
        <f>J21</f>
        <v>100</v>
      </c>
      <c r="X21" s="1540"/>
      <c r="Y21" s="3353"/>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8"/>
      <c r="M22" s="2942"/>
      <c r="N22" s="2942"/>
      <c r="O22" s="3000"/>
      <c r="P22" s="3353"/>
      <c r="Q22" s="1537"/>
      <c r="R22" s="713"/>
      <c r="S22" s="714"/>
      <c r="T22" s="713"/>
      <c r="U22" s="714"/>
      <c r="V22" s="713"/>
      <c r="W22" s="714"/>
      <c r="X22" s="1540"/>
      <c r="Y22" s="3353"/>
      <c r="Z22" s="1541"/>
      <c r="AA22" s="1538">
        <v>1</v>
      </c>
      <c r="AB22" s="1538">
        <v>1</v>
      </c>
      <c r="AC22" s="1538">
        <v>1</v>
      </c>
    </row>
    <row r="23" spans="1:29" ht="15">
      <c r="A23" s="363"/>
      <c r="B23" s="409" t="s">
        <v>2570</v>
      </c>
      <c r="C23" s="1297"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53"/>
      <c r="Q23" s="1537" t="str">
        <f t="shared" ref="Q23:Q37" si="8">B23</f>
        <v>区域土地利用方向</v>
      </c>
      <c r="R23" s="713" t="s">
        <v>17</v>
      </c>
      <c r="S23" s="714">
        <f>F23</f>
        <v>100</v>
      </c>
      <c r="T23" s="713" t="s">
        <v>17</v>
      </c>
      <c r="U23" s="714">
        <f>H23</f>
        <v>100</v>
      </c>
      <c r="V23" s="713" t="s">
        <v>17</v>
      </c>
      <c r="W23" s="714">
        <f>J23</f>
        <v>100</v>
      </c>
      <c r="X23" s="1540"/>
      <c r="Y23" s="3353"/>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8"/>
      <c r="M24" s="2942"/>
      <c r="N24" s="2942"/>
      <c r="O24" s="3000"/>
      <c r="P24" s="3353"/>
      <c r="Q24" s="1537"/>
      <c r="R24" s="713"/>
      <c r="S24" s="714"/>
      <c r="T24" s="713"/>
      <c r="U24" s="714"/>
      <c r="V24" s="713"/>
      <c r="W24" s="714"/>
      <c r="X24" s="1540"/>
      <c r="Y24" s="3353"/>
      <c r="Z24" s="1541"/>
      <c r="AA24" s="1538"/>
      <c r="AB24" s="1538"/>
      <c r="AC24" s="1538"/>
    </row>
    <row r="25" spans="1:29" ht="27">
      <c r="A25" s="363"/>
      <c r="B25" s="1292" t="s">
        <v>2571</v>
      </c>
      <c r="C25" s="2142"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53"/>
      <c r="Q25" s="1537" t="str">
        <f t="shared" si="8"/>
        <v>自然及人文环境状况</v>
      </c>
      <c r="R25" s="713" t="s">
        <v>17</v>
      </c>
      <c r="S25" s="714">
        <f>F25</f>
        <v>100</v>
      </c>
      <c r="T25" s="713" t="s">
        <v>17</v>
      </c>
      <c r="U25" s="714">
        <f>H25</f>
        <v>100</v>
      </c>
      <c r="V25" s="713" t="s">
        <v>17</v>
      </c>
      <c r="W25" s="714">
        <f>J25</f>
        <v>100</v>
      </c>
      <c r="X25" s="1540"/>
      <c r="Y25" s="3353"/>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8"/>
      <c r="M26" s="2942"/>
      <c r="N26" s="2942"/>
      <c r="O26" s="3000"/>
      <c r="P26" s="3353"/>
      <c r="Q26" s="1537"/>
      <c r="R26" s="713"/>
      <c r="S26" s="714"/>
      <c r="T26" s="713"/>
      <c r="U26" s="714"/>
      <c r="V26" s="713"/>
      <c r="W26" s="714"/>
      <c r="X26" s="1540"/>
      <c r="Y26" s="3353"/>
      <c r="Z26" s="1541"/>
      <c r="AA26" s="1538">
        <v>1</v>
      </c>
      <c r="AB26" s="1538">
        <v>1</v>
      </c>
      <c r="AC26" s="1538">
        <v>1</v>
      </c>
    </row>
    <row r="27" spans="1:29" s="113" customFormat="1" ht="15">
      <c r="A27" s="604"/>
      <c r="B27" s="1292" t="s">
        <v>2476</v>
      </c>
      <c r="C27" s="2087" t="str">
        <f>估价对象房地状况!C21</f>
        <v>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53"/>
      <c r="Q27" s="1528" t="str">
        <f t="shared" si="8"/>
        <v>公共配套设施</v>
      </c>
      <c r="R27" s="709" t="s">
        <v>17</v>
      </c>
      <c r="S27" s="710">
        <f>F27</f>
        <v>100</v>
      </c>
      <c r="T27" s="709" t="s">
        <v>17</v>
      </c>
      <c r="U27" s="710">
        <f>H27</f>
        <v>100</v>
      </c>
      <c r="V27" s="709" t="s">
        <v>17</v>
      </c>
      <c r="W27" s="710">
        <f>J27</f>
        <v>100</v>
      </c>
      <c r="X27" s="711"/>
      <c r="Y27" s="3353"/>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3"/>
      <c r="M28" s="2944"/>
      <c r="N28" s="2944"/>
      <c r="O28" s="2998"/>
      <c r="P28" s="3353"/>
      <c r="Q28" s="1528"/>
      <c r="R28" s="709"/>
      <c r="S28" s="710"/>
      <c r="T28" s="709"/>
      <c r="U28" s="710"/>
      <c r="V28" s="709"/>
      <c r="W28" s="710"/>
      <c r="X28" s="711"/>
      <c r="Y28" s="3353"/>
      <c r="Z28" s="55"/>
      <c r="AA28" s="1538">
        <v>1</v>
      </c>
      <c r="AB28" s="1538">
        <v>1</v>
      </c>
      <c r="AC28" s="1538">
        <v>1</v>
      </c>
    </row>
    <row r="29" spans="1:29" s="113" customFormat="1" ht="15">
      <c r="A29" s="604"/>
      <c r="B29" s="1292" t="s">
        <v>2477</v>
      </c>
      <c r="C29" s="2087"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53"/>
      <c r="Q29" s="1528" t="str">
        <f t="shared" ref="Q29" si="9">B29</f>
        <v>基础设施水平</v>
      </c>
      <c r="R29" s="709" t="s">
        <v>17</v>
      </c>
      <c r="S29" s="710">
        <f>F29</f>
        <v>100</v>
      </c>
      <c r="T29" s="709" t="s">
        <v>17</v>
      </c>
      <c r="U29" s="710">
        <f>H29</f>
        <v>100</v>
      </c>
      <c r="V29" s="709" t="s">
        <v>17</v>
      </c>
      <c r="W29" s="710">
        <f>J29</f>
        <v>100</v>
      </c>
      <c r="X29" s="711"/>
      <c r="Y29" s="3353"/>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3"/>
      <c r="M30" s="2944"/>
      <c r="N30" s="2944"/>
      <c r="O30" s="2998"/>
      <c r="P30" s="3353"/>
      <c r="Q30" s="1528"/>
      <c r="R30" s="709"/>
      <c r="S30" s="710"/>
      <c r="T30" s="709"/>
      <c r="U30" s="710"/>
      <c r="V30" s="709"/>
      <c r="W30" s="710"/>
      <c r="X30" s="711"/>
      <c r="Y30" s="3353"/>
      <c r="Z30" s="55"/>
      <c r="AA30" s="1538">
        <v>1</v>
      </c>
      <c r="AB30" s="1538">
        <v>1</v>
      </c>
      <c r="AC30" s="1538">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53"/>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53"/>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53"/>
      <c r="Q32" s="1537" t="str">
        <f t="shared" si="8"/>
        <v>毗邻道路的类型与等级</v>
      </c>
      <c r="R32" s="713" t="s">
        <v>17</v>
      </c>
      <c r="S32" s="714">
        <f t="shared" si="10"/>
        <v>100</v>
      </c>
      <c r="T32" s="713" t="s">
        <v>17</v>
      </c>
      <c r="U32" s="714">
        <f t="shared" si="11"/>
        <v>100</v>
      </c>
      <c r="V32" s="713" t="s">
        <v>17</v>
      </c>
      <c r="W32" s="714">
        <f t="shared" si="12"/>
        <v>100</v>
      </c>
      <c r="X32" s="1540"/>
      <c r="Y32" s="3353"/>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8"/>
      <c r="M33" s="2942"/>
      <c r="N33" s="2942"/>
      <c r="O33" s="3000"/>
      <c r="P33" s="3353"/>
      <c r="Q33" s="1537"/>
      <c r="R33" s="713"/>
      <c r="S33" s="714"/>
      <c r="T33" s="713"/>
      <c r="U33" s="714"/>
      <c r="V33" s="713"/>
      <c r="W33" s="714"/>
      <c r="X33" s="1540"/>
      <c r="Y33" s="3353"/>
      <c r="Z33" s="1541"/>
      <c r="AA33" s="1538">
        <v>1</v>
      </c>
      <c r="AB33" s="1538">
        <v>1</v>
      </c>
      <c r="AC33" s="1538">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53"/>
      <c r="Q34" s="1537" t="str">
        <f t="shared" si="8"/>
        <v>土地级别</v>
      </c>
      <c r="R34" s="713" t="s">
        <v>17</v>
      </c>
      <c r="S34" s="714">
        <f t="shared" si="10"/>
        <v>100</v>
      </c>
      <c r="T34" s="713" t="s">
        <v>17</v>
      </c>
      <c r="U34" s="714">
        <f t="shared" si="11"/>
        <v>100</v>
      </c>
      <c r="V34" s="713" t="s">
        <v>17</v>
      </c>
      <c r="W34" s="714">
        <f t="shared" si="12"/>
        <v>100</v>
      </c>
      <c r="X34" s="1540"/>
      <c r="Y34" s="3353"/>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53"/>
      <c r="Q35" s="1537">
        <f t="shared" si="8"/>
        <v>111</v>
      </c>
      <c r="R35" s="713" t="s">
        <v>17</v>
      </c>
      <c r="S35" s="714">
        <f t="shared" si="10"/>
        <v>100</v>
      </c>
      <c r="T35" s="713" t="s">
        <v>17</v>
      </c>
      <c r="U35" s="714">
        <f t="shared" si="11"/>
        <v>100</v>
      </c>
      <c r="V35" s="713" t="s">
        <v>17</v>
      </c>
      <c r="W35" s="714">
        <f t="shared" si="12"/>
        <v>100</v>
      </c>
      <c r="X35" s="1540"/>
      <c r="Y35" s="3353"/>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406" t="s">
        <v>2387</v>
      </c>
      <c r="Q36" s="1537">
        <f t="shared" si="8"/>
        <v>111</v>
      </c>
      <c r="R36" s="713" t="s">
        <v>17</v>
      </c>
      <c r="S36" s="714">
        <f t="shared" si="10"/>
        <v>100</v>
      </c>
      <c r="T36" s="713" t="s">
        <v>17</v>
      </c>
      <c r="U36" s="714">
        <f t="shared" si="11"/>
        <v>100</v>
      </c>
      <c r="V36" s="713" t="s">
        <v>17</v>
      </c>
      <c r="W36" s="714">
        <f t="shared" si="12"/>
        <v>100</v>
      </c>
      <c r="X36" s="1540"/>
      <c r="Y36" s="3357" t="s">
        <v>2387</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57"/>
      <c r="Q37" s="1537">
        <f t="shared" si="8"/>
        <v>111</v>
      </c>
      <c r="R37" s="716" t="s">
        <v>17</v>
      </c>
      <c r="S37" s="717">
        <f t="shared" si="10"/>
        <v>100</v>
      </c>
      <c r="T37" s="716" t="s">
        <v>17</v>
      </c>
      <c r="U37" s="717">
        <f t="shared" si="11"/>
        <v>100</v>
      </c>
      <c r="V37" s="716" t="s">
        <v>17</v>
      </c>
      <c r="W37" s="717">
        <f t="shared" si="12"/>
        <v>100</v>
      </c>
      <c r="X37" s="718"/>
      <c r="Y37" s="3357"/>
      <c r="Z37" s="719">
        <f t="shared" si="13"/>
        <v>111</v>
      </c>
      <c r="AA37" s="1538">
        <f t="shared" si="3"/>
        <v>1</v>
      </c>
      <c r="AB37" s="1538">
        <f t="shared" si="4"/>
        <v>1</v>
      </c>
      <c r="AC37" s="1538">
        <f t="shared" si="5"/>
        <v>1</v>
      </c>
    </row>
    <row r="38" spans="1:29" ht="15">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57"/>
      <c r="Q38" s="1537" t="str">
        <f>B38</f>
        <v>宗地面积</v>
      </c>
      <c r="R38" s="713" t="s">
        <v>17</v>
      </c>
      <c r="S38" s="714" t="e">
        <f t="shared" si="10"/>
        <v>#N/A</v>
      </c>
      <c r="T38" s="713" t="s">
        <v>17</v>
      </c>
      <c r="U38" s="714" t="e">
        <f t="shared" si="11"/>
        <v>#N/A</v>
      </c>
      <c r="V38" s="713" t="s">
        <v>17</v>
      </c>
      <c r="W38" s="714" t="e">
        <f t="shared" si="12"/>
        <v>#N/A</v>
      </c>
      <c r="X38" s="1540"/>
      <c r="Y38" s="3357"/>
      <c r="Z38" s="1541" t="str">
        <f t="shared" si="13"/>
        <v>宗地面积</v>
      </c>
      <c r="AA38" s="1538" t="e">
        <f t="shared" si="3"/>
        <v>#N/A</v>
      </c>
      <c r="AB38" s="1538" t="e">
        <f t="shared" si="4"/>
        <v>#N/A</v>
      </c>
      <c r="AC38" s="1538" t="e">
        <f t="shared" si="5"/>
        <v>#N/A</v>
      </c>
    </row>
    <row r="39" spans="1:29" ht="15">
      <c r="A39" s="430"/>
      <c r="B39" s="380" t="s">
        <v>2574</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8"/>
      <c r="M39" s="2942"/>
      <c r="N39" s="2942"/>
      <c r="O39" s="3000"/>
      <c r="P39" s="3357"/>
      <c r="Q39" s="1537" t="str">
        <f t="shared" ref="Q39:Q45" si="14">B39</f>
        <v>宗地形状</v>
      </c>
      <c r="R39" s="713" t="s">
        <v>17</v>
      </c>
      <c r="S39" s="714">
        <f t="shared" si="10"/>
        <v>100</v>
      </c>
      <c r="T39" s="713" t="s">
        <v>17</v>
      </c>
      <c r="U39" s="714">
        <f t="shared" si="11"/>
        <v>100</v>
      </c>
      <c r="V39" s="713" t="s">
        <v>17</v>
      </c>
      <c r="W39" s="714">
        <f t="shared" si="12"/>
        <v>100</v>
      </c>
      <c r="X39" s="1540"/>
      <c r="Y39" s="3357"/>
      <c r="Z39" s="1541" t="str">
        <f t="shared" si="13"/>
        <v>宗地形状</v>
      </c>
      <c r="AA39" s="1538">
        <f t="shared" si="3"/>
        <v>1</v>
      </c>
      <c r="AB39" s="1538">
        <f t="shared" si="4"/>
        <v>1</v>
      </c>
      <c r="AC39" s="1538">
        <f t="shared" si="5"/>
        <v>1</v>
      </c>
    </row>
    <row r="40" spans="1:29" ht="15">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8"/>
      <c r="M40" s="2942"/>
      <c r="N40" s="2942"/>
      <c r="O40" s="3000"/>
      <c r="P40" s="3357"/>
      <c r="Q40" s="1537" t="str">
        <f t="shared" si="14"/>
        <v>临街宽度及深度</v>
      </c>
      <c r="R40" s="713" t="s">
        <v>17</v>
      </c>
      <c r="S40" s="714">
        <f t="shared" si="10"/>
        <v>100</v>
      </c>
      <c r="T40" s="713" t="s">
        <v>17</v>
      </c>
      <c r="U40" s="714">
        <f t="shared" si="11"/>
        <v>100</v>
      </c>
      <c r="V40" s="713" t="s">
        <v>17</v>
      </c>
      <c r="W40" s="714">
        <f t="shared" si="12"/>
        <v>100</v>
      </c>
      <c r="X40" s="1540"/>
      <c r="Y40" s="3357"/>
      <c r="Z40" s="1541" t="str">
        <f t="shared" si="13"/>
        <v>临街宽度及深度</v>
      </c>
      <c r="AA40" s="1538">
        <f t="shared" si="3"/>
        <v>1</v>
      </c>
      <c r="AB40" s="1538">
        <f t="shared" si="4"/>
        <v>1</v>
      </c>
      <c r="AC40" s="1538">
        <f t="shared" si="5"/>
        <v>1</v>
      </c>
    </row>
    <row r="41" spans="1:29" s="113" customFormat="1" ht="15">
      <c r="A41" s="431"/>
      <c r="B41" s="380" t="s">
        <v>2576</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3"/>
      <c r="M41" s="2944"/>
      <c r="N41" s="2944"/>
      <c r="O41" s="2998"/>
      <c r="P41" s="3357"/>
      <c r="Q41" s="1537" t="str">
        <f t="shared" si="14"/>
        <v>宗地开发程度</v>
      </c>
      <c r="R41" s="709" t="s">
        <v>17</v>
      </c>
      <c r="S41" s="710">
        <f t="shared" si="10"/>
        <v>100</v>
      </c>
      <c r="T41" s="709" t="s">
        <v>17</v>
      </c>
      <c r="U41" s="710">
        <f t="shared" si="11"/>
        <v>100</v>
      </c>
      <c r="V41" s="709" t="s">
        <v>17</v>
      </c>
      <c r="W41" s="710">
        <f t="shared" si="12"/>
        <v>100</v>
      </c>
      <c r="X41" s="711"/>
      <c r="Y41" s="3357"/>
      <c r="Z41" s="55" t="str">
        <f t="shared" si="13"/>
        <v>宗地开发程度</v>
      </c>
      <c r="AA41" s="712">
        <f t="shared" si="3"/>
        <v>1</v>
      </c>
      <c r="AB41" s="712">
        <f t="shared" si="4"/>
        <v>1</v>
      </c>
      <c r="AC41" s="712">
        <f t="shared" si="5"/>
        <v>1</v>
      </c>
    </row>
    <row r="42" spans="1:29" ht="15">
      <c r="A42" s="430"/>
      <c r="B42" s="380" t="s">
        <v>2577</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8"/>
      <c r="M42" s="2942"/>
      <c r="N42" s="2942"/>
      <c r="O42" s="3000"/>
      <c r="P42" s="3357" t="s">
        <v>2387</v>
      </c>
      <c r="Q42" s="1537" t="str">
        <f t="shared" si="14"/>
        <v>工程地质条件</v>
      </c>
      <c r="R42" s="713" t="s">
        <v>17</v>
      </c>
      <c r="S42" s="714">
        <f t="shared" si="10"/>
        <v>100</v>
      </c>
      <c r="T42" s="713" t="s">
        <v>17</v>
      </c>
      <c r="U42" s="714">
        <f t="shared" si="11"/>
        <v>100</v>
      </c>
      <c r="V42" s="713" t="s">
        <v>17</v>
      </c>
      <c r="W42" s="714">
        <f t="shared" si="12"/>
        <v>100</v>
      </c>
      <c r="X42" s="1540"/>
      <c r="Y42" s="3357" t="s">
        <v>2387</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57"/>
      <c r="Q43" s="1537">
        <f t="shared" si="14"/>
        <v>111</v>
      </c>
      <c r="R43" s="713" t="s">
        <v>17</v>
      </c>
      <c r="S43" s="714">
        <f t="shared" si="10"/>
        <v>100</v>
      </c>
      <c r="T43" s="713" t="s">
        <v>17</v>
      </c>
      <c r="U43" s="714">
        <f t="shared" si="11"/>
        <v>100</v>
      </c>
      <c r="V43" s="713" t="s">
        <v>17</v>
      </c>
      <c r="W43" s="714">
        <f t="shared" si="12"/>
        <v>100</v>
      </c>
      <c r="X43" s="1540"/>
      <c r="Y43" s="3357"/>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57"/>
      <c r="Q44" s="1537">
        <f t="shared" si="14"/>
        <v>111</v>
      </c>
      <c r="R44" s="713" t="s">
        <v>17</v>
      </c>
      <c r="S44" s="714">
        <f t="shared" si="10"/>
        <v>100</v>
      </c>
      <c r="T44" s="713" t="s">
        <v>17</v>
      </c>
      <c r="U44" s="714">
        <f t="shared" si="11"/>
        <v>100</v>
      </c>
      <c r="V44" s="713" t="s">
        <v>17</v>
      </c>
      <c r="W44" s="714">
        <f t="shared" si="12"/>
        <v>100</v>
      </c>
      <c r="X44" s="1540"/>
      <c r="Y44" s="3357"/>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57"/>
      <c r="Q45" s="1537">
        <f t="shared" si="14"/>
        <v>111</v>
      </c>
      <c r="R45" s="716" t="s">
        <v>17</v>
      </c>
      <c r="S45" s="717">
        <f t="shared" si="10"/>
        <v>100</v>
      </c>
      <c r="T45" s="716" t="s">
        <v>17</v>
      </c>
      <c r="U45" s="717">
        <f t="shared" si="11"/>
        <v>100</v>
      </c>
      <c r="V45" s="716" t="s">
        <v>17</v>
      </c>
      <c r="W45" s="717">
        <f t="shared" si="12"/>
        <v>100</v>
      </c>
      <c r="X45" s="718"/>
      <c r="Y45" s="3357"/>
      <c r="Z45" s="719">
        <f t="shared" si="13"/>
        <v>111</v>
      </c>
      <c r="AA45" s="1538">
        <f t="shared" si="3"/>
        <v>1</v>
      </c>
      <c r="AB45" s="1538">
        <f t="shared" si="4"/>
        <v>1</v>
      </c>
      <c r="AC45" s="1538">
        <f t="shared" si="5"/>
        <v>1</v>
      </c>
    </row>
    <row r="46" spans="1:29" ht="15">
      <c r="A46" s="437" t="s">
        <v>2542</v>
      </c>
      <c r="B46" s="2169" t="s">
        <v>2578</v>
      </c>
      <c r="C46" s="637" t="s">
        <v>1</v>
      </c>
      <c r="D46" s="439"/>
      <c r="E46" s="440"/>
      <c r="F46" s="441"/>
      <c r="G46" s="442"/>
      <c r="H46" s="443"/>
      <c r="I46" s="440"/>
      <c r="J46" s="443"/>
      <c r="K46" s="722"/>
      <c r="L46" s="2950"/>
      <c r="M46" s="2951"/>
      <c r="N46" s="2942"/>
      <c r="O46" s="2951"/>
      <c r="P46" s="3359" t="str">
        <f>A46</f>
        <v>成交单价</v>
      </c>
      <c r="Q46" s="3359"/>
      <c r="R46" s="3347">
        <f>E46</f>
        <v>0</v>
      </c>
      <c r="S46" s="3347"/>
      <c r="T46" s="3347">
        <f>G46</f>
        <v>0</v>
      </c>
      <c r="U46" s="3347"/>
      <c r="V46" s="3347">
        <f>I46</f>
        <v>0</v>
      </c>
      <c r="W46" s="3347"/>
      <c r="X46" s="698"/>
      <c r="Y46" s="720"/>
      <c r="Z46" s="698"/>
      <c r="AA46" s="698"/>
      <c r="AB46" s="698"/>
      <c r="AC46" s="698"/>
    </row>
    <row r="47" spans="1:29" ht="15.75" thickBot="1">
      <c r="A47" s="444" t="s">
        <v>2491</v>
      </c>
      <c r="B47" s="638"/>
      <c r="C47" s="447" t="e">
        <f>R48</f>
        <v>#DIV/0!</v>
      </c>
      <c r="D47" s="2539" t="s">
        <v>2880</v>
      </c>
      <c r="E47" s="447" t="e">
        <f>R47</f>
        <v>#DIV/0!</v>
      </c>
      <c r="F47" s="2540"/>
      <c r="G47" s="446" t="e">
        <f>T47</f>
        <v>#DIV/0!</v>
      </c>
      <c r="H47" s="2540"/>
      <c r="I47" s="447" t="e">
        <f>V47</f>
        <v>#DIV/0!</v>
      </c>
      <c r="J47" s="2540"/>
      <c r="K47" s="2542">
        <f>F47+H47+J47</f>
        <v>0</v>
      </c>
      <c r="L47" s="2950"/>
      <c r="M47" s="2951"/>
      <c r="N47" s="2951"/>
      <c r="O47" s="2951"/>
      <c r="P47" s="3359" t="str">
        <f>A47</f>
        <v>比较价值（元/平方米）</v>
      </c>
      <c r="Q47" s="3359"/>
      <c r="R47" s="3408" t="e">
        <f>ROUND(PRODUCT(R46,AA7:AA45),0)</f>
        <v>#DIV/0!</v>
      </c>
      <c r="S47" s="3408"/>
      <c r="T47" s="3408" t="e">
        <f>ROUND(PRODUCT(T46,AB7:AB45),0)</f>
        <v>#DIV/0!</v>
      </c>
      <c r="U47" s="3408"/>
      <c r="V47" s="3408" t="e">
        <f>ROUND(PRODUCT(V46,AC7:AC45),0)</f>
        <v>#DIV/0!</v>
      </c>
      <c r="W47" s="3408"/>
      <c r="X47" s="698"/>
      <c r="Y47" s="698"/>
      <c r="Z47" s="698"/>
      <c r="AA47" s="698"/>
      <c r="AB47" s="698"/>
      <c r="AC47" s="698"/>
    </row>
    <row r="48" spans="1:29" ht="15.75" thickBot="1">
      <c r="A48" s="448" t="s">
        <v>2579</v>
      </c>
      <c r="B48" s="449"/>
      <c r="C48" s="450" t="e">
        <f>R48</f>
        <v>#DIV/0!</v>
      </c>
      <c r="D48" s="450"/>
      <c r="E48" s="450"/>
      <c r="F48" s="450"/>
      <c r="G48" s="450"/>
      <c r="H48" s="450"/>
      <c r="I48" s="450"/>
      <c r="J48" s="450"/>
      <c r="K48" s="723"/>
      <c r="L48" s="2950"/>
      <c r="M48" s="2951"/>
      <c r="N48" s="2951"/>
      <c r="O48" s="2951"/>
      <c r="P48" s="3403" t="str">
        <f>A48</f>
        <v>估价对象XX用房的比较价值（楼面单价，元/平方米）</v>
      </c>
      <c r="Q48" s="3404"/>
      <c r="R48" s="3409" t="e">
        <f>ROUND(IF(D47="简单平均",AVERAGE(R47:W47),R47*F47+T47*H47+V47*J47),0)</f>
        <v>#DIV/0!</v>
      </c>
      <c r="S48" s="3409"/>
      <c r="T48" s="3409"/>
      <c r="U48" s="3409"/>
      <c r="V48" s="3409"/>
      <c r="W48" s="3409"/>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70" t="s">
        <v>2582</v>
      </c>
      <c r="D55" s="2171" t="s">
        <v>2583</v>
      </c>
      <c r="E55" s="641" t="s">
        <v>2584</v>
      </c>
      <c r="F55" s="1020" t="s">
        <v>2585</v>
      </c>
      <c r="G55" s="3334" t="s">
        <v>2586</v>
      </c>
      <c r="H55" s="3410"/>
      <c r="I55" s="139" t="s">
        <v>2587</v>
      </c>
      <c r="J55" s="2172">
        <f>项目基本情况!F35</f>
        <v>0</v>
      </c>
      <c r="K55" s="2173"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4">
        <v>1</v>
      </c>
      <c r="E56" s="645">
        <f>'数据-汇总表'!E8+'数据-汇总表'!E9</f>
        <v>15279.68</v>
      </c>
      <c r="F56" s="1016" t="e">
        <f t="shared" ref="F56:F65" si="15">ROUND(B56*E56/10000,0)</f>
        <v>#DIV/0!</v>
      </c>
      <c r="G56" s="3330"/>
      <c r="H56" s="3359"/>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0.8</v>
      </c>
      <c r="D57" s="1075">
        <v>0.25</v>
      </c>
      <c r="E57" s="649"/>
      <c r="F57" s="1016" t="e">
        <f t="shared" si="15"/>
        <v>#DIV/0!</v>
      </c>
      <c r="G57" s="3411" t="s">
        <v>2591</v>
      </c>
      <c r="H57" s="1017" t="str">
        <f>项目基本情况!B37</f>
        <v>二级</v>
      </c>
      <c r="I57" s="1021">
        <f>SUMIF(修正!A45:A56,H57,修正!B45:B56)</f>
        <v>0.8</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0.5</v>
      </c>
      <c r="D58" s="1075">
        <v>0.25</v>
      </c>
      <c r="E58" s="649"/>
      <c r="F58" s="1016" t="e">
        <f t="shared" si="15"/>
        <v>#DIV/0!</v>
      </c>
      <c r="G58" s="3411"/>
      <c r="H58" s="1017" t="str">
        <f>项目基本情况!B37</f>
        <v>二级</v>
      </c>
      <c r="I58" s="1021">
        <f>SUMIF(修正!A45:A56,H58,修正!C45:C56)</f>
        <v>0.5</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0.36</v>
      </c>
      <c r="D59" s="1075">
        <v>0.25</v>
      </c>
      <c r="E59" s="649"/>
      <c r="F59" s="1016" t="e">
        <f t="shared" si="15"/>
        <v>#DIV/0!</v>
      </c>
      <c r="G59" s="3411"/>
      <c r="H59" s="1017" t="str">
        <f>项目基本情况!B37</f>
        <v>二级</v>
      </c>
      <c r="I59" s="1021">
        <f>SUMIF(修正!A45:A56,H59,修正!D45:D56)</f>
        <v>0.36</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0.3</v>
      </c>
      <c r="D60" s="1075">
        <v>0.25</v>
      </c>
      <c r="E60" s="649"/>
      <c r="F60" s="1016" t="e">
        <f t="shared" si="15"/>
        <v>#DIV/0!</v>
      </c>
      <c r="G60" s="3411"/>
      <c r="H60" s="1017" t="str">
        <f>项目基本情况!B37</f>
        <v>二级</v>
      </c>
      <c r="I60" s="1021">
        <f>SUMIF(修正!A45:A56,H60,修正!E45:E56)</f>
        <v>0.3</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5">
        <v>0.25</v>
      </c>
      <c r="E61" s="222">
        <f>'数据-汇总表'!E11</f>
        <v>0</v>
      </c>
      <c r="F61" s="1016" t="e">
        <f t="shared" si="15"/>
        <v>#DIV/0!</v>
      </c>
      <c r="G61" s="2174" t="s">
        <v>2596</v>
      </c>
      <c r="H61" s="1017" t="str">
        <f>项目基本情况!C37</f>
        <v>二级</v>
      </c>
      <c r="I61" s="1021">
        <f>SUMIF(修正!A45:A56,H61,修正!F45:F56)</f>
        <v>0.3</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5">
        <v>0.25</v>
      </c>
      <c r="E62" s="222">
        <f>'数据-汇总表'!E12</f>
        <v>0</v>
      </c>
      <c r="F62" s="1016" t="e">
        <f t="shared" si="15"/>
        <v>#DIV/0!</v>
      </c>
      <c r="G62" s="1022" t="s">
        <v>2598</v>
      </c>
      <c r="H62" s="1017" t="str">
        <f>IF(G62="商业",项目基本情况!B37,IF(G62="办公",项目基本情况!C37,IF(G62="住宅",项目基本情况!D37,项目基本情况!E37)))</f>
        <v>二级</v>
      </c>
      <c r="I62" s="1021">
        <f>SUMIF(修正!A45:A56,H62,修正!G45:G56)</f>
        <v>0.3</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5">
        <v>0.25</v>
      </c>
      <c r="E63" s="222">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0.25</v>
      </c>
      <c r="D64" s="1075">
        <v>0.25</v>
      </c>
      <c r="E64" s="222">
        <f>'数据-汇总表'!E14</f>
        <v>0</v>
      </c>
      <c r="F64" s="1016" t="e">
        <f t="shared" si="15"/>
        <v>#DIV/0!</v>
      </c>
      <c r="G64" s="2174" t="s">
        <v>2591</v>
      </c>
      <c r="H64" s="1017" t="str">
        <f>项目基本情况!B37</f>
        <v>二级</v>
      </c>
      <c r="I64" s="1021">
        <f>SUMIF(修正!A45:A56,H64,修正!H45:H56)</f>
        <v>0.25</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2602</v>
      </c>
      <c r="B65" s="223" t="e">
        <f t="shared" si="17"/>
        <v>#DIV/0!</v>
      </c>
      <c r="C65" s="175">
        <f t="shared" si="16"/>
        <v>0.25</v>
      </c>
      <c r="D65" s="1075">
        <v>0.25</v>
      </c>
      <c r="E65" s="222">
        <f>'数据-汇总表'!E15</f>
        <v>0</v>
      </c>
      <c r="F65" s="1016" t="e">
        <f t="shared" si="15"/>
        <v>#DIV/0!</v>
      </c>
      <c r="G65" s="2175" t="s">
        <v>2596</v>
      </c>
      <c r="H65" s="1027" t="str">
        <f>项目基本情况!C37</f>
        <v>二级</v>
      </c>
      <c r="I65" s="1023">
        <f>SUMIF(修正!A45:A56,H65,修正!H45:H56)</f>
        <v>0.25</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2603</v>
      </c>
      <c r="B66" s="651" t="s">
        <v>28</v>
      </c>
      <c r="C66" s="651" t="s">
        <v>29</v>
      </c>
      <c r="D66" s="651" t="s">
        <v>997</v>
      </c>
      <c r="E66" s="651">
        <f>IF(B46="楼面地价",SUM(E56:E65),'数据-汇总表'!D3)</f>
        <v>15279.68</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51"/>
      <c r="Q68" s="2951"/>
      <c r="R68" s="2951"/>
      <c r="S68" s="2951"/>
      <c r="T68" s="2951"/>
      <c r="U68" s="2951"/>
      <c r="V68" s="2951"/>
      <c r="W68" s="2951"/>
      <c r="X68" s="2951"/>
      <c r="Y68" s="2951"/>
      <c r="Z68" s="2951"/>
      <c r="AA68" s="2951"/>
      <c r="AB68" s="2951"/>
      <c r="AC68" s="2951"/>
    </row>
    <row r="69" spans="1:29" ht="21.75" thickBot="1">
      <c r="A69" s="702" t="s">
        <v>2496</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6"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2"/>
      <c r="Q70" s="2967"/>
      <c r="R70" s="2967"/>
      <c r="S70" s="2967"/>
      <c r="T70" s="2967"/>
      <c r="U70" s="2967"/>
      <c r="V70" s="2967"/>
      <c r="W70" s="2967"/>
      <c r="X70" s="2967"/>
      <c r="Y70" s="2967"/>
      <c r="Z70" s="2967"/>
      <c r="AA70" s="2967"/>
      <c r="AB70" s="2967"/>
      <c r="AC70" s="2967"/>
    </row>
    <row r="71" spans="1:29" s="113" customFormat="1" ht="30" customHeight="1">
      <c r="A71" s="2177" t="s">
        <v>2605</v>
      </c>
      <c r="B71" s="293" t="str">
        <f>"北京市平均增长率"&amp;TEXT(SUMIF('基准地价修正-办公'!N21:N25,A71,'基准地价修正-办公'!P21:P25),"0.00%")</f>
        <v>北京市平均增长率1.97%</v>
      </c>
      <c r="C71" s="559">
        <v>100</v>
      </c>
      <c r="D71" s="551"/>
      <c r="E71" s="551"/>
      <c r="F71" s="551"/>
      <c r="G71" s="551"/>
      <c r="H71" s="551"/>
      <c r="I71" s="551"/>
      <c r="J71" s="551"/>
      <c r="K71" s="551"/>
      <c r="L71" s="551"/>
      <c r="M71" s="1339"/>
      <c r="N71" s="551"/>
      <c r="O71" s="1340"/>
      <c r="P71" s="2965"/>
      <c r="Q71" s="2886"/>
      <c r="R71" s="2886"/>
      <c r="S71" s="2886"/>
      <c r="T71" s="2886"/>
      <c r="U71" s="2886"/>
      <c r="V71" s="2886"/>
      <c r="W71" s="2886"/>
      <c r="X71" s="2886"/>
      <c r="Y71" s="2886"/>
      <c r="Z71" s="2886"/>
      <c r="AA71" s="2886"/>
      <c r="AB71" s="2886"/>
      <c r="AC71" s="2886"/>
    </row>
    <row r="72" spans="1:29" s="113" customFormat="1" ht="15.75" thickBot="1">
      <c r="A72" s="471" t="s">
        <v>2407</v>
      </c>
      <c r="B72" s="472"/>
      <c r="C72" s="473"/>
      <c r="D72" s="474"/>
      <c r="E72" s="474"/>
      <c r="F72" s="474"/>
      <c r="G72" s="474"/>
      <c r="H72" s="474"/>
      <c r="I72" s="474"/>
      <c r="J72" s="474"/>
      <c r="K72" s="474"/>
      <c r="L72" s="474"/>
      <c r="M72" s="475"/>
      <c r="N72" s="474"/>
      <c r="O72" s="1073"/>
      <c r="P72" s="2965"/>
      <c r="Q72" s="2965"/>
      <c r="R72" s="2886"/>
      <c r="S72" s="2886"/>
      <c r="T72" s="2886"/>
      <c r="U72" s="2886"/>
      <c r="V72" s="2886"/>
      <c r="W72" s="2886"/>
      <c r="X72" s="2886"/>
      <c r="Y72" s="2886"/>
      <c r="Z72" s="2886"/>
      <c r="AA72" s="2886"/>
      <c r="AB72" s="2886"/>
      <c r="AC72" s="2886"/>
    </row>
    <row r="73" spans="1:29" s="113" customFormat="1" ht="15">
      <c r="A73" s="477" t="s">
        <v>2372</v>
      </c>
      <c r="B73" s="466"/>
      <c r="C73" s="478" t="s">
        <v>2474</v>
      </c>
      <c r="D73" s="479"/>
      <c r="E73" s="479"/>
      <c r="F73" s="479"/>
      <c r="G73" s="479"/>
      <c r="H73" s="479"/>
      <c r="I73" s="479"/>
      <c r="J73" s="479"/>
      <c r="K73" s="479"/>
      <c r="L73" s="480"/>
      <c r="M73" s="481"/>
      <c r="N73" s="2978"/>
      <c r="O73" s="2978"/>
      <c r="P73" s="3003"/>
      <c r="Q73" s="2965"/>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6"/>
      <c r="S74" s="2886"/>
      <c r="T74" s="2886"/>
      <c r="U74" s="2886"/>
      <c r="V74" s="2886"/>
      <c r="W74" s="2886"/>
      <c r="X74" s="2886"/>
      <c r="Y74" s="2886"/>
      <c r="Z74" s="2886"/>
      <c r="AA74" s="2886"/>
      <c r="AB74" s="2886"/>
      <c r="AC74" s="2886"/>
    </row>
    <row r="75" spans="1:29">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6"/>
      <c r="S97" s="2886"/>
      <c r="T97" s="2886"/>
      <c r="U97" s="2886"/>
      <c r="V97" s="2886"/>
      <c r="W97" s="2886"/>
      <c r="X97" s="2886"/>
      <c r="Y97" s="2886"/>
      <c r="Z97" s="2886"/>
      <c r="AA97" s="2886"/>
      <c r="AB97" s="2886"/>
      <c r="AC97" s="2886"/>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6"/>
      <c r="S99" s="2886"/>
      <c r="T99" s="2886"/>
      <c r="U99" s="2886"/>
      <c r="V99" s="2886"/>
      <c r="W99" s="2886"/>
      <c r="X99" s="2886"/>
      <c r="Y99" s="2886"/>
      <c r="Z99" s="2886"/>
      <c r="AA99" s="2886"/>
      <c r="AB99" s="2886"/>
      <c r="AC99" s="2886"/>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34" t="s">
        <v>2468</v>
      </c>
      <c r="D4" s="3335"/>
      <c r="E4" s="3336" t="s">
        <v>2469</v>
      </c>
      <c r="F4" s="3337"/>
      <c r="G4" s="3334" t="s">
        <v>2470</v>
      </c>
      <c r="H4" s="3335"/>
      <c r="I4" s="3334" t="s">
        <v>2471</v>
      </c>
      <c r="J4" s="3335"/>
      <c r="K4" s="566" t="s">
        <v>2472</v>
      </c>
      <c r="L4" s="2941"/>
      <c r="M4" s="2942"/>
      <c r="N4" s="2942"/>
      <c r="O4" s="2942"/>
      <c r="P4" s="3399" t="s">
        <v>2473</v>
      </c>
      <c r="Q4" s="3400"/>
      <c r="R4" s="3397" t="s">
        <v>2469</v>
      </c>
      <c r="S4" s="3398"/>
      <c r="T4" s="3397" t="s">
        <v>2470</v>
      </c>
      <c r="U4" s="3398"/>
      <c r="V4" s="3347" t="s">
        <v>2471</v>
      </c>
      <c r="W4" s="3347"/>
      <c r="X4" s="1540"/>
      <c r="Y4" s="3397" t="s">
        <v>2473</v>
      </c>
      <c r="Z4" s="3398"/>
      <c r="AA4" s="3396" t="s">
        <v>2469</v>
      </c>
      <c r="AB4" s="3314" t="s">
        <v>2470</v>
      </c>
      <c r="AC4" s="3396" t="s">
        <v>2471</v>
      </c>
    </row>
    <row r="5" spans="1:29" ht="15">
      <c r="A5" s="363"/>
      <c r="B5" s="364"/>
      <c r="C5" s="3324" t="s">
        <v>2364</v>
      </c>
      <c r="D5" s="3325"/>
      <c r="E5" s="3322" t="s">
        <v>2365</v>
      </c>
      <c r="F5" s="3323"/>
      <c r="G5" s="3324" t="s">
        <v>2366</v>
      </c>
      <c r="H5" s="3325"/>
      <c r="I5" s="3324" t="s">
        <v>2367</v>
      </c>
      <c r="J5" s="3325"/>
      <c r="K5" s="566"/>
      <c r="L5" s="2941"/>
      <c r="M5" s="2942"/>
      <c r="N5" s="2942"/>
      <c r="O5" s="2942"/>
      <c r="P5" s="3401"/>
      <c r="Q5" s="3341"/>
      <c r="R5" s="3320"/>
      <c r="S5" s="3321"/>
      <c r="T5" s="3320"/>
      <c r="U5" s="3321"/>
      <c r="V5" s="3347"/>
      <c r="W5" s="3347"/>
      <c r="X5" s="1540"/>
      <c r="Y5" s="3320"/>
      <c r="Z5" s="3321"/>
      <c r="AA5" s="3314"/>
      <c r="AB5" s="3314"/>
      <c r="AC5" s="3314"/>
    </row>
    <row r="6" spans="1:29" ht="15.75" thickBot="1">
      <c r="A6" s="365"/>
      <c r="B6" s="366"/>
      <c r="C6" s="3412" t="s">
        <v>2619</v>
      </c>
      <c r="D6" s="3413"/>
      <c r="E6" s="3414" t="s">
        <v>2619</v>
      </c>
      <c r="F6" s="3415"/>
      <c r="G6" s="3412" t="s">
        <v>2619</v>
      </c>
      <c r="H6" s="3413"/>
      <c r="I6" s="3412" t="s">
        <v>2619</v>
      </c>
      <c r="J6" s="3413"/>
      <c r="K6" s="566" t="s">
        <v>2369</v>
      </c>
      <c r="L6" s="2941"/>
      <c r="M6" s="2942"/>
      <c r="N6" s="2942"/>
      <c r="O6" s="2942"/>
      <c r="P6" s="3402"/>
      <c r="Q6" s="3343"/>
      <c r="R6" s="3320"/>
      <c r="S6" s="3321"/>
      <c r="T6" s="3344"/>
      <c r="U6" s="3345"/>
      <c r="V6" s="3347"/>
      <c r="W6" s="3347"/>
      <c r="X6" s="1540"/>
      <c r="Y6" s="3344"/>
      <c r="Z6" s="3345"/>
      <c r="AA6" s="3315"/>
      <c r="AB6" s="3315"/>
      <c r="AC6" s="3315"/>
    </row>
    <row r="7" spans="1:29" s="113" customFormat="1" ht="15.75" thickBot="1">
      <c r="A7" s="367" t="s">
        <v>2370</v>
      </c>
      <c r="B7" s="368"/>
      <c r="C7" s="369">
        <f>'数据-取费表'!B2</f>
        <v>44088</v>
      </c>
      <c r="D7" s="370">
        <v>100</v>
      </c>
      <c r="E7" s="371"/>
      <c r="F7" s="372">
        <f>SUMIF(65:65,YEAR(E7)&amp;"-"&amp;INT((MONTH(E7)+2)/3),66:66)</f>
        <v>0</v>
      </c>
      <c r="G7" s="2161"/>
      <c r="H7" s="370">
        <f>SUMIF(65:65,YEAR(G7)&amp;"-"&amp;INT((MONTH(G7)+2)/3),66:66)</f>
        <v>0</v>
      </c>
      <c r="I7" s="2161"/>
      <c r="J7" s="370">
        <f>SUMIF(65:65,YEAR(I7)&amp;"-"&amp;INT((MONTH(I7)+2)/3),66:66)</f>
        <v>0</v>
      </c>
      <c r="K7" s="567"/>
      <c r="L7" s="2943"/>
      <c r="M7" s="2944"/>
      <c r="N7" s="2944"/>
      <c r="O7" s="2944"/>
      <c r="P7" s="3316" t="s">
        <v>2371</v>
      </c>
      <c r="Q7" s="3349"/>
      <c r="R7" s="709" t="s">
        <v>17</v>
      </c>
      <c r="S7" s="710">
        <f t="shared" ref="S7:S15" si="0">F7</f>
        <v>0</v>
      </c>
      <c r="T7" s="709" t="s">
        <v>17</v>
      </c>
      <c r="U7" s="710">
        <f t="shared" ref="U7:U15" si="1">H7</f>
        <v>0</v>
      </c>
      <c r="V7" s="709" t="s">
        <v>17</v>
      </c>
      <c r="W7" s="710">
        <f t="shared" ref="W7:W15" si="2">J7</f>
        <v>0</v>
      </c>
      <c r="X7" s="711"/>
      <c r="Y7" s="3316" t="s">
        <v>2371</v>
      </c>
      <c r="Z7" s="3317"/>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16" t="s">
        <v>2374</v>
      </c>
      <c r="Q8" s="3317"/>
      <c r="R8" s="709" t="s">
        <v>17</v>
      </c>
      <c r="S8" s="710">
        <f t="shared" si="0"/>
        <v>0</v>
      </c>
      <c r="T8" s="709" t="s">
        <v>17</v>
      </c>
      <c r="U8" s="710">
        <f t="shared" si="1"/>
        <v>0</v>
      </c>
      <c r="V8" s="709" t="s">
        <v>17</v>
      </c>
      <c r="W8" s="710">
        <f t="shared" si="2"/>
        <v>0</v>
      </c>
      <c r="X8" s="711"/>
      <c r="Y8" s="3316" t="s">
        <v>2374</v>
      </c>
      <c r="Z8" s="3317"/>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3"/>
      <c r="M9" s="2944"/>
      <c r="N9" s="2944"/>
      <c r="O9" s="2998"/>
      <c r="P9" s="3359" t="s">
        <v>2377</v>
      </c>
      <c r="Q9" s="1528" t="str">
        <f t="shared" ref="Q9:Q15" si="6">B9</f>
        <v>用途</v>
      </c>
      <c r="R9" s="709" t="s">
        <v>17</v>
      </c>
      <c r="S9" s="710">
        <f t="shared" si="0"/>
        <v>100</v>
      </c>
      <c r="T9" s="709" t="s">
        <v>17</v>
      </c>
      <c r="U9" s="710">
        <f t="shared" si="1"/>
        <v>100</v>
      </c>
      <c r="V9" s="709" t="s">
        <v>17</v>
      </c>
      <c r="W9" s="710">
        <f t="shared" si="2"/>
        <v>100</v>
      </c>
      <c r="X9" s="711"/>
      <c r="Y9" s="3258"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114</v>
      </c>
      <c r="G10" s="390"/>
      <c r="H10" s="131">
        <f>ROUND(100/'数据-取费表'!G16,0)</f>
        <v>114</v>
      </c>
      <c r="I10" s="390"/>
      <c r="J10" s="131">
        <f>ROUND(100/'数据-取费表'!G16,0)</f>
        <v>114</v>
      </c>
      <c r="K10" s="627"/>
      <c r="L10" s="2945"/>
      <c r="M10" s="2946"/>
      <c r="N10" s="2946"/>
      <c r="O10" s="2999"/>
      <c r="P10" s="3359"/>
      <c r="Q10" s="1528" t="str">
        <f t="shared" si="6"/>
        <v>土地使用年限（年）</v>
      </c>
      <c r="R10" s="709" t="s">
        <v>17</v>
      </c>
      <c r="S10" s="710">
        <f t="shared" si="0"/>
        <v>114</v>
      </c>
      <c r="T10" s="709" t="s">
        <v>17</v>
      </c>
      <c r="U10" s="710">
        <f t="shared" si="1"/>
        <v>114</v>
      </c>
      <c r="V10" s="709" t="s">
        <v>17</v>
      </c>
      <c r="W10" s="710">
        <f t="shared" si="2"/>
        <v>114</v>
      </c>
      <c r="X10" s="711"/>
      <c r="Y10" s="3258"/>
      <c r="Z10" s="55" t="str">
        <f t="shared" si="7"/>
        <v>土地使用年限（年）</v>
      </c>
      <c r="AA10" s="712">
        <f t="shared" si="3"/>
        <v>0.8771929824561403</v>
      </c>
      <c r="AB10" s="712">
        <f t="shared" si="4"/>
        <v>0.8771929824561403</v>
      </c>
      <c r="AC10" s="712">
        <f t="shared" si="5"/>
        <v>0.8771929824561403</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59"/>
      <c r="Q11" s="1528" t="str">
        <f t="shared" si="6"/>
        <v>容积率</v>
      </c>
      <c r="R11" s="709" t="s">
        <v>17</v>
      </c>
      <c r="S11" s="710" t="e">
        <f t="shared" si="0"/>
        <v>#N/A</v>
      </c>
      <c r="T11" s="709" t="s">
        <v>17</v>
      </c>
      <c r="U11" s="710" t="e">
        <f t="shared" si="1"/>
        <v>#N/A</v>
      </c>
      <c r="V11" s="709" t="s">
        <v>17</v>
      </c>
      <c r="W11" s="710" t="e">
        <f t="shared" si="2"/>
        <v>#N/A</v>
      </c>
      <c r="X11" s="711"/>
      <c r="Y11" s="3258"/>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59"/>
      <c r="Q12" s="1528">
        <f t="shared" si="6"/>
        <v>111</v>
      </c>
      <c r="R12" s="709" t="s">
        <v>17</v>
      </c>
      <c r="S12" s="710">
        <f t="shared" si="0"/>
        <v>100</v>
      </c>
      <c r="T12" s="709" t="s">
        <v>17</v>
      </c>
      <c r="U12" s="710">
        <f t="shared" si="1"/>
        <v>100</v>
      </c>
      <c r="V12" s="709" t="s">
        <v>17</v>
      </c>
      <c r="W12" s="710">
        <f t="shared" si="2"/>
        <v>100</v>
      </c>
      <c r="X12" s="711"/>
      <c r="Y12" s="3258"/>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58"/>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59"/>
      <c r="Q14" s="1528">
        <f t="shared" si="6"/>
        <v>111</v>
      </c>
      <c r="R14" s="709" t="s">
        <v>17</v>
      </c>
      <c r="S14" s="710">
        <f t="shared" si="0"/>
        <v>100</v>
      </c>
      <c r="T14" s="709" t="s">
        <v>17</v>
      </c>
      <c r="U14" s="710">
        <f t="shared" si="1"/>
        <v>100</v>
      </c>
      <c r="V14" s="709" t="s">
        <v>17</v>
      </c>
      <c r="W14" s="710">
        <f t="shared" si="2"/>
        <v>100</v>
      </c>
      <c r="X14" s="711"/>
      <c r="Y14" s="3258"/>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52" t="s">
        <v>2382</v>
      </c>
      <c r="Q15" s="1537" t="str">
        <f t="shared" si="6"/>
        <v>产业集聚程度</v>
      </c>
      <c r="R15" s="713" t="s">
        <v>17</v>
      </c>
      <c r="S15" s="714">
        <f t="shared" si="0"/>
        <v>100</v>
      </c>
      <c r="T15" s="713" t="s">
        <v>17</v>
      </c>
      <c r="U15" s="714">
        <f t="shared" si="1"/>
        <v>100</v>
      </c>
      <c r="V15" s="713" t="s">
        <v>17</v>
      </c>
      <c r="W15" s="714">
        <f t="shared" si="2"/>
        <v>100</v>
      </c>
      <c r="X15" s="1540"/>
      <c r="Y15" s="3352"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8"/>
      <c r="M16" s="2942"/>
      <c r="N16" s="2942"/>
      <c r="O16" s="3000"/>
      <c r="P16" s="3353"/>
      <c r="Q16" s="1537"/>
      <c r="R16" s="713"/>
      <c r="S16" s="714"/>
      <c r="T16" s="713"/>
      <c r="U16" s="714"/>
      <c r="V16" s="713"/>
      <c r="W16" s="714"/>
      <c r="X16" s="1540"/>
      <c r="Y16" s="3353"/>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53"/>
      <c r="Q17" s="1537" t="str">
        <f>B17</f>
        <v>交通便捷度</v>
      </c>
      <c r="R17" s="713" t="s">
        <v>17</v>
      </c>
      <c r="S17" s="714">
        <f>F17</f>
        <v>100</v>
      </c>
      <c r="T17" s="713" t="s">
        <v>17</v>
      </c>
      <c r="U17" s="714">
        <f>H17</f>
        <v>100</v>
      </c>
      <c r="V17" s="713" t="s">
        <v>17</v>
      </c>
      <c r="W17" s="714">
        <f>J17</f>
        <v>100</v>
      </c>
      <c r="X17" s="1540"/>
      <c r="Y17" s="3353"/>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8"/>
      <c r="M18" s="2942"/>
      <c r="N18" s="2942"/>
      <c r="O18" s="3000"/>
      <c r="P18" s="3353"/>
      <c r="Q18" s="1537"/>
      <c r="R18" s="713"/>
      <c r="S18" s="714"/>
      <c r="T18" s="713"/>
      <c r="U18" s="714"/>
      <c r="V18" s="713"/>
      <c r="W18" s="714"/>
      <c r="X18" s="1540"/>
      <c r="Y18" s="3353"/>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53"/>
      <c r="Q19" s="1537" t="str">
        <f t="shared" ref="Q19:Q33" si="8">B19</f>
        <v>区域土地利用方向</v>
      </c>
      <c r="R19" s="713" t="s">
        <v>17</v>
      </c>
      <c r="S19" s="714">
        <f>F19</f>
        <v>100</v>
      </c>
      <c r="T19" s="713" t="s">
        <v>17</v>
      </c>
      <c r="U19" s="714">
        <f>H19</f>
        <v>100</v>
      </c>
      <c r="V19" s="713" t="s">
        <v>17</v>
      </c>
      <c r="W19" s="714">
        <f>J19</f>
        <v>100</v>
      </c>
      <c r="X19" s="1540"/>
      <c r="Y19" s="3353"/>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8"/>
      <c r="M20" s="2942"/>
      <c r="N20" s="2942"/>
      <c r="O20" s="3000"/>
      <c r="P20" s="3353"/>
      <c r="Q20" s="1537"/>
      <c r="R20" s="713"/>
      <c r="S20" s="714"/>
      <c r="T20" s="713"/>
      <c r="U20" s="714"/>
      <c r="V20" s="713"/>
      <c r="W20" s="714"/>
      <c r="X20" s="1540"/>
      <c r="Y20" s="3353"/>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53"/>
      <c r="Q21" s="1537" t="str">
        <f t="shared" si="8"/>
        <v>环境状况</v>
      </c>
      <c r="R21" s="713" t="s">
        <v>17</v>
      </c>
      <c r="S21" s="714">
        <f>F21</f>
        <v>100</v>
      </c>
      <c r="T21" s="713" t="s">
        <v>17</v>
      </c>
      <c r="U21" s="714">
        <f>H21</f>
        <v>100</v>
      </c>
      <c r="V21" s="713" t="s">
        <v>17</v>
      </c>
      <c r="W21" s="714">
        <f>J21</f>
        <v>100</v>
      </c>
      <c r="X21" s="1540"/>
      <c r="Y21" s="3353"/>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8"/>
      <c r="M22" s="2942"/>
      <c r="N22" s="2942"/>
      <c r="O22" s="3000"/>
      <c r="P22" s="3353"/>
      <c r="Q22" s="1537"/>
      <c r="R22" s="713"/>
      <c r="S22" s="714"/>
      <c r="T22" s="713"/>
      <c r="U22" s="714"/>
      <c r="V22" s="713"/>
      <c r="W22" s="714"/>
      <c r="X22" s="1540"/>
      <c r="Y22" s="3353"/>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53"/>
      <c r="Q23" s="1528" t="str">
        <f t="shared" si="8"/>
        <v>公共配套设施</v>
      </c>
      <c r="R23" s="709" t="s">
        <v>17</v>
      </c>
      <c r="S23" s="710">
        <f>F23</f>
        <v>100</v>
      </c>
      <c r="T23" s="709" t="s">
        <v>17</v>
      </c>
      <c r="U23" s="710">
        <f>H23</f>
        <v>100</v>
      </c>
      <c r="V23" s="709" t="s">
        <v>17</v>
      </c>
      <c r="W23" s="710">
        <f>J23</f>
        <v>100</v>
      </c>
      <c r="X23" s="711"/>
      <c r="Y23" s="3353"/>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3"/>
      <c r="M24" s="2944"/>
      <c r="N24" s="2944"/>
      <c r="O24" s="2998"/>
      <c r="P24" s="3353"/>
      <c r="Q24" s="1528"/>
      <c r="R24" s="709"/>
      <c r="S24" s="710"/>
      <c r="T24" s="709"/>
      <c r="U24" s="710"/>
      <c r="V24" s="709"/>
      <c r="W24" s="710"/>
      <c r="X24" s="711"/>
      <c r="Y24" s="3353"/>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53"/>
      <c r="Q25" s="1528" t="str">
        <f t="shared" ref="Q25" si="9">B25</f>
        <v>基础设施水平</v>
      </c>
      <c r="R25" s="709" t="s">
        <v>17</v>
      </c>
      <c r="S25" s="710">
        <f>F25</f>
        <v>100</v>
      </c>
      <c r="T25" s="709" t="s">
        <v>17</v>
      </c>
      <c r="U25" s="710">
        <f>H25</f>
        <v>100</v>
      </c>
      <c r="V25" s="709" t="s">
        <v>17</v>
      </c>
      <c r="W25" s="710">
        <f>J25</f>
        <v>100</v>
      </c>
      <c r="X25" s="711"/>
      <c r="Y25" s="3353"/>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3"/>
      <c r="M26" s="2944"/>
      <c r="N26" s="2944"/>
      <c r="O26" s="2998"/>
      <c r="P26" s="3353"/>
      <c r="Q26" s="1528"/>
      <c r="R26" s="709"/>
      <c r="S26" s="710"/>
      <c r="T26" s="709"/>
      <c r="U26" s="710"/>
      <c r="V26" s="709"/>
      <c r="W26" s="710"/>
      <c r="X26" s="711"/>
      <c r="Y26" s="3353"/>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53"/>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53"/>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53"/>
      <c r="Q28" s="1537" t="str">
        <f t="shared" si="8"/>
        <v>毗邻道路的类型与等级</v>
      </c>
      <c r="R28" s="713" t="s">
        <v>17</v>
      </c>
      <c r="S28" s="714">
        <f t="shared" si="10"/>
        <v>100</v>
      </c>
      <c r="T28" s="713" t="s">
        <v>17</v>
      </c>
      <c r="U28" s="714">
        <f t="shared" si="11"/>
        <v>100</v>
      </c>
      <c r="V28" s="713" t="s">
        <v>17</v>
      </c>
      <c r="W28" s="714">
        <f t="shared" si="12"/>
        <v>100</v>
      </c>
      <c r="X28" s="1540"/>
      <c r="Y28" s="3353"/>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8"/>
      <c r="M29" s="2942"/>
      <c r="N29" s="2942"/>
      <c r="O29" s="3000"/>
      <c r="P29" s="3353"/>
      <c r="Q29" s="1537"/>
      <c r="R29" s="713"/>
      <c r="S29" s="714"/>
      <c r="T29" s="713"/>
      <c r="U29" s="714"/>
      <c r="V29" s="713"/>
      <c r="W29" s="714"/>
      <c r="X29" s="1540"/>
      <c r="Y29" s="3353"/>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53"/>
      <c r="Q30" s="1537" t="str">
        <f t="shared" si="8"/>
        <v>土地级别</v>
      </c>
      <c r="R30" s="713" t="s">
        <v>17</v>
      </c>
      <c r="S30" s="714">
        <f t="shared" si="10"/>
        <v>100</v>
      </c>
      <c r="T30" s="713" t="s">
        <v>17</v>
      </c>
      <c r="U30" s="714">
        <f t="shared" si="11"/>
        <v>100</v>
      </c>
      <c r="V30" s="713" t="s">
        <v>17</v>
      </c>
      <c r="W30" s="714">
        <f t="shared" si="12"/>
        <v>100</v>
      </c>
      <c r="X30" s="1540"/>
      <c r="Y30" s="3353"/>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53"/>
      <c r="Q31" s="1537">
        <f t="shared" si="8"/>
        <v>111</v>
      </c>
      <c r="R31" s="713" t="s">
        <v>17</v>
      </c>
      <c r="S31" s="714">
        <f t="shared" si="10"/>
        <v>100</v>
      </c>
      <c r="T31" s="713" t="s">
        <v>17</v>
      </c>
      <c r="U31" s="714">
        <f t="shared" si="11"/>
        <v>100</v>
      </c>
      <c r="V31" s="713" t="s">
        <v>17</v>
      </c>
      <c r="W31" s="714">
        <f t="shared" si="12"/>
        <v>100</v>
      </c>
      <c r="X31" s="1540"/>
      <c r="Y31" s="3353"/>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406" t="s">
        <v>2387</v>
      </c>
      <c r="Q32" s="1537">
        <f t="shared" si="8"/>
        <v>111</v>
      </c>
      <c r="R32" s="713" t="s">
        <v>17</v>
      </c>
      <c r="S32" s="714">
        <f t="shared" si="10"/>
        <v>100</v>
      </c>
      <c r="T32" s="713" t="s">
        <v>17</v>
      </c>
      <c r="U32" s="714">
        <f t="shared" si="11"/>
        <v>100</v>
      </c>
      <c r="V32" s="713" t="s">
        <v>17</v>
      </c>
      <c r="W32" s="714">
        <f t="shared" si="12"/>
        <v>100</v>
      </c>
      <c r="X32" s="1540"/>
      <c r="Y32" s="3357"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57"/>
      <c r="Q33" s="1537">
        <f t="shared" si="8"/>
        <v>111</v>
      </c>
      <c r="R33" s="716" t="s">
        <v>17</v>
      </c>
      <c r="S33" s="717">
        <f t="shared" si="10"/>
        <v>100</v>
      </c>
      <c r="T33" s="716" t="s">
        <v>17</v>
      </c>
      <c r="U33" s="717">
        <f t="shared" si="11"/>
        <v>100</v>
      </c>
      <c r="V33" s="716" t="s">
        <v>17</v>
      </c>
      <c r="W33" s="717">
        <f t="shared" si="12"/>
        <v>100</v>
      </c>
      <c r="X33" s="718"/>
      <c r="Y33" s="3357"/>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57"/>
      <c r="Q34" s="1537" t="str">
        <f>B34</f>
        <v>宗地面积</v>
      </c>
      <c r="R34" s="713" t="s">
        <v>17</v>
      </c>
      <c r="S34" s="714" t="e">
        <f t="shared" si="10"/>
        <v>#N/A</v>
      </c>
      <c r="T34" s="713" t="s">
        <v>17</v>
      </c>
      <c r="U34" s="714" t="e">
        <f t="shared" si="11"/>
        <v>#N/A</v>
      </c>
      <c r="V34" s="713" t="s">
        <v>17</v>
      </c>
      <c r="W34" s="714" t="e">
        <f t="shared" si="12"/>
        <v>#N/A</v>
      </c>
      <c r="X34" s="1540"/>
      <c r="Y34" s="3357"/>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8"/>
      <c r="M35" s="2942"/>
      <c r="N35" s="2942"/>
      <c r="O35" s="3000"/>
      <c r="P35" s="3357"/>
      <c r="Q35" s="1537" t="str">
        <f t="shared" ref="Q35:Q40" si="14">B35</f>
        <v>宗地形状</v>
      </c>
      <c r="R35" s="713" t="s">
        <v>17</v>
      </c>
      <c r="S35" s="714">
        <f t="shared" si="10"/>
        <v>100</v>
      </c>
      <c r="T35" s="713" t="s">
        <v>17</v>
      </c>
      <c r="U35" s="714">
        <f t="shared" si="11"/>
        <v>100</v>
      </c>
      <c r="V35" s="713" t="s">
        <v>17</v>
      </c>
      <c r="W35" s="714">
        <f t="shared" si="12"/>
        <v>100</v>
      </c>
      <c r="X35" s="1540"/>
      <c r="Y35" s="3357"/>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3"/>
      <c r="M36" s="2944"/>
      <c r="N36" s="2944"/>
      <c r="O36" s="2998"/>
      <c r="P36" s="3357"/>
      <c r="Q36" s="1537" t="str">
        <f t="shared" si="14"/>
        <v>宗地开发程度</v>
      </c>
      <c r="R36" s="709" t="s">
        <v>17</v>
      </c>
      <c r="S36" s="710">
        <f t="shared" si="10"/>
        <v>100</v>
      </c>
      <c r="T36" s="709" t="s">
        <v>17</v>
      </c>
      <c r="U36" s="710">
        <f t="shared" si="11"/>
        <v>100</v>
      </c>
      <c r="V36" s="709" t="s">
        <v>17</v>
      </c>
      <c r="W36" s="710">
        <f t="shared" si="12"/>
        <v>100</v>
      </c>
      <c r="X36" s="711"/>
      <c r="Y36" s="3357"/>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8"/>
      <c r="M37" s="2942"/>
      <c r="N37" s="2942"/>
      <c r="O37" s="3000"/>
      <c r="P37" s="3357" t="s">
        <v>2387</v>
      </c>
      <c r="Q37" s="1537" t="str">
        <f t="shared" si="14"/>
        <v>工程地质条件</v>
      </c>
      <c r="R37" s="713" t="s">
        <v>17</v>
      </c>
      <c r="S37" s="714">
        <f t="shared" si="10"/>
        <v>100</v>
      </c>
      <c r="T37" s="713" t="s">
        <v>17</v>
      </c>
      <c r="U37" s="714">
        <f t="shared" si="11"/>
        <v>100</v>
      </c>
      <c r="V37" s="713" t="s">
        <v>17</v>
      </c>
      <c r="W37" s="714">
        <f t="shared" si="12"/>
        <v>100</v>
      </c>
      <c r="X37" s="1540"/>
      <c r="Y37" s="3357"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57"/>
      <c r="Q38" s="1537">
        <f t="shared" si="14"/>
        <v>111</v>
      </c>
      <c r="R38" s="713" t="s">
        <v>17</v>
      </c>
      <c r="S38" s="714">
        <f t="shared" si="10"/>
        <v>100</v>
      </c>
      <c r="T38" s="713" t="s">
        <v>17</v>
      </c>
      <c r="U38" s="714">
        <f t="shared" si="11"/>
        <v>100</v>
      </c>
      <c r="V38" s="713" t="s">
        <v>17</v>
      </c>
      <c r="W38" s="714">
        <f t="shared" si="12"/>
        <v>100</v>
      </c>
      <c r="X38" s="1540"/>
      <c r="Y38" s="3357"/>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57"/>
      <c r="Q39" s="1537">
        <f t="shared" si="14"/>
        <v>111</v>
      </c>
      <c r="R39" s="713" t="s">
        <v>17</v>
      </c>
      <c r="S39" s="714">
        <f t="shared" si="10"/>
        <v>100</v>
      </c>
      <c r="T39" s="713" t="s">
        <v>17</v>
      </c>
      <c r="U39" s="714">
        <f t="shared" si="11"/>
        <v>100</v>
      </c>
      <c r="V39" s="713" t="s">
        <v>17</v>
      </c>
      <c r="W39" s="714">
        <f t="shared" si="12"/>
        <v>100</v>
      </c>
      <c r="X39" s="1540"/>
      <c r="Y39" s="3357"/>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57"/>
      <c r="Q40" s="1537">
        <f t="shared" si="14"/>
        <v>111</v>
      </c>
      <c r="R40" s="716" t="s">
        <v>17</v>
      </c>
      <c r="S40" s="717">
        <f t="shared" si="10"/>
        <v>100</v>
      </c>
      <c r="T40" s="716" t="s">
        <v>17</v>
      </c>
      <c r="U40" s="717">
        <f t="shared" si="11"/>
        <v>100</v>
      </c>
      <c r="V40" s="716" t="s">
        <v>17</v>
      </c>
      <c r="W40" s="717">
        <f t="shared" si="12"/>
        <v>100</v>
      </c>
      <c r="X40" s="718"/>
      <c r="Y40" s="3357"/>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0"/>
      <c r="M41" s="2942"/>
      <c r="N41" s="2942"/>
      <c r="O41" s="2951"/>
      <c r="P41" s="3359" t="str">
        <f>A41</f>
        <v>成交单价</v>
      </c>
      <c r="Q41" s="3359"/>
      <c r="R41" s="3347">
        <f>E41</f>
        <v>0</v>
      </c>
      <c r="S41" s="3347"/>
      <c r="T41" s="3347">
        <f>G41</f>
        <v>0</v>
      </c>
      <c r="U41" s="3347"/>
      <c r="V41" s="3347">
        <f>I41</f>
        <v>0</v>
      </c>
      <c r="W41" s="3347"/>
      <c r="X41" s="698"/>
      <c r="Y41" s="720"/>
      <c r="Z41" s="698"/>
      <c r="AA41" s="698"/>
      <c r="AB41" s="698"/>
      <c r="AC41" s="698"/>
    </row>
    <row r="42" spans="1:31" ht="15.75" thickBot="1">
      <c r="A42" s="444" t="s">
        <v>2491</v>
      </c>
      <c r="B42" s="638"/>
      <c r="C42" s="447" t="e">
        <f>R43</f>
        <v>#DIV/0!</v>
      </c>
      <c r="D42" s="2539" t="s">
        <v>2880</v>
      </c>
      <c r="E42" s="447" t="e">
        <f>R42</f>
        <v>#DIV/0!</v>
      </c>
      <c r="F42" s="2540"/>
      <c r="G42" s="446" t="e">
        <f>T42</f>
        <v>#DIV/0!</v>
      </c>
      <c r="H42" s="2540"/>
      <c r="I42" s="447" t="e">
        <f>V42</f>
        <v>#DIV/0!</v>
      </c>
      <c r="J42" s="2540"/>
      <c r="K42" s="2542">
        <f>F42+H42+J42</f>
        <v>0</v>
      </c>
      <c r="L42" s="2950"/>
      <c r="M42" s="2942"/>
      <c r="N42" s="2942"/>
      <c r="O42" s="2951"/>
      <c r="P42" s="3359" t="str">
        <f>A42</f>
        <v>比较价值（元/平方米）</v>
      </c>
      <c r="Q42" s="3359"/>
      <c r="R42" s="3408" t="e">
        <f>ROUND(PRODUCT(R41,AA7:AA40),0)</f>
        <v>#DIV/0!</v>
      </c>
      <c r="S42" s="3408"/>
      <c r="T42" s="3408" t="e">
        <f>ROUND(PRODUCT(T41,AB7:AB40),0)</f>
        <v>#DIV/0!</v>
      </c>
      <c r="U42" s="3408"/>
      <c r="V42" s="3408" t="e">
        <f>ROUND(PRODUCT(V41,AC7:AC40),0)</f>
        <v>#DIV/0!</v>
      </c>
      <c r="W42" s="3408"/>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0"/>
      <c r="M43" s="2942"/>
      <c r="N43" s="2942"/>
      <c r="O43" s="2951"/>
      <c r="P43" s="3403" t="str">
        <f>A43</f>
        <v>估价对象XX用房的比较价值（楼面单价，元/平方米）</v>
      </c>
      <c r="Q43" s="3404"/>
      <c r="R43" s="3409" t="e">
        <f>ROUND(IF(D42="简单平均",AVERAGE(R42:W42),R42*F42+T42*H42+V42*J42),0)</f>
        <v>#DIV/0!</v>
      </c>
      <c r="S43" s="3409"/>
      <c r="T43" s="3409"/>
      <c r="U43" s="3409"/>
      <c r="V43" s="3409"/>
      <c r="W43" s="3409"/>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2580</v>
      </c>
      <c r="B50" s="640" t="s">
        <v>2581</v>
      </c>
      <c r="C50" s="2170" t="s">
        <v>2582</v>
      </c>
      <c r="D50" s="2171" t="s">
        <v>2583</v>
      </c>
      <c r="E50" s="641" t="s">
        <v>2584</v>
      </c>
      <c r="F50" s="642" t="s">
        <v>2585</v>
      </c>
      <c r="G50" s="3334" t="s">
        <v>2586</v>
      </c>
      <c r="H50" s="3410"/>
      <c r="I50" s="1541" t="s">
        <v>2623</v>
      </c>
      <c r="J50" s="1541">
        <f>项目基本情况!F35</f>
        <v>0</v>
      </c>
      <c r="K50" s="2173"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4">
        <v>1</v>
      </c>
      <c r="E51" s="645">
        <f>'数据-汇总表'!E8+'数据-汇总表'!E9</f>
        <v>15279.68</v>
      </c>
      <c r="F51" s="646" t="e">
        <f t="shared" ref="F51:F60" si="15">ROUND(B51*E51/10000,0)</f>
        <v>#DIV/0!</v>
      </c>
      <c r="G51" s="3330"/>
      <c r="H51" s="3359"/>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0.8</v>
      </c>
      <c r="D52" s="1075">
        <v>0.25</v>
      </c>
      <c r="E52" s="649"/>
      <c r="F52" s="646" t="e">
        <f t="shared" si="15"/>
        <v>#DIV/0!</v>
      </c>
      <c r="G52" s="3411" t="s">
        <v>2591</v>
      </c>
      <c r="H52" s="1017" t="str">
        <f>项目基本情况!B37</f>
        <v>二级</v>
      </c>
      <c r="I52" s="878">
        <f>SUMIF(修正!A45:A56,H52,修正!B45:B56)</f>
        <v>0.8</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0.5</v>
      </c>
      <c r="D53" s="1075">
        <v>0.25</v>
      </c>
      <c r="E53" s="649"/>
      <c r="F53" s="646" t="e">
        <f t="shared" si="15"/>
        <v>#DIV/0!</v>
      </c>
      <c r="G53" s="3411"/>
      <c r="H53" s="1017" t="str">
        <f>项目基本情况!B37</f>
        <v>二级</v>
      </c>
      <c r="I53" s="878">
        <f>SUMIF(修正!A45:A56,H53,修正!C45:C56)</f>
        <v>0.5</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0.36</v>
      </c>
      <c r="D54" s="1075">
        <v>0.25</v>
      </c>
      <c r="E54" s="649"/>
      <c r="F54" s="646" t="e">
        <f t="shared" si="15"/>
        <v>#DIV/0!</v>
      </c>
      <c r="G54" s="3411"/>
      <c r="H54" s="1017" t="str">
        <f>项目基本情况!B37</f>
        <v>二级</v>
      </c>
      <c r="I54" s="878">
        <f>SUMIF(修正!A45:A56,H54,修正!D45:D56)</f>
        <v>0.36</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0.3</v>
      </c>
      <c r="D55" s="1075">
        <v>0.25</v>
      </c>
      <c r="E55" s="649"/>
      <c r="F55" s="646" t="e">
        <f t="shared" si="15"/>
        <v>#DIV/0!</v>
      </c>
      <c r="G55" s="3411"/>
      <c r="H55" s="1017" t="str">
        <f>项目基本情况!B37</f>
        <v>二级</v>
      </c>
      <c r="I55" s="878">
        <f>SUMIF(修正!A45:A56,H55,修正!E45:E56)</f>
        <v>0.3</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5">
        <v>0.25</v>
      </c>
      <c r="E56" s="222">
        <f>'数据-汇总表'!E11</f>
        <v>0</v>
      </c>
      <c r="F56" s="646" t="e">
        <f t="shared" si="15"/>
        <v>#DIV/0!</v>
      </c>
      <c r="G56" s="2174" t="s">
        <v>2596</v>
      </c>
      <c r="H56" s="1017" t="str">
        <f>项目基本情况!C37</f>
        <v>二级</v>
      </c>
      <c r="I56" s="878">
        <f>SUMIF(修正!A45:A56,H56,修正!F45:F56)</f>
        <v>0.3</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5">
        <v>0.25</v>
      </c>
      <c r="E57" s="222">
        <f>'数据-汇总表'!E12</f>
        <v>0</v>
      </c>
      <c r="F57" s="646" t="e">
        <f t="shared" si="15"/>
        <v>#DIV/0!</v>
      </c>
      <c r="G57" s="1022" t="s">
        <v>2598</v>
      </c>
      <c r="H57" s="1017" t="str">
        <f>IF(G57="商业",项目基本情况!B37,IF(G57="办公",项目基本情况!C37,IF(G57="住宅",项目基本情况!D37,项目基本情况!E37)))</f>
        <v>二级</v>
      </c>
      <c r="I57" s="878">
        <f>SUMIF(修正!A45:A56,H57,修正!G45:G56)</f>
        <v>0.3</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0.25</v>
      </c>
      <c r="D59" s="1075">
        <v>0.25</v>
      </c>
      <c r="E59" s="222">
        <f>'数据-汇总表'!E14</f>
        <v>0</v>
      </c>
      <c r="F59" s="646" t="e">
        <f t="shared" si="15"/>
        <v>#DIV/0!</v>
      </c>
      <c r="G59" s="2174" t="s">
        <v>2591</v>
      </c>
      <c r="H59" s="1017" t="str">
        <f>项目基本情况!B37</f>
        <v>二级</v>
      </c>
      <c r="I59" s="878">
        <f>SUMIF(修正!A45:A56,H59,修正!H45:H56)</f>
        <v>0.25</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2602</v>
      </c>
      <c r="B60" s="223" t="e">
        <f t="shared" si="17"/>
        <v>#DIV/0!</v>
      </c>
      <c r="C60" s="175">
        <f t="shared" si="16"/>
        <v>0.25</v>
      </c>
      <c r="D60" s="1075">
        <v>0.25</v>
      </c>
      <c r="E60" s="222">
        <f>'数据-汇总表'!E15</f>
        <v>0</v>
      </c>
      <c r="F60" s="646" t="e">
        <f t="shared" si="15"/>
        <v>#DIV/0!</v>
      </c>
      <c r="G60" s="2175" t="s">
        <v>2596</v>
      </c>
      <c r="H60" s="1027" t="str">
        <f>项目基本情况!C37</f>
        <v>二级</v>
      </c>
      <c r="I60" s="878">
        <f>SUMIF(修正!A45:A56,H60,修正!H45:H56)</f>
        <v>0.25</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2603</v>
      </c>
      <c r="B61" s="651" t="s">
        <v>28</v>
      </c>
      <c r="C61" s="651" t="s">
        <v>29</v>
      </c>
      <c r="D61" s="651" t="s">
        <v>997</v>
      </c>
      <c r="E61" s="651">
        <f>IF(B41="楼面地价",SUM(E51:E60),'数据-汇总表'!D3)</f>
        <v>4399.12</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2" t="s">
        <v>2496</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6"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2624</v>
      </c>
      <c r="B66" s="293" t="str">
        <f>"北京市平均增长率"&amp;TEXT('基准地价修正-办公'!P24,"0.00%")</f>
        <v>北京市平均增长率1.27%</v>
      </c>
      <c r="C66" s="559">
        <v>100</v>
      </c>
      <c r="D66" s="551"/>
      <c r="E66" s="551"/>
      <c r="F66" s="551"/>
      <c r="G66" s="551"/>
      <c r="H66" s="551"/>
      <c r="I66" s="551"/>
      <c r="J66" s="551"/>
      <c r="K66" s="551"/>
      <c r="L66" s="551"/>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1" t="s">
        <v>2407</v>
      </c>
      <c r="B67" s="472"/>
      <c r="C67" s="473"/>
      <c r="D67" s="474"/>
      <c r="E67" s="474"/>
      <c r="F67" s="474"/>
      <c r="G67" s="474"/>
      <c r="H67" s="474"/>
      <c r="I67" s="474"/>
      <c r="J67" s="474"/>
      <c r="K67" s="474"/>
      <c r="L67" s="474"/>
      <c r="M67" s="475"/>
      <c r="N67" s="475"/>
      <c r="O67" s="476"/>
      <c r="P67" s="2965"/>
      <c r="Q67" s="2965"/>
      <c r="R67" s="2886"/>
      <c r="S67" s="2886"/>
      <c r="T67" s="2886"/>
      <c r="U67" s="2886"/>
      <c r="V67" s="2886"/>
      <c r="W67" s="2886"/>
      <c r="X67" s="2886"/>
      <c r="Y67" s="2886"/>
      <c r="Z67" s="2886"/>
      <c r="AA67" s="2886"/>
      <c r="AB67" s="2886"/>
      <c r="AC67" s="2886"/>
      <c r="AD67" s="2886"/>
      <c r="AE67" s="2886"/>
    </row>
    <row r="68" spans="1:31" s="113" customFormat="1" ht="15">
      <c r="A68" s="477" t="s">
        <v>2372</v>
      </c>
      <c r="B68" s="466"/>
      <c r="C68" s="478" t="s">
        <v>2474</v>
      </c>
      <c r="D68" s="479"/>
      <c r="E68" s="479"/>
      <c r="F68" s="479"/>
      <c r="G68" s="479"/>
      <c r="H68" s="479"/>
      <c r="I68" s="479"/>
      <c r="J68" s="479"/>
      <c r="K68" s="479"/>
      <c r="L68" s="480"/>
      <c r="M68" s="481"/>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6"/>
      <c r="S69" s="2886"/>
      <c r="T69" s="2886"/>
      <c r="U69" s="2886"/>
      <c r="V69" s="2886"/>
      <c r="W69" s="2886"/>
      <c r="X69" s="2886"/>
      <c r="Y69" s="2886"/>
      <c r="Z69" s="2886"/>
      <c r="AA69" s="2886"/>
      <c r="AB69" s="2886"/>
      <c r="AC69" s="2886"/>
      <c r="AD69" s="2886"/>
      <c r="AE69" s="2886"/>
    </row>
    <row r="70" spans="1:31">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6"/>
      <c r="S90" s="2886"/>
      <c r="T90" s="2886"/>
      <c r="U90" s="2886"/>
      <c r="V90" s="2886"/>
      <c r="W90" s="2886"/>
      <c r="X90" s="2886"/>
      <c r="Y90" s="2886"/>
      <c r="Z90" s="2886"/>
      <c r="AA90" s="2886"/>
      <c r="AB90" s="2886"/>
      <c r="AC90" s="2886"/>
      <c r="AD90" s="2886"/>
      <c r="AE90" s="2886"/>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679"/>
      <c r="B4" s="3097" t="s">
        <v>1595</v>
      </c>
      <c r="C4" s="3097"/>
      <c r="D4" s="3097"/>
      <c r="E4" s="1679"/>
    </row>
    <row r="5" spans="1:5" ht="16.5" thickTop="1">
      <c r="A5" s="1677"/>
      <c r="B5" s="3095" t="s">
        <v>1587</v>
      </c>
      <c r="C5" s="1680" t="s">
        <v>1588</v>
      </c>
      <c r="D5" s="958">
        <f ca="1">结果表!H101</f>
        <v>5321</v>
      </c>
      <c r="E5" s="1677"/>
    </row>
    <row r="6" spans="1:5" ht="15.75">
      <c r="A6" s="1677"/>
      <c r="B6" s="3095"/>
      <c r="C6" s="1680" t="s">
        <v>1589</v>
      </c>
      <c r="D6" s="958" t="str">
        <f ca="1">NUMBERSTRING(INT(D5*10000),2)&amp;"元整"</f>
        <v>伍仟叁佰贰拾壹万元整</v>
      </c>
      <c r="E6" s="1677"/>
    </row>
    <row r="7" spans="1:5" ht="15.75">
      <c r="A7" s="1677"/>
      <c r="B7" s="3100"/>
      <c r="C7" s="1681" t="s">
        <v>1590</v>
      </c>
      <c r="D7" s="959" t="e">
        <f ca="1">结果表!H102</f>
        <v>#DIV/0!</v>
      </c>
      <c r="E7" s="1677"/>
    </row>
    <row r="8" spans="1:5" ht="15.75">
      <c r="A8" s="1677"/>
      <c r="B8" s="3101" t="str">
        <f>结果表!E103</f>
        <v>2.估价师知悉的法定优先受偿款</v>
      </c>
      <c r="C8" s="1682" t="s">
        <v>1591</v>
      </c>
      <c r="D8" s="959">
        <f>结果表!H103</f>
        <v>0</v>
      </c>
      <c r="E8" s="1677"/>
    </row>
    <row r="9" spans="1:5" ht="15.75">
      <c r="A9" s="1677"/>
      <c r="B9" s="3103"/>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094" t="str">
        <f>结果表!E107</f>
        <v>3.房地产抵押价值</v>
      </c>
      <c r="C13" s="1685" t="s">
        <v>1588</v>
      </c>
      <c r="D13" s="961">
        <f ca="1">结果表!H107</f>
        <v>5321</v>
      </c>
      <c r="E13" s="1677"/>
    </row>
    <row r="14" spans="1:5" ht="15.75">
      <c r="A14" s="1677"/>
      <c r="B14" s="3095"/>
      <c r="C14" s="1680" t="s">
        <v>1589</v>
      </c>
      <c r="D14" s="958" t="str">
        <f ca="1">NUMBERSTRING(INT(D13*10000),2)&amp;"元整"</f>
        <v>伍仟叁佰贰拾壹万元整</v>
      </c>
      <c r="E14" s="1677"/>
    </row>
    <row r="15" spans="1:5" ht="15">
      <c r="A15" s="1677"/>
      <c r="B15" s="3100"/>
      <c r="C15" s="1681" t="s">
        <v>1599</v>
      </c>
      <c r="D15" s="967">
        <f ca="1">结果表!H108</f>
        <v>3482</v>
      </c>
      <c r="E15" s="1677"/>
    </row>
    <row r="16" spans="1:5" ht="15">
      <c r="A16" s="1677"/>
      <c r="B16" s="3101" t="str">
        <f>结果表!E109</f>
        <v>——</v>
      </c>
      <c r="C16" s="1685" t="s">
        <v>1600</v>
      </c>
      <c r="D16" s="1686" t="str">
        <f>结果表!H109</f>
        <v>——</v>
      </c>
      <c r="E16" s="1677"/>
    </row>
    <row r="17" spans="1:5" ht="15.75">
      <c r="A17" s="1677"/>
      <c r="B17" s="3102"/>
      <c r="C17" s="1680" t="s">
        <v>1601</v>
      </c>
      <c r="D17" s="958" t="e">
        <f>NUMBERSTRING(INT(D16*10000),2)&amp;"元整"</f>
        <v>#VALUE!</v>
      </c>
      <c r="E17" s="1677"/>
    </row>
    <row r="18" spans="1:5" ht="15">
      <c r="A18" s="1677"/>
      <c r="B18" s="3103"/>
      <c r="C18" s="1681" t="s">
        <v>1590</v>
      </c>
      <c r="D18" s="967" t="str">
        <f>结果表!H110</f>
        <v>——</v>
      </c>
      <c r="E18" s="1677"/>
    </row>
    <row r="19" spans="1:5" ht="15.75">
      <c r="A19" s="1677"/>
      <c r="B19" s="3094" t="str">
        <f>结果表!E111</f>
        <v>4.抵押净值</v>
      </c>
      <c r="C19" s="1685" t="s">
        <v>1588</v>
      </c>
      <c r="D19" s="959">
        <f ca="1">结果表!H111</f>
        <v>104937</v>
      </c>
      <c r="E19" s="1677"/>
    </row>
    <row r="20" spans="1:5" ht="15.75">
      <c r="A20" s="1677"/>
      <c r="B20" s="3095"/>
      <c r="C20" s="1680" t="s">
        <v>1601</v>
      </c>
      <c r="D20" s="958" t="str">
        <f ca="1">NUMBERSTRING(INT(D19*10000),2)&amp;"元整"</f>
        <v>壹拾亿肆仟玖佰叁拾柒万元整</v>
      </c>
      <c r="E20" s="1677"/>
    </row>
    <row r="21" spans="1:5" ht="15.75" thickBot="1">
      <c r="A21" s="1677"/>
      <c r="B21" s="3096"/>
      <c r="C21" s="1687" t="s">
        <v>1599</v>
      </c>
      <c r="D21" s="968">
        <f ca="1">结果表!H112</f>
        <v>68677</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6" t="s">
        <v>183</v>
      </c>
      <c r="B18" s="820" t="s">
        <v>560</v>
      </c>
      <c r="C18" s="821" t="s">
        <v>561</v>
      </c>
      <c r="D18" s="822"/>
      <c r="E18" s="820">
        <v>1</v>
      </c>
      <c r="F18" s="823" t="s">
        <v>562</v>
      </c>
      <c r="G18" s="824"/>
      <c r="H18" s="816"/>
      <c r="I18" s="816"/>
    </row>
    <row r="19" spans="1:9" s="825" customFormat="1" ht="19.5" customHeight="1">
      <c r="A19" s="3416"/>
      <c r="B19" s="3416" t="s">
        <v>563</v>
      </c>
      <c r="C19" s="821" t="s">
        <v>564</v>
      </c>
      <c r="D19" s="822"/>
      <c r="E19" s="820">
        <v>0.9</v>
      </c>
      <c r="F19" s="823" t="s">
        <v>565</v>
      </c>
      <c r="G19" s="824"/>
      <c r="H19" s="816"/>
      <c r="I19" s="816"/>
    </row>
    <row r="20" spans="1:9" s="825" customFormat="1" ht="19.5" customHeight="1">
      <c r="A20" s="3416"/>
      <c r="B20" s="3416"/>
      <c r="C20" s="821" t="s">
        <v>566</v>
      </c>
      <c r="D20" s="822"/>
      <c r="E20" s="820">
        <v>1.1000000000000001</v>
      </c>
      <c r="F20" s="823" t="s">
        <v>567</v>
      </c>
      <c r="G20" s="824"/>
      <c r="H20" s="816"/>
      <c r="I20" s="816"/>
    </row>
    <row r="21" spans="1:9" s="825" customFormat="1" ht="19.5" customHeight="1">
      <c r="A21" s="3416"/>
      <c r="B21" s="3416"/>
      <c r="C21" s="821" t="s">
        <v>568</v>
      </c>
      <c r="D21" s="822"/>
      <c r="E21" s="820">
        <v>0.8</v>
      </c>
      <c r="F21" s="823" t="s">
        <v>569</v>
      </c>
      <c r="G21" s="824"/>
      <c r="H21" s="816"/>
      <c r="I21" s="816"/>
    </row>
    <row r="22" spans="1:9" s="825" customFormat="1" ht="19.5" customHeight="1">
      <c r="A22" s="3416"/>
      <c r="B22" s="3416"/>
      <c r="C22" s="821" t="s">
        <v>570</v>
      </c>
      <c r="D22" s="822"/>
      <c r="E22" s="820">
        <v>0.5</v>
      </c>
      <c r="F22" s="823"/>
      <c r="G22" s="824"/>
      <c r="H22" s="816"/>
      <c r="I22" s="816"/>
    </row>
    <row r="23" spans="1:9" s="825" customFormat="1" ht="19.5" customHeight="1">
      <c r="A23" s="3416" t="s">
        <v>184</v>
      </c>
      <c r="B23" s="820" t="s">
        <v>560</v>
      </c>
      <c r="C23" s="821" t="s">
        <v>571</v>
      </c>
      <c r="D23" s="822"/>
      <c r="E23" s="820">
        <v>1</v>
      </c>
      <c r="F23" s="823" t="s">
        <v>572</v>
      </c>
      <c r="G23" s="824"/>
      <c r="H23" s="816"/>
      <c r="I23" s="816"/>
    </row>
    <row r="24" spans="1:9" s="825" customFormat="1" ht="19.5" customHeight="1">
      <c r="A24" s="3416"/>
      <c r="B24" s="3416" t="s">
        <v>563</v>
      </c>
      <c r="C24" s="821" t="s">
        <v>573</v>
      </c>
      <c r="D24" s="822"/>
      <c r="E24" s="820">
        <v>0.5</v>
      </c>
      <c r="F24" s="823"/>
      <c r="G24" s="824"/>
      <c r="H24" s="816"/>
      <c r="I24" s="816"/>
    </row>
    <row r="25" spans="1:9" s="825" customFormat="1" ht="19.5" customHeight="1">
      <c r="A25" s="3416"/>
      <c r="B25" s="3416"/>
      <c r="C25" s="821" t="s">
        <v>574</v>
      </c>
      <c r="D25" s="822"/>
      <c r="E25" s="820">
        <v>1.1000000000000001</v>
      </c>
      <c r="F25" s="823"/>
      <c r="G25" s="824"/>
      <c r="H25" s="816"/>
      <c r="I25" s="816"/>
    </row>
    <row r="26" spans="1:9" s="825" customFormat="1" ht="19.5" customHeight="1">
      <c r="A26" s="3416"/>
      <c r="B26" s="3416"/>
      <c r="C26" s="821" t="s">
        <v>575</v>
      </c>
      <c r="D26" s="822"/>
      <c r="E26" s="820">
        <v>1.1000000000000001</v>
      </c>
      <c r="F26" s="823"/>
      <c r="G26" s="824"/>
      <c r="H26" s="816"/>
      <c r="I26" s="816"/>
    </row>
    <row r="27" spans="1:9" s="825" customFormat="1" ht="19.5" customHeight="1">
      <c r="A27" s="3416"/>
      <c r="B27" s="3416"/>
      <c r="C27" s="821" t="s">
        <v>576</v>
      </c>
      <c r="D27" s="822"/>
      <c r="E27" s="820">
        <v>0.9</v>
      </c>
      <c r="F27" s="823" t="s">
        <v>577</v>
      </c>
      <c r="G27" s="824"/>
      <c r="H27" s="816"/>
      <c r="I27" s="816"/>
    </row>
    <row r="28" spans="1:9" s="825" customFormat="1" ht="19.5" customHeight="1">
      <c r="A28" s="3416"/>
      <c r="B28" s="3416"/>
      <c r="C28" s="821" t="s">
        <v>578</v>
      </c>
      <c r="D28" s="822"/>
      <c r="E28" s="820">
        <v>0.9</v>
      </c>
      <c r="F28" s="823" t="s">
        <v>579</v>
      </c>
      <c r="G28" s="824"/>
      <c r="H28" s="816"/>
      <c r="I28" s="816"/>
    </row>
    <row r="29" spans="1:9" s="825" customFormat="1" ht="19.5" customHeight="1">
      <c r="A29" s="3416"/>
      <c r="B29" s="3416"/>
      <c r="C29" s="821" t="s">
        <v>580</v>
      </c>
      <c r="D29" s="822"/>
      <c r="E29" s="820">
        <v>0.9</v>
      </c>
      <c r="F29" s="823" t="s">
        <v>581</v>
      </c>
      <c r="G29" s="824"/>
      <c r="H29" s="816"/>
      <c r="I29" s="816"/>
    </row>
    <row r="30" spans="1:9" s="825" customFormat="1" ht="19.5" customHeight="1">
      <c r="A30" s="3416"/>
      <c r="B30" s="3416"/>
      <c r="C30" s="821" t="s">
        <v>582</v>
      </c>
      <c r="D30" s="822"/>
      <c r="E30" s="820">
        <v>0.9</v>
      </c>
      <c r="F30" s="823" t="s">
        <v>583</v>
      </c>
      <c r="G30" s="824"/>
      <c r="H30" s="816"/>
      <c r="I30" s="816"/>
    </row>
    <row r="31" spans="1:9" s="825" customFormat="1" ht="19.5" customHeight="1">
      <c r="A31" s="3416"/>
      <c r="B31" s="3416"/>
      <c r="C31" s="821" t="s">
        <v>584</v>
      </c>
      <c r="D31" s="822"/>
      <c r="E31" s="820">
        <v>0.8</v>
      </c>
      <c r="F31" s="823" t="s">
        <v>585</v>
      </c>
      <c r="G31" s="824"/>
      <c r="H31" s="816"/>
      <c r="I31" s="816"/>
    </row>
    <row r="32" spans="1:9" s="825" customFormat="1" ht="19.5" customHeight="1">
      <c r="A32" s="3416"/>
      <c r="B32" s="3416"/>
      <c r="C32" s="821" t="s">
        <v>586</v>
      </c>
      <c r="D32" s="822"/>
      <c r="E32" s="820">
        <v>0.8</v>
      </c>
      <c r="F32" s="823" t="s">
        <v>587</v>
      </c>
      <c r="G32" s="824"/>
      <c r="H32" s="816"/>
      <c r="I32" s="816"/>
    </row>
    <row r="33" spans="1:9" s="825" customFormat="1" ht="19.5" customHeight="1">
      <c r="A33" s="3416" t="s">
        <v>185</v>
      </c>
      <c r="B33" s="820" t="s">
        <v>560</v>
      </c>
      <c r="C33" s="821" t="s">
        <v>588</v>
      </c>
      <c r="D33" s="822"/>
      <c r="E33" s="820">
        <v>1</v>
      </c>
      <c r="F33" s="823" t="s">
        <v>589</v>
      </c>
      <c r="G33" s="824"/>
      <c r="H33" s="816"/>
      <c r="I33" s="816"/>
    </row>
    <row r="34" spans="1:9" s="825" customFormat="1" ht="19.5" customHeight="1">
      <c r="A34" s="3416"/>
      <c r="B34" s="820" t="s">
        <v>563</v>
      </c>
      <c r="C34" s="821" t="s">
        <v>590</v>
      </c>
      <c r="D34" s="822"/>
      <c r="E34" s="820">
        <v>1.5</v>
      </c>
      <c r="F34" s="823" t="s">
        <v>591</v>
      </c>
      <c r="G34" s="824"/>
      <c r="H34" s="816"/>
      <c r="I34" s="816"/>
    </row>
    <row r="35" spans="1:9" s="825" customFormat="1" ht="19.5" customHeight="1">
      <c r="A35" s="3416" t="s">
        <v>186</v>
      </c>
      <c r="B35" s="820" t="s">
        <v>560</v>
      </c>
      <c r="C35" s="821" t="s">
        <v>592</v>
      </c>
      <c r="D35" s="822"/>
      <c r="E35" s="820">
        <v>1</v>
      </c>
      <c r="F35" s="823" t="s">
        <v>593</v>
      </c>
      <c r="G35" s="824"/>
      <c r="H35" s="816"/>
      <c r="I35" s="816"/>
    </row>
    <row r="36" spans="1:9" s="825" customFormat="1" ht="19.5" customHeight="1">
      <c r="A36" s="3416"/>
      <c r="B36" s="3416" t="s">
        <v>563</v>
      </c>
      <c r="C36" s="821" t="s">
        <v>594</v>
      </c>
      <c r="D36" s="822"/>
      <c r="E36" s="820">
        <v>1</v>
      </c>
      <c r="F36" s="823" t="s">
        <v>595</v>
      </c>
      <c r="G36" s="824"/>
      <c r="H36" s="816"/>
      <c r="I36" s="816"/>
    </row>
    <row r="37" spans="1:9" s="825" customFormat="1" ht="19.5" customHeight="1">
      <c r="A37" s="3416"/>
      <c r="B37" s="3416"/>
      <c r="C37" s="821" t="s">
        <v>596</v>
      </c>
      <c r="D37" s="822"/>
      <c r="E37" s="820">
        <v>1.5</v>
      </c>
      <c r="F37" s="823" t="s">
        <v>597</v>
      </c>
      <c r="G37" s="824"/>
      <c r="H37" s="816"/>
      <c r="I37" s="816"/>
    </row>
    <row r="38" spans="1:9" s="825" customFormat="1" ht="19.5" customHeight="1">
      <c r="A38" s="3416"/>
      <c r="B38" s="3416"/>
      <c r="C38" s="821" t="s">
        <v>598</v>
      </c>
      <c r="D38" s="822"/>
      <c r="E38" s="820">
        <v>1</v>
      </c>
      <c r="F38" s="823" t="s">
        <v>599</v>
      </c>
      <c r="G38" s="824"/>
      <c r="H38" s="816"/>
      <c r="I38" s="816"/>
    </row>
    <row r="39" spans="1:9" s="825" customFormat="1" ht="19.5" customHeight="1">
      <c r="A39" s="3416"/>
      <c r="B39" s="341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6" t="s">
        <v>614</v>
      </c>
      <c r="C61" s="756" t="s">
        <v>615</v>
      </c>
      <c r="D61" s="756" t="s">
        <v>616</v>
      </c>
      <c r="E61" s="833">
        <v>0.5</v>
      </c>
      <c r="F61" s="820">
        <v>80</v>
      </c>
    </row>
    <row r="62" spans="1:8" s="816" customFormat="1" ht="24">
      <c r="A62" s="820">
        <v>2</v>
      </c>
      <c r="B62" s="3416"/>
      <c r="C62" s="756" t="s">
        <v>617</v>
      </c>
      <c r="D62" s="756" t="s">
        <v>618</v>
      </c>
      <c r="E62" s="833">
        <v>0.5</v>
      </c>
      <c r="F62" s="820">
        <v>80</v>
      </c>
    </row>
    <row r="63" spans="1:8" s="816" customFormat="1" ht="36">
      <c r="A63" s="820">
        <v>3</v>
      </c>
      <c r="B63" s="3416"/>
      <c r="C63" s="756" t="s">
        <v>619</v>
      </c>
      <c r="D63" s="756" t="s">
        <v>620</v>
      </c>
      <c r="E63" s="833">
        <v>0.5</v>
      </c>
      <c r="F63" s="820">
        <v>80</v>
      </c>
    </row>
    <row r="64" spans="1:8" s="816" customFormat="1" ht="36">
      <c r="A64" s="820">
        <v>4</v>
      </c>
      <c r="B64" s="3416"/>
      <c r="C64" s="756" t="s">
        <v>621</v>
      </c>
      <c r="D64" s="756" t="s">
        <v>622</v>
      </c>
      <c r="E64" s="833">
        <v>0.4</v>
      </c>
      <c r="F64" s="820">
        <v>60</v>
      </c>
    </row>
    <row r="65" spans="1:6" s="816" customFormat="1" ht="36">
      <c r="A65" s="820">
        <v>5</v>
      </c>
      <c r="B65" s="3416"/>
      <c r="C65" s="756" t="s">
        <v>623</v>
      </c>
      <c r="D65" s="756" t="s">
        <v>624</v>
      </c>
      <c r="E65" s="833">
        <v>0.2</v>
      </c>
      <c r="F65" s="820">
        <v>30</v>
      </c>
    </row>
    <row r="66" spans="1:6" s="816" customFormat="1" ht="36">
      <c r="A66" s="820">
        <v>6</v>
      </c>
      <c r="B66" s="3416"/>
      <c r="C66" s="756" t="s">
        <v>625</v>
      </c>
      <c r="D66" s="756" t="s">
        <v>626</v>
      </c>
      <c r="E66" s="833">
        <v>0.3</v>
      </c>
      <c r="F66" s="820">
        <v>50</v>
      </c>
    </row>
    <row r="67" spans="1:6" s="816" customFormat="1" ht="36">
      <c r="A67" s="820">
        <v>7</v>
      </c>
      <c r="B67" s="3416"/>
      <c r="C67" s="756" t="s">
        <v>627</v>
      </c>
      <c r="D67" s="756" t="s">
        <v>628</v>
      </c>
      <c r="E67" s="833">
        <v>0.2</v>
      </c>
      <c r="F67" s="820">
        <v>30</v>
      </c>
    </row>
    <row r="68" spans="1:6" s="816" customFormat="1" ht="36">
      <c r="A68" s="820">
        <v>8</v>
      </c>
      <c r="B68" s="3416"/>
      <c r="C68" s="756" t="s">
        <v>629</v>
      </c>
      <c r="D68" s="756" t="s">
        <v>630</v>
      </c>
      <c r="E68" s="833">
        <v>0.2</v>
      </c>
      <c r="F68" s="820">
        <v>30</v>
      </c>
    </row>
    <row r="69" spans="1:6" s="816" customFormat="1" ht="36">
      <c r="A69" s="820">
        <v>9</v>
      </c>
      <c r="B69" s="3416"/>
      <c r="C69" s="756" t="s">
        <v>631</v>
      </c>
      <c r="D69" s="756" t="s">
        <v>632</v>
      </c>
      <c r="E69" s="833">
        <v>0.2</v>
      </c>
      <c r="F69" s="820">
        <v>30</v>
      </c>
    </row>
    <row r="70" spans="1:6" s="816" customFormat="1" ht="48">
      <c r="A70" s="820">
        <v>10</v>
      </c>
      <c r="B70" s="3416"/>
      <c r="C70" s="756" t="s">
        <v>633</v>
      </c>
      <c r="D70" s="756" t="s">
        <v>634</v>
      </c>
      <c r="E70" s="833">
        <v>0.2</v>
      </c>
      <c r="F70" s="820">
        <v>30</v>
      </c>
    </row>
    <row r="71" spans="1:6" s="816" customFormat="1" ht="48">
      <c r="A71" s="820">
        <v>11</v>
      </c>
      <c r="B71" s="3416"/>
      <c r="C71" s="756" t="s">
        <v>635</v>
      </c>
      <c r="D71" s="756" t="s">
        <v>636</v>
      </c>
      <c r="E71" s="833">
        <v>0.2</v>
      </c>
      <c r="F71" s="820">
        <v>30</v>
      </c>
    </row>
    <row r="72" spans="1:6" s="816" customFormat="1" ht="36">
      <c r="A72" s="820">
        <v>12</v>
      </c>
      <c r="B72" s="3416"/>
      <c r="C72" s="756" t="s">
        <v>637</v>
      </c>
      <c r="D72" s="756" t="s">
        <v>638</v>
      </c>
      <c r="E72" s="833">
        <v>0.5</v>
      </c>
      <c r="F72" s="820">
        <v>80</v>
      </c>
    </row>
    <row r="73" spans="1:6" s="816" customFormat="1" ht="24">
      <c r="A73" s="820">
        <v>13</v>
      </c>
      <c r="B73" s="3416"/>
      <c r="C73" s="756" t="s">
        <v>639</v>
      </c>
      <c r="D73" s="756" t="s">
        <v>640</v>
      </c>
      <c r="E73" s="833">
        <v>0.4</v>
      </c>
      <c r="F73" s="820">
        <v>60</v>
      </c>
    </row>
    <row r="74" spans="1:6" s="816" customFormat="1" ht="24">
      <c r="A74" s="820">
        <v>14</v>
      </c>
      <c r="B74" s="3416"/>
      <c r="C74" s="756" t="s">
        <v>641</v>
      </c>
      <c r="D74" s="756" t="s">
        <v>642</v>
      </c>
      <c r="E74" s="833">
        <v>0.2</v>
      </c>
      <c r="F74" s="820">
        <v>30</v>
      </c>
    </row>
    <row r="75" spans="1:6" s="816" customFormat="1" ht="24">
      <c r="A75" s="820">
        <v>15</v>
      </c>
      <c r="B75" s="3416"/>
      <c r="C75" s="756" t="s">
        <v>643</v>
      </c>
      <c r="D75" s="756" t="s">
        <v>644</v>
      </c>
      <c r="E75" s="833">
        <v>0.2</v>
      </c>
      <c r="F75" s="820">
        <v>30</v>
      </c>
    </row>
    <row r="76" spans="1:6" s="816" customFormat="1" ht="24">
      <c r="A76" s="820">
        <v>16</v>
      </c>
      <c r="B76" s="3416" t="s">
        <v>645</v>
      </c>
      <c r="C76" s="756" t="s">
        <v>646</v>
      </c>
      <c r="D76" s="756" t="s">
        <v>647</v>
      </c>
      <c r="E76" s="833">
        <v>0.5</v>
      </c>
      <c r="F76" s="820">
        <v>80</v>
      </c>
    </row>
    <row r="77" spans="1:6" s="816" customFormat="1" ht="24">
      <c r="A77" s="820">
        <v>17</v>
      </c>
      <c r="B77" s="3416"/>
      <c r="C77" s="756" t="s">
        <v>648</v>
      </c>
      <c r="D77" s="756" t="s">
        <v>649</v>
      </c>
      <c r="E77" s="833">
        <v>0.5</v>
      </c>
      <c r="F77" s="820">
        <v>80</v>
      </c>
    </row>
    <row r="78" spans="1:6" s="816" customFormat="1" ht="24">
      <c r="A78" s="820">
        <v>18</v>
      </c>
      <c r="B78" s="3416"/>
      <c r="C78" s="756" t="s">
        <v>650</v>
      </c>
      <c r="D78" s="756" t="s">
        <v>651</v>
      </c>
      <c r="E78" s="833">
        <v>0.2</v>
      </c>
      <c r="F78" s="820">
        <v>30</v>
      </c>
    </row>
    <row r="79" spans="1:6" s="816" customFormat="1" ht="24">
      <c r="A79" s="820">
        <v>19</v>
      </c>
      <c r="B79" s="3416"/>
      <c r="C79" s="756" t="s">
        <v>652</v>
      </c>
      <c r="D79" s="756" t="s">
        <v>653</v>
      </c>
      <c r="E79" s="833">
        <v>0.5</v>
      </c>
      <c r="F79" s="820">
        <v>80</v>
      </c>
    </row>
    <row r="80" spans="1:6" s="816" customFormat="1" ht="36">
      <c r="A80" s="820">
        <v>20</v>
      </c>
      <c r="B80" s="3416"/>
      <c r="C80" s="756" t="s">
        <v>654</v>
      </c>
      <c r="D80" s="756" t="s">
        <v>655</v>
      </c>
      <c r="E80" s="833">
        <v>0.2</v>
      </c>
      <c r="F80" s="820">
        <v>30</v>
      </c>
    </row>
    <row r="81" spans="1:6" s="816" customFormat="1" ht="36">
      <c r="A81" s="820">
        <v>21</v>
      </c>
      <c r="B81" s="3416"/>
      <c r="C81" s="756" t="s">
        <v>656</v>
      </c>
      <c r="D81" s="756" t="s">
        <v>657</v>
      </c>
      <c r="E81" s="833">
        <v>0.2</v>
      </c>
      <c r="F81" s="820">
        <v>30</v>
      </c>
    </row>
    <row r="82" spans="1:6" s="816" customFormat="1" ht="48">
      <c r="A82" s="820">
        <v>22</v>
      </c>
      <c r="B82" s="3416"/>
      <c r="C82" s="756" t="s">
        <v>658</v>
      </c>
      <c r="D82" s="756" t="s">
        <v>659</v>
      </c>
      <c r="E82" s="833">
        <v>0.2</v>
      </c>
      <c r="F82" s="820">
        <v>30</v>
      </c>
    </row>
    <row r="83" spans="1:6" s="816" customFormat="1" ht="48">
      <c r="A83" s="820">
        <v>23</v>
      </c>
      <c r="B83" s="3416"/>
      <c r="C83" s="756" t="s">
        <v>660</v>
      </c>
      <c r="D83" s="756" t="s">
        <v>661</v>
      </c>
      <c r="E83" s="833">
        <v>0.2</v>
      </c>
      <c r="F83" s="820">
        <v>30</v>
      </c>
    </row>
    <row r="84" spans="1:6" s="816" customFormat="1" ht="36">
      <c r="A84" s="820">
        <v>24</v>
      </c>
      <c r="B84" s="3416"/>
      <c r="C84" s="756" t="s">
        <v>662</v>
      </c>
      <c r="D84" s="756" t="s">
        <v>663</v>
      </c>
      <c r="E84" s="833">
        <v>0.2</v>
      </c>
      <c r="F84" s="820">
        <v>30</v>
      </c>
    </row>
    <row r="85" spans="1:6" s="816" customFormat="1" ht="36">
      <c r="A85" s="820">
        <v>25</v>
      </c>
      <c r="B85" s="3416"/>
      <c r="C85" s="756" t="s">
        <v>664</v>
      </c>
      <c r="D85" s="756" t="s">
        <v>665</v>
      </c>
      <c r="E85" s="833">
        <v>0.5</v>
      </c>
      <c r="F85" s="820">
        <v>80</v>
      </c>
    </row>
    <row r="86" spans="1:6" s="816" customFormat="1" ht="36">
      <c r="A86" s="820">
        <v>26</v>
      </c>
      <c r="B86" s="3416"/>
      <c r="C86" s="756" t="s">
        <v>666</v>
      </c>
      <c r="D86" s="756" t="s">
        <v>667</v>
      </c>
      <c r="E86" s="833">
        <v>0.2</v>
      </c>
      <c r="F86" s="820">
        <v>30</v>
      </c>
    </row>
    <row r="87" spans="1:6" s="816" customFormat="1" ht="36">
      <c r="A87" s="820">
        <v>27</v>
      </c>
      <c r="B87" s="3416"/>
      <c r="C87" s="756" t="s">
        <v>668</v>
      </c>
      <c r="D87" s="756" t="s">
        <v>669</v>
      </c>
      <c r="E87" s="833">
        <v>0.2</v>
      </c>
      <c r="F87" s="820">
        <v>30</v>
      </c>
    </row>
    <row r="88" spans="1:6" s="816" customFormat="1" ht="36">
      <c r="A88" s="820">
        <v>28</v>
      </c>
      <c r="B88" s="3416"/>
      <c r="C88" s="756" t="s">
        <v>670</v>
      </c>
      <c r="D88" s="756" t="s">
        <v>671</v>
      </c>
      <c r="E88" s="833">
        <v>0.2</v>
      </c>
      <c r="F88" s="820">
        <v>30</v>
      </c>
    </row>
    <row r="89" spans="1:6" s="816" customFormat="1" ht="24">
      <c r="A89" s="820">
        <v>29</v>
      </c>
      <c r="B89" s="3416"/>
      <c r="C89" s="756" t="s">
        <v>672</v>
      </c>
      <c r="D89" s="756" t="s">
        <v>673</v>
      </c>
      <c r="E89" s="833">
        <v>0.2</v>
      </c>
      <c r="F89" s="820">
        <v>30</v>
      </c>
    </row>
    <row r="90" spans="1:6" s="816" customFormat="1" ht="24">
      <c r="A90" s="820">
        <v>30</v>
      </c>
      <c r="B90" s="3416"/>
      <c r="C90" s="756" t="s">
        <v>674</v>
      </c>
      <c r="D90" s="756" t="s">
        <v>675</v>
      </c>
      <c r="E90" s="833">
        <v>0.2</v>
      </c>
      <c r="F90" s="820">
        <v>30</v>
      </c>
    </row>
    <row r="91" spans="1:6" s="816" customFormat="1" ht="36">
      <c r="A91" s="820">
        <v>31</v>
      </c>
      <c r="B91" s="3416"/>
      <c r="C91" s="756" t="s">
        <v>676</v>
      </c>
      <c r="D91" s="756" t="s">
        <v>677</v>
      </c>
      <c r="E91" s="833">
        <v>0.2</v>
      </c>
      <c r="F91" s="820">
        <v>30</v>
      </c>
    </row>
    <row r="92" spans="1:6" s="816" customFormat="1" ht="24">
      <c r="A92" s="820">
        <v>32</v>
      </c>
      <c r="B92" s="3416" t="s">
        <v>678</v>
      </c>
      <c r="C92" s="820" t="s">
        <v>679</v>
      </c>
      <c r="D92" s="756" t="s">
        <v>680</v>
      </c>
      <c r="E92" s="833">
        <v>0.2</v>
      </c>
      <c r="F92" s="820">
        <v>30</v>
      </c>
    </row>
    <row r="93" spans="1:6" s="816" customFormat="1" ht="36">
      <c r="A93" s="820">
        <v>33</v>
      </c>
      <c r="B93" s="3416"/>
      <c r="C93" s="820" t="s">
        <v>681</v>
      </c>
      <c r="D93" s="756" t="s">
        <v>682</v>
      </c>
      <c r="E93" s="833">
        <v>0.2</v>
      </c>
      <c r="F93" s="820">
        <v>30</v>
      </c>
    </row>
    <row r="94" spans="1:6" s="816" customFormat="1" ht="48">
      <c r="A94" s="820">
        <v>34</v>
      </c>
      <c r="B94" s="3416"/>
      <c r="C94" s="820" t="s">
        <v>683</v>
      </c>
      <c r="D94" s="756" t="s">
        <v>684</v>
      </c>
      <c r="E94" s="833">
        <v>0.2</v>
      </c>
      <c r="F94" s="820">
        <v>30</v>
      </c>
    </row>
    <row r="95" spans="1:6" s="816" customFormat="1" ht="36">
      <c r="A95" s="820">
        <v>35</v>
      </c>
      <c r="B95" s="3416"/>
      <c r="C95" s="820" t="s">
        <v>685</v>
      </c>
      <c r="D95" s="756" t="s">
        <v>686</v>
      </c>
      <c r="E95" s="833">
        <v>0.2</v>
      </c>
      <c r="F95" s="820">
        <v>30</v>
      </c>
    </row>
    <row r="96" spans="1:6" s="816" customFormat="1" ht="48">
      <c r="A96" s="820">
        <v>36</v>
      </c>
      <c r="B96" s="3416"/>
      <c r="C96" s="756" t="s">
        <v>687</v>
      </c>
      <c r="D96" s="756" t="s">
        <v>688</v>
      </c>
      <c r="E96" s="833">
        <v>0.2</v>
      </c>
      <c r="F96" s="820">
        <v>30</v>
      </c>
    </row>
    <row r="97" spans="1:6" s="816" customFormat="1" ht="36">
      <c r="A97" s="820">
        <v>37</v>
      </c>
      <c r="B97" s="3416"/>
      <c r="C97" s="820" t="s">
        <v>689</v>
      </c>
      <c r="D97" s="756" t="s">
        <v>690</v>
      </c>
      <c r="E97" s="833">
        <v>0.2</v>
      </c>
      <c r="F97" s="820">
        <v>30</v>
      </c>
    </row>
    <row r="98" spans="1:6" s="816" customFormat="1" ht="36">
      <c r="A98" s="820">
        <v>38</v>
      </c>
      <c r="B98" s="3416"/>
      <c r="C98" s="820" t="s">
        <v>691</v>
      </c>
      <c r="D98" s="756" t="s">
        <v>692</v>
      </c>
      <c r="E98" s="833">
        <v>0.2</v>
      </c>
      <c r="F98" s="820">
        <v>30</v>
      </c>
    </row>
    <row r="99" spans="1:6" s="816" customFormat="1" ht="36">
      <c r="A99" s="820">
        <v>39</v>
      </c>
      <c r="B99" s="3416" t="s">
        <v>693</v>
      </c>
      <c r="C99" s="820" t="s">
        <v>694</v>
      </c>
      <c r="D99" s="756" t="s">
        <v>695</v>
      </c>
      <c r="E99" s="833">
        <v>0.3</v>
      </c>
      <c r="F99" s="820">
        <v>50</v>
      </c>
    </row>
    <row r="100" spans="1:6" s="816" customFormat="1" ht="24">
      <c r="A100" s="820">
        <v>40</v>
      </c>
      <c r="B100" s="3416"/>
      <c r="C100" s="820" t="s">
        <v>696</v>
      </c>
      <c r="D100" s="756" t="s">
        <v>697</v>
      </c>
      <c r="E100" s="833">
        <v>0.2</v>
      </c>
      <c r="F100" s="820">
        <v>30</v>
      </c>
    </row>
    <row r="101" spans="1:6" s="816" customFormat="1" ht="36">
      <c r="A101" s="820">
        <v>41</v>
      </c>
      <c r="B101" s="341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6" t="s">
        <v>708</v>
      </c>
      <c r="C105" s="820" t="s">
        <v>709</v>
      </c>
      <c r="D105" s="756" t="s">
        <v>710</v>
      </c>
      <c r="E105" s="833">
        <v>0.2</v>
      </c>
      <c r="F105" s="820">
        <v>30</v>
      </c>
    </row>
    <row r="106" spans="1:6" s="816" customFormat="1" ht="36">
      <c r="A106" s="820">
        <v>46</v>
      </c>
      <c r="B106" s="3416"/>
      <c r="C106" s="820" t="s">
        <v>711</v>
      </c>
      <c r="D106" s="756" t="s">
        <v>712</v>
      </c>
      <c r="E106" s="833">
        <v>0.2</v>
      </c>
      <c r="F106" s="820">
        <v>30</v>
      </c>
    </row>
    <row r="107" spans="1:6" s="816" customFormat="1" ht="36">
      <c r="A107" s="820">
        <v>47</v>
      </c>
      <c r="B107" s="3416" t="s">
        <v>713</v>
      </c>
      <c r="C107" s="820" t="s">
        <v>714</v>
      </c>
      <c r="D107" s="756" t="s">
        <v>715</v>
      </c>
      <c r="E107" s="833">
        <v>0.3</v>
      </c>
      <c r="F107" s="820">
        <v>50</v>
      </c>
    </row>
    <row r="108" spans="1:6" s="816" customFormat="1" ht="36">
      <c r="A108" s="820">
        <v>48</v>
      </c>
      <c r="B108" s="341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6" t="s">
        <v>724</v>
      </c>
      <c r="C111" s="820" t="s">
        <v>725</v>
      </c>
      <c r="D111" s="756" t="s">
        <v>726</v>
      </c>
      <c r="E111" s="833">
        <v>0.2</v>
      </c>
      <c r="F111" s="820">
        <v>30</v>
      </c>
    </row>
    <row r="112" spans="1:6" s="816" customFormat="1" ht="24">
      <c r="A112" s="820">
        <v>52</v>
      </c>
      <c r="B112" s="3416"/>
      <c r="C112" s="820" t="s">
        <v>727</v>
      </c>
      <c r="D112" s="756" t="s">
        <v>728</v>
      </c>
      <c r="E112" s="833">
        <v>0.2</v>
      </c>
      <c r="F112" s="820">
        <v>30</v>
      </c>
    </row>
    <row r="113" spans="1:6" s="816" customFormat="1" ht="24">
      <c r="A113" s="820">
        <v>53</v>
      </c>
      <c r="B113" s="341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6" t="s">
        <v>737</v>
      </c>
      <c r="C116" s="820" t="s">
        <v>738</v>
      </c>
      <c r="D116" s="756" t="s">
        <v>739</v>
      </c>
      <c r="E116" s="833">
        <v>0.2</v>
      </c>
      <c r="F116" s="820">
        <v>30</v>
      </c>
    </row>
    <row r="117" spans="1:6" ht="36">
      <c r="A117" s="820">
        <v>57</v>
      </c>
      <c r="B117" s="341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SUMPRODUCT((A105:A204=ROUNDDOWN('基准地价修正-办公'!G3,1))*(B104:M104='基准地价修正-办公'!G2)*(B105:M204))</f>
        <v>1.0082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2" t="s">
        <v>1117</v>
      </c>
      <c r="C1" s="3422"/>
      <c r="D1" s="3422"/>
      <c r="E1" s="3422"/>
      <c r="F1" s="3422"/>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ROUND(AVERAGE($I4:$I31),2)</f>
        <v>1.79</v>
      </c>
      <c r="J3" s="2400">
        <f>ROUND(AVERAGE($J4:$J31),2)</f>
        <v>1.2</v>
      </c>
      <c r="K3" s="2400">
        <f>ROUND(AVERAGE($K4:$K31),2)</f>
        <v>1.97</v>
      </c>
      <c r="L3" s="2400">
        <f>ROUND(AVERAGE($L4:$L31),2)</f>
        <v>1.27</v>
      </c>
      <c r="N3" s="2398"/>
      <c r="S3" s="2398"/>
      <c r="W3" s="2402"/>
      <c r="X3" s="2403">
        <f>ROUND(SUMPRODUCT(PRODUCT(1+N3:N$30)),4)</f>
        <v>1.5652999999999999</v>
      </c>
      <c r="Y3" s="2403">
        <f>ROUND(SUMPRODUCT(PRODUCT(1+O3:O$30)),4)</f>
        <v>1.3472</v>
      </c>
      <c r="Z3" s="2403">
        <f t="shared" ref="Z3:Z28" si="0">Y3</f>
        <v>1.3472</v>
      </c>
      <c r="AA3" s="2403">
        <f>ROUND(SUMPRODUCT(PRODUCT(1+P3:P$30)),4)</f>
        <v>1.6335999999999999</v>
      </c>
      <c r="AB3" s="2403">
        <f>ROUND(SUMPRODUCT(PRODUCT(1+Q3:Q$30)),4)</f>
        <v>1.3880999999999999</v>
      </c>
      <c r="AD3" s="2404">
        <f>ROUND(AVERAGE(I3:I$31)/100,4)</f>
        <v>1.7899999999999999E-2</v>
      </c>
      <c r="AE3" s="2404">
        <f>ROUND(AVERAGE(J3:J$31)/100,4)</f>
        <v>1.2E-2</v>
      </c>
      <c r="AF3" s="2404">
        <f t="shared" ref="AF3:AF29" si="1">AE3</f>
        <v>1.2E-2</v>
      </c>
      <c r="AG3" s="2404">
        <f>ROUND(AVERAGE(K3:K$31)/100,4)</f>
        <v>1.9699999999999999E-2</v>
      </c>
      <c r="AH3" s="2404">
        <f>ROUND(AVERAGE(L3:L$31)/100,4)</f>
        <v>1.2699999999999999E-2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2872</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2415">
        <v>2020</v>
      </c>
      <c r="H5" s="2416">
        <v>3</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ROUND(IF(项目基本情况!B7="出让",SUMPRODUCT(PRODUCT(1+N5:N$31)),SUMPRODUCT(PRODUCT(1+N5:N$30))),4)</f>
        <v>1.5652999999999999</v>
      </c>
      <c r="Y5" s="2422">
        <f>ROUND(IF(项目基本情况!B7="出让",SUMPRODUCT(PRODUCT(1+O5:O$31)),SUMPRODUCT(PRODUCT(1+O5:O$30))),4)</f>
        <v>1.3472</v>
      </c>
      <c r="Z5" s="2422">
        <f t="shared" ref="Z5" si="11">Y5</f>
        <v>1.3472</v>
      </c>
      <c r="AA5" s="2422">
        <f>ROUND(IF(项目基本情况!B7="出让",SUMPRODUCT(PRODUCT(1+P5:P$31)),SUMPRODUCT(PRODUCT(1+P5:P$30))),4)</f>
        <v>1.6335999999999999</v>
      </c>
      <c r="AB5" s="2422">
        <f>ROUND(IF(项目基本情况!B7="出让",SUMPRODUCT(PRODUCT(1+Q5:Q$31)),SUMPRODUCT(PRODUCT(1+Q5:Q$30))),4)</f>
        <v>1.3880999999999999</v>
      </c>
      <c r="AD5" s="2423">
        <f>ROUND(AVERAGE(I5:I$31)/100,4)</f>
        <v>1.7899999999999999E-2</v>
      </c>
      <c r="AE5" s="2423">
        <f>ROUND(AVERAGE(J5:J$31)/100,4)</f>
        <v>1.2E-2</v>
      </c>
      <c r="AF5" s="2423">
        <f t="shared" ref="AF5" si="12">AE5</f>
        <v>1.2E-2</v>
      </c>
      <c r="AG5" s="2423">
        <f>ROUND(AVERAGE(K5:K$31)/100,4)</f>
        <v>1.9699999999999999E-2</v>
      </c>
      <c r="AH5" s="2423">
        <f>ROUND(AVERAGE(L5:L$31)/100,4)</f>
        <v>1.2699999999999999E-2</v>
      </c>
    </row>
    <row r="6" spans="1:34" s="2431" customFormat="1">
      <c r="A6" s="2424" t="s">
        <v>2871</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2415">
        <v>2020</v>
      </c>
      <c r="H6" s="2426">
        <v>2</v>
      </c>
      <c r="I6" s="2388">
        <v>0.31</v>
      </c>
      <c r="J6" s="2388">
        <v>-0.78</v>
      </c>
      <c r="K6" s="2388">
        <v>0.5</v>
      </c>
      <c r="L6" s="2389">
        <v>0.47</v>
      </c>
      <c r="M6" s="2411"/>
      <c r="N6" s="2427">
        <f t="shared" ref="N6" si="18">I6/100</f>
        <v>3.0999999999999999E-3</v>
      </c>
      <c r="O6" s="2412">
        <f t="shared" ref="O6" si="19">J6/100</f>
        <v>-7.8000000000000005E-3</v>
      </c>
      <c r="P6" s="2412">
        <f t="shared" ref="P6" si="20">K6/100</f>
        <v>5.0000000000000001E-3</v>
      </c>
      <c r="Q6" s="2412">
        <f t="shared" ref="Q6" si="21">L6/100</f>
        <v>4.6999999999999993E-3</v>
      </c>
      <c r="R6" s="2428"/>
      <c r="S6" s="2427"/>
      <c r="T6" s="2412"/>
      <c r="U6" s="2412"/>
      <c r="V6" s="2412"/>
      <c r="W6" s="2429"/>
      <c r="X6" s="2429">
        <f>ROUND(IF(项目基本情况!B8="出让",SUMPRODUCT(PRODUCT(1+N6:N$31)),SUMPRODUCT(PRODUCT(1+N6:N$30))),4)</f>
        <v>1.5652999999999999</v>
      </c>
      <c r="Y6" s="2429">
        <f>ROUND(IF(项目基本情况!B8="出让",SUMPRODUCT(PRODUCT(1+O6:O$31)),SUMPRODUCT(PRODUCT(1+O6:O$30))),4)</f>
        <v>1.3472</v>
      </c>
      <c r="Z6" s="2429">
        <f t="shared" ref="Z6" si="22">Y6</f>
        <v>1.3472</v>
      </c>
      <c r="AA6" s="2429">
        <f>ROUND(IF(项目基本情况!B8="出让",SUMPRODUCT(PRODUCT(1+P6:P$31)),SUMPRODUCT(PRODUCT(1+P6:P$30))),4)</f>
        <v>1.6335999999999999</v>
      </c>
      <c r="AB6" s="2429">
        <f>ROUND(IF(项目基本情况!B8="出让",SUMPRODUCT(PRODUCT(1+Q6:Q$31)),SUMPRODUCT(PRODUCT(1+Q6:Q$30))),4)</f>
        <v>1.3880999999999999</v>
      </c>
      <c r="AC6" s="2429"/>
      <c r="AD6" s="2430">
        <f>ROUND(AVERAGE(I6:I$31)/100,4)</f>
        <v>1.8599999999999998E-2</v>
      </c>
      <c r="AE6" s="2430">
        <f>ROUND(AVERAGE(J6:J$31)/100,4)</f>
        <v>1.2500000000000001E-2</v>
      </c>
      <c r="AF6" s="2430">
        <f t="shared" ref="AF6" si="23">AE6</f>
        <v>1.2500000000000001E-2</v>
      </c>
      <c r="AG6" s="2430">
        <f>ROUND(AVERAGE(K6:K$31)/100,4)</f>
        <v>2.0400000000000001E-2</v>
      </c>
      <c r="AH6" s="2430">
        <f>ROUND(AVERAGE(L6:L$31)/100,4)</f>
        <v>1.32E-2</v>
      </c>
    </row>
    <row r="7" spans="1:34" s="2431" customFormat="1">
      <c r="A7" s="2424" t="s">
        <v>2869</v>
      </c>
      <c r="B7" s="2425">
        <f t="shared" ref="B7" si="24">B8*(1+N7)</f>
        <v>479.92259063878413</v>
      </c>
      <c r="C7" s="2425">
        <f t="shared" ref="C7" si="25">C8*(1+O7)</f>
        <v>350.02082268341775</v>
      </c>
      <c r="D7" s="2425">
        <f t="shared" ref="D7" si="26">C7</f>
        <v>350.02082268341775</v>
      </c>
      <c r="E7" s="2425">
        <f t="shared" ref="E7" si="27">E8*(1+P7)</f>
        <v>687.42265944181099</v>
      </c>
      <c r="F7" s="2425">
        <f t="shared" ref="F7" si="28">F8*(1+Q7)</f>
        <v>317.63846657708956</v>
      </c>
      <c r="G7" s="2415">
        <v>2020</v>
      </c>
      <c r="H7" s="2426">
        <v>1</v>
      </c>
      <c r="I7" s="2388">
        <v>0.12</v>
      </c>
      <c r="J7" s="2388">
        <v>-0.4</v>
      </c>
      <c r="K7" s="2388">
        <v>0.21</v>
      </c>
      <c r="L7" s="2389">
        <v>0.27</v>
      </c>
      <c r="M7" s="2411"/>
      <c r="N7" s="2427">
        <f t="shared" ref="N7" si="29">I7/100</f>
        <v>1.1999999999999999E-3</v>
      </c>
      <c r="O7" s="2412">
        <f t="shared" ref="O7" si="30">J7/100</f>
        <v>-4.0000000000000001E-3</v>
      </c>
      <c r="P7" s="2412">
        <f t="shared" ref="P7" si="31">K7/100</f>
        <v>2.0999999999999999E-3</v>
      </c>
      <c r="Q7" s="2412">
        <f t="shared" ref="Q7" si="32">L7/100</f>
        <v>2.7000000000000001E-3</v>
      </c>
      <c r="R7" s="2428"/>
      <c r="S7" s="2427">
        <f>B7/B8-1</f>
        <v>1.2000000000000899E-3</v>
      </c>
      <c r="T7" s="2412">
        <f t="shared" ref="T7" si="33">C7/C8-1</f>
        <v>-4.0000000000000036E-3</v>
      </c>
      <c r="U7" s="2412">
        <f t="shared" ref="U7" si="34">D7/D8-1</f>
        <v>-4.0000000000000036E-3</v>
      </c>
      <c r="V7" s="2412">
        <f t="shared" ref="V7" si="35">E7/E8-1</f>
        <v>2.0999999999999908E-3</v>
      </c>
      <c r="W7" s="2429"/>
      <c r="X7" s="2429">
        <f>ROUND(IF(项目基本情况!B8="出让",SUMPRODUCT(PRODUCT(1+N7:N$31)),SUMPRODUCT(PRODUCT(1+N7:N$30))),4)</f>
        <v>1.5605</v>
      </c>
      <c r="Y7" s="2429">
        <f>ROUND(IF(项目基本情况!B8="出让",SUMPRODUCT(PRODUCT(1+O7:O$31)),SUMPRODUCT(PRODUCT(1+O7:O$30))),4)</f>
        <v>1.3577999999999999</v>
      </c>
      <c r="Z7" s="2429">
        <f t="shared" ref="Z7" si="36">Y7</f>
        <v>1.3577999999999999</v>
      </c>
      <c r="AA7" s="2429">
        <f>ROUND(IF(项目基本情况!B8="出让",SUMPRODUCT(PRODUCT(1+P7:P$31)),SUMPRODUCT(PRODUCT(1+P7:P$30))),4)</f>
        <v>1.6254999999999999</v>
      </c>
      <c r="AB7" s="2429">
        <f>ROUND(IF(项目基本情况!B8="出让",SUMPRODUCT(PRODUCT(1+Q7:Q$31)),SUMPRODUCT(PRODUCT(1+Q7:Q$30))),4)</f>
        <v>1.3815999999999999</v>
      </c>
      <c r="AC7" s="2429"/>
      <c r="AD7" s="2430">
        <f>ROUND(AVERAGE(I7:I$31)/100,4)</f>
        <v>1.9199999999999998E-2</v>
      </c>
      <c r="AE7" s="2430">
        <f>ROUND(AVERAGE(J7:J$31)/100,4)</f>
        <v>1.3299999999999999E-2</v>
      </c>
      <c r="AF7" s="2430">
        <f t="shared" ref="AF7" si="37">AE7</f>
        <v>1.3299999999999999E-2</v>
      </c>
      <c r="AG7" s="2430">
        <f>ROUND(AVERAGE(K7:K$31)/100,4)</f>
        <v>2.1100000000000001E-2</v>
      </c>
      <c r="AH7" s="2430">
        <f>ROUND(AVERAGE(L7:L$31)/100,4)</f>
        <v>1.3599999999999999E-2</v>
      </c>
    </row>
    <row r="8" spans="1:34" s="2431" customFormat="1">
      <c r="A8" s="2424" t="s">
        <v>2868</v>
      </c>
      <c r="B8" s="2425">
        <f t="shared" ref="B8" si="38">B9*(1+N8)</f>
        <v>479.34737379023579</v>
      </c>
      <c r="C8" s="2425">
        <f t="shared" ref="C8" si="39">C9*(1+O8)</f>
        <v>351.4265287986122</v>
      </c>
      <c r="D8" s="2425">
        <f t="shared" ref="D8" si="40">C8</f>
        <v>351.4265287986122</v>
      </c>
      <c r="E8" s="2425">
        <f t="shared" ref="E8" si="41">E9*(1+P8)</f>
        <v>685.98209703803116</v>
      </c>
      <c r="F8" s="2425">
        <f t="shared" ref="F8" si="42">F9*(1+Q8)</f>
        <v>316.78315206651001</v>
      </c>
      <c r="G8" s="2415">
        <v>2019</v>
      </c>
      <c r="H8" s="2426">
        <v>4</v>
      </c>
      <c r="I8" s="2426">
        <v>0.45</v>
      </c>
      <c r="J8" s="2426">
        <v>-0.12</v>
      </c>
      <c r="K8" s="2426">
        <v>0.54</v>
      </c>
      <c r="L8" s="2432">
        <v>0.48</v>
      </c>
      <c r="M8" s="2411"/>
      <c r="N8" s="2427">
        <f t="shared" ref="N8:N13" si="43">I8/100</f>
        <v>4.5000000000000005E-3</v>
      </c>
      <c r="O8" s="2412">
        <f t="shared" ref="O8" si="44">J8/100</f>
        <v>-1.1999999999999999E-3</v>
      </c>
      <c r="P8" s="2412">
        <f t="shared" ref="P8" si="45">K8/100</f>
        <v>5.4000000000000003E-3</v>
      </c>
      <c r="Q8" s="2412">
        <f t="shared" ref="Q8" si="46">L8/100</f>
        <v>4.7999999999999996E-3</v>
      </c>
      <c r="R8" s="2428"/>
      <c r="S8" s="2427"/>
      <c r="T8" s="2412"/>
      <c r="U8" s="2412"/>
      <c r="V8" s="2412"/>
      <c r="W8" s="2429"/>
      <c r="X8" s="2429">
        <f>ROUND(IF(项目基本情况!B8="出让",SUMPRODUCT(PRODUCT(1+N8:N$31)),SUMPRODUCT(PRODUCT(1+N8:N$30))),4)</f>
        <v>1.5586</v>
      </c>
      <c r="Y8" s="2429">
        <f>ROUND(IF(项目基本情况!B8="出让",SUMPRODUCT(PRODUCT(1+O8:O$31)),SUMPRODUCT(PRODUCT(1+O8:O$30))),4)</f>
        <v>1.3633</v>
      </c>
      <c r="Z8" s="2429">
        <f t="shared" ref="Z8" si="47">Y8</f>
        <v>1.3633</v>
      </c>
      <c r="AA8" s="2429">
        <f>ROUND(IF(项目基本情况!B8="出让",SUMPRODUCT(PRODUCT(1+P8:P$31)),SUMPRODUCT(PRODUCT(1+P8:P$30))),4)</f>
        <v>1.6221000000000001</v>
      </c>
      <c r="AB8" s="2429">
        <f>ROUND(IF(项目基本情况!B8="出让",SUMPRODUCT(PRODUCT(1+Q8:Q$31)),SUMPRODUCT(PRODUCT(1+Q8:Q$30))),4)</f>
        <v>1.3777999999999999</v>
      </c>
      <c r="AC8" s="2429"/>
      <c r="AD8" s="2430">
        <f>ROUND(AVERAGE(I8:I$31)/100,4)</f>
        <v>0.02</v>
      </c>
      <c r="AE8" s="2430">
        <f>ROUND(AVERAGE(J8:J$31)/100,4)</f>
        <v>1.4E-2</v>
      </c>
      <c r="AF8" s="2430">
        <f t="shared" ref="AF8" si="48">AE8</f>
        <v>1.4E-2</v>
      </c>
      <c r="AG8" s="2430">
        <f>ROUND(AVERAGE(K8:K$31)/100,4)</f>
        <v>2.1899999999999999E-2</v>
      </c>
      <c r="AH8" s="2430">
        <f>ROUND(AVERAGE(L8:L$31)/100,4)</f>
        <v>1.4E-2</v>
      </c>
    </row>
    <row r="9" spans="1:34" s="2431" customFormat="1" ht="13.5" thickBot="1">
      <c r="A9" s="2424" t="s">
        <v>2867</v>
      </c>
      <c r="B9" s="2425">
        <f t="shared" ref="B9" si="49">B10*(1+N9)</f>
        <v>477.19997390765138</v>
      </c>
      <c r="C9" s="2425">
        <f t="shared" ref="C9" si="50">C10*(1+O9)</f>
        <v>351.84874729536665</v>
      </c>
      <c r="D9" s="2425">
        <f t="shared" ref="D9" si="51">C9</f>
        <v>351.84874729536665</v>
      </c>
      <c r="E9" s="2425">
        <f t="shared" ref="E9" si="52">E10*(1+P9)</f>
        <v>682.29768951465201</v>
      </c>
      <c r="F9" s="2425">
        <f t="shared" ref="F9" si="53">F10*(1+Q9)</f>
        <v>315.26985675409043</v>
      </c>
      <c r="G9" s="2415">
        <v>2019</v>
      </c>
      <c r="H9" s="2426">
        <v>3</v>
      </c>
      <c r="I9" s="2426">
        <v>0.61</v>
      </c>
      <c r="J9" s="2426">
        <v>0.67</v>
      </c>
      <c r="K9" s="2426">
        <v>0.6</v>
      </c>
      <c r="L9" s="2432">
        <v>1.03</v>
      </c>
      <c r="M9" s="2411"/>
      <c r="N9" s="2427">
        <f t="shared" si="43"/>
        <v>6.0999999999999995E-3</v>
      </c>
      <c r="O9" s="2412">
        <f t="shared" ref="O9" si="54">J9/100</f>
        <v>6.7000000000000002E-3</v>
      </c>
      <c r="P9" s="2412">
        <f t="shared" ref="P9" si="55">K9/100</f>
        <v>6.0000000000000001E-3</v>
      </c>
      <c r="Q9" s="2412">
        <f t="shared" ref="Q9" si="56">L9/100</f>
        <v>1.03E-2</v>
      </c>
      <c r="R9" s="2428"/>
      <c r="S9" s="2427"/>
      <c r="T9" s="2412"/>
      <c r="U9" s="2412"/>
      <c r="V9" s="2412"/>
      <c r="W9" s="2429"/>
      <c r="X9" s="2429">
        <f>ROUND(IF(项目基本情况!B8="出让",SUMPRODUCT(PRODUCT(1+N9:N$31)),SUMPRODUCT(PRODUCT(1+N9:N$30))),4)</f>
        <v>1.5516000000000001</v>
      </c>
      <c r="Y9" s="2429">
        <f>ROUND(IF(项目基本情况!B8="出让",SUMPRODUCT(PRODUCT(1+O9:O$31)),SUMPRODUCT(PRODUCT(1+O9:O$30))),4)</f>
        <v>1.3649</v>
      </c>
      <c r="Z9" s="2429">
        <f t="shared" ref="Z9" si="57">Y9</f>
        <v>1.3649</v>
      </c>
      <c r="AA9" s="2429">
        <f>ROUND(IF(项目基本情况!B8="出让",SUMPRODUCT(PRODUCT(1+P9:P$31)),SUMPRODUCT(PRODUCT(1+P9:P$30))),4)</f>
        <v>1.6133999999999999</v>
      </c>
      <c r="AB9" s="2429">
        <f>ROUND(IF(项目基本情况!B8="出让",SUMPRODUCT(PRODUCT(1+Q9:Q$31)),SUMPRODUCT(PRODUCT(1+Q9:Q$30))),4)</f>
        <v>1.3713</v>
      </c>
      <c r="AC9" s="2429"/>
      <c r="AD9" s="2430">
        <f>ROUND(AVERAGE(I9:I$31)/100,4)</f>
        <v>2.07E-2</v>
      </c>
      <c r="AE9" s="2430">
        <f>ROUND(AVERAGE(J9:J$31)/100,4)</f>
        <v>1.47E-2</v>
      </c>
      <c r="AF9" s="2430">
        <f t="shared" ref="AF9" si="58">AE9</f>
        <v>1.47E-2</v>
      </c>
      <c r="AG9" s="2430">
        <f>ROUND(AVERAGE(K9:K$31)/100,4)</f>
        <v>2.2599999999999999E-2</v>
      </c>
      <c r="AH9" s="2430">
        <f>ROUND(AVERAGE(L9:L$31)/100,4)</f>
        <v>1.44E-2</v>
      </c>
    </row>
    <row r="10" spans="1:34" s="2431" customFormat="1">
      <c r="A10" s="2424" t="s">
        <v>2865</v>
      </c>
      <c r="B10" s="2425">
        <f t="shared" ref="B10" si="59">B11*(1+N10)</f>
        <v>474.30670301923408</v>
      </c>
      <c r="C10" s="2425">
        <f t="shared" ref="C10" si="60">C11*(1+O10)</f>
        <v>349.50705005996491</v>
      </c>
      <c r="D10" s="2425">
        <f t="shared" ref="D10" si="61">C10</f>
        <v>349.50705005996491</v>
      </c>
      <c r="E10" s="2425">
        <f t="shared" ref="E10" si="62">E11*(1+P10)</f>
        <v>678.22831959706957</v>
      </c>
      <c r="F10" s="2425">
        <f t="shared" ref="F10" si="63">F11*(1+Q10)</f>
        <v>312.0556832169558</v>
      </c>
      <c r="G10" s="2415">
        <v>2019</v>
      </c>
      <c r="H10" s="2433">
        <v>2</v>
      </c>
      <c r="I10" s="2433">
        <v>1.53</v>
      </c>
      <c r="J10" s="2433">
        <v>1.01</v>
      </c>
      <c r="K10" s="2433">
        <v>1.62</v>
      </c>
      <c r="L10" s="2434">
        <v>1.25</v>
      </c>
      <c r="M10" s="2411"/>
      <c r="N10" s="2427">
        <f t="shared" si="43"/>
        <v>1.5300000000000001E-2</v>
      </c>
      <c r="O10" s="2412">
        <f t="shared" ref="O10" si="64">J10/100</f>
        <v>1.01E-2</v>
      </c>
      <c r="P10" s="2412">
        <f t="shared" ref="P10" si="65">K10/100</f>
        <v>1.6200000000000003E-2</v>
      </c>
      <c r="Q10" s="2412">
        <f t="shared" ref="Q10" si="66">L10/100</f>
        <v>1.2500000000000001E-2</v>
      </c>
      <c r="R10" s="2428"/>
      <c r="S10" s="2427"/>
      <c r="T10" s="2412"/>
      <c r="U10" s="2412"/>
      <c r="V10" s="2412"/>
      <c r="W10" s="2429"/>
      <c r="X10" s="2429">
        <f>ROUND(IF(项目基本情况!B8="出让",SUMPRODUCT(PRODUCT(1+N10:N$31)),SUMPRODUCT(PRODUCT(1+N10:N$30))),4)</f>
        <v>1.5422</v>
      </c>
      <c r="Y10" s="2429">
        <f>ROUND(IF(项目基本情况!B8="出让",SUMPRODUCT(PRODUCT(1+O10:O$31)),SUMPRODUCT(PRODUCT(1+O10:O$30))),4)</f>
        <v>1.3557999999999999</v>
      </c>
      <c r="Z10" s="2429">
        <f t="shared" ref="Z10" si="67">Y10</f>
        <v>1.3557999999999999</v>
      </c>
      <c r="AA10" s="2429">
        <f>ROUND(IF(项目基本情况!B8="出让",SUMPRODUCT(PRODUCT(1+P10:P$31)),SUMPRODUCT(PRODUCT(1+P10:P$30))),4)</f>
        <v>1.6036999999999999</v>
      </c>
      <c r="AB10" s="2429">
        <f>ROUND(IF(项目基本情况!B8="出让",SUMPRODUCT(PRODUCT(1+Q10:Q$31)),SUMPRODUCT(PRODUCT(1+Q10:Q$30))),4)</f>
        <v>1.3573</v>
      </c>
      <c r="AC10" s="2429"/>
      <c r="AD10" s="2430">
        <f>ROUND(AVERAGE(I10:I$31)/100,4)</f>
        <v>2.1299999999999999E-2</v>
      </c>
      <c r="AE10" s="2430">
        <f>ROUND(AVERAGE(J10:J$31)/100,4)</f>
        <v>1.4999999999999999E-2</v>
      </c>
      <c r="AF10" s="2430">
        <f t="shared" ref="AF10" si="68">AE10</f>
        <v>1.4999999999999999E-2</v>
      </c>
      <c r="AG10" s="2430">
        <f>ROUND(AVERAGE(K10:K$31)/100,4)</f>
        <v>2.3300000000000001E-2</v>
      </c>
      <c r="AH10" s="2430">
        <f>ROUND(AVERAGE(L10:L$31)/100,4)</f>
        <v>1.46E-2</v>
      </c>
    </row>
    <row r="11" spans="1:34" s="2431" customFormat="1" ht="13.5" thickBot="1">
      <c r="A11" s="2424" t="s">
        <v>2863</v>
      </c>
      <c r="B11" s="2425">
        <f t="shared" ref="B11" si="69">B12*(1+N11)</f>
        <v>467.15916775261894</v>
      </c>
      <c r="C11" s="2425">
        <f t="shared" ref="C11" si="70">C12*(1+O11)</f>
        <v>346.01232557169084</v>
      </c>
      <c r="D11" s="2425">
        <f t="shared" ref="D11" si="71">C11</f>
        <v>346.01232557169084</v>
      </c>
      <c r="E11" s="2425">
        <f t="shared" ref="E11" si="72">E12*(1+P11)</f>
        <v>667.41617752122568</v>
      </c>
      <c r="F11" s="2425">
        <f t="shared" ref="F11" si="73">F12*(1+Q11)</f>
        <v>308.20314391798104</v>
      </c>
      <c r="G11" s="2415">
        <v>2019</v>
      </c>
      <c r="H11" s="2426">
        <v>1</v>
      </c>
      <c r="I11" s="2426">
        <v>0.6</v>
      </c>
      <c r="J11" s="2426">
        <v>0.37</v>
      </c>
      <c r="K11" s="2426">
        <v>0.63</v>
      </c>
      <c r="L11" s="2432">
        <v>1.1299999999999999</v>
      </c>
      <c r="M11" s="2411"/>
      <c r="N11" s="2427">
        <f t="shared" si="43"/>
        <v>6.0000000000000001E-3</v>
      </c>
      <c r="O11" s="2412">
        <f t="shared" ref="O11" si="74">J11/100</f>
        <v>3.7000000000000002E-3</v>
      </c>
      <c r="P11" s="2412">
        <f t="shared" ref="P11" si="75">K11/100</f>
        <v>6.3E-3</v>
      </c>
      <c r="Q11" s="2412">
        <f t="shared" ref="Q11" si="76">L11/100</f>
        <v>1.1299999999999999E-2</v>
      </c>
      <c r="R11" s="2428"/>
      <c r="S11" s="2427">
        <f>B11/B12-1</f>
        <v>6.0000000000000053E-3</v>
      </c>
      <c r="T11" s="2412">
        <f t="shared" ref="T11" si="77">C11/C12-1</f>
        <v>3.7000000000000366E-3</v>
      </c>
      <c r="U11" s="2412">
        <f t="shared" ref="U11" si="78">D11/D12-1</f>
        <v>3.7000000000000366E-3</v>
      </c>
      <c r="V11" s="2412">
        <f t="shared" ref="V11" si="79">E11/E12-1</f>
        <v>6.2999999999999723E-3</v>
      </c>
      <c r="W11" s="2429"/>
      <c r="X11" s="2429">
        <f>ROUND(IF(项目基本情况!B8="出让",SUMPRODUCT(PRODUCT(1+N11:N$31)),SUMPRODUCT(PRODUCT(1+N11:N$30))),4)</f>
        <v>1.5189999999999999</v>
      </c>
      <c r="Y11" s="2429">
        <f>ROUND(IF(项目基本情况!B8="出让",SUMPRODUCT(PRODUCT(1+O11:O$31)),SUMPRODUCT(PRODUCT(1+O11:O$30))),4)</f>
        <v>1.3423</v>
      </c>
      <c r="Z11" s="2429">
        <f t="shared" ref="Z11" si="80">Y11</f>
        <v>1.3423</v>
      </c>
      <c r="AA11" s="2429">
        <f>ROUND(IF(项目基本情况!B8="出让",SUMPRODUCT(PRODUCT(1+P11:P$31)),SUMPRODUCT(PRODUCT(1+P11:P$30))),4)</f>
        <v>1.5782</v>
      </c>
      <c r="AB11" s="2429">
        <f>ROUND(IF(项目基本情况!B8="出让",SUMPRODUCT(PRODUCT(1+Q11:Q$31)),SUMPRODUCT(PRODUCT(1+Q11:Q$30))),4)</f>
        <v>1.3405</v>
      </c>
      <c r="AC11" s="2429"/>
      <c r="AD11" s="2430">
        <f>ROUND(AVERAGE(I11:I$31)/100,4)</f>
        <v>2.1600000000000001E-2</v>
      </c>
      <c r="AE11" s="2430">
        <f>ROUND(AVERAGE(J11:J$31)/100,4)</f>
        <v>1.5299999999999999E-2</v>
      </c>
      <c r="AF11" s="2430">
        <f t="shared" ref="AF11" si="81">AE11</f>
        <v>1.5299999999999999E-2</v>
      </c>
      <c r="AG11" s="2430">
        <f>ROUND(AVERAGE(K11:K$31)/100,4)</f>
        <v>2.3699999999999999E-2</v>
      </c>
      <c r="AH11" s="2430">
        <f>ROUND(AVERAGE(L11:L$31)/100,4)</f>
        <v>1.47E-2</v>
      </c>
    </row>
    <row r="12" spans="1:34" s="2431" customFormat="1">
      <c r="A12" s="2424" t="s">
        <v>2866</v>
      </c>
      <c r="B12" s="2435">
        <f t="shared" ref="B12" si="82">B13*(1+N12)</f>
        <v>464.37293017158942</v>
      </c>
      <c r="C12" s="2435">
        <f t="shared" ref="C12" si="83">C13*(1+O12)</f>
        <v>344.73679941385956</v>
      </c>
      <c r="D12" s="2435">
        <f t="shared" ref="D12" si="84">C12</f>
        <v>344.73679941385956</v>
      </c>
      <c r="E12" s="2435">
        <f t="shared" ref="E12" si="85">E13*(1+P12)</f>
        <v>663.2377795103107</v>
      </c>
      <c r="F12" s="2436">
        <f t="shared" ref="F12" si="86">F13*(1+Q12)</f>
        <v>304.75936311478398</v>
      </c>
      <c r="G12" s="3420">
        <v>2018</v>
      </c>
      <c r="H12" s="2433">
        <v>4</v>
      </c>
      <c r="I12" s="2433">
        <v>0.96</v>
      </c>
      <c r="J12" s="2433">
        <v>1.03</v>
      </c>
      <c r="K12" s="2433">
        <v>0.92</v>
      </c>
      <c r="L12" s="2434">
        <v>1.29</v>
      </c>
      <c r="M12" s="2411"/>
      <c r="N12" s="2427">
        <f t="shared" si="43"/>
        <v>9.5999999999999992E-3</v>
      </c>
      <c r="O12" s="2412">
        <f t="shared" ref="O12" si="87">J12/100</f>
        <v>1.03E-2</v>
      </c>
      <c r="P12" s="2412">
        <f t="shared" ref="P12" si="88">K12/100</f>
        <v>9.1999999999999998E-3</v>
      </c>
      <c r="Q12" s="2412">
        <f t="shared" ref="Q12" si="89">L12/100</f>
        <v>1.29E-2</v>
      </c>
      <c r="R12" s="2428"/>
      <c r="S12" s="2427"/>
      <c r="T12" s="2412"/>
      <c r="U12" s="2412"/>
      <c r="V12" s="2412"/>
      <c r="W12" s="2429"/>
      <c r="X12" s="2429">
        <f>ROUND(SUMPRODUCT(PRODUCT(1+N12:N$30)),4)</f>
        <v>1.5099</v>
      </c>
      <c r="Y12" s="2429">
        <f>ROUND(SUMPRODUCT(PRODUCT(1+O12:O$30)),4)</f>
        <v>1.3372999999999999</v>
      </c>
      <c r="Z12" s="2429">
        <f t="shared" ref="Z12" si="90">Y12</f>
        <v>1.3372999999999999</v>
      </c>
      <c r="AA12" s="2429">
        <f>ROUND(SUMPRODUCT(PRODUCT(1+P12:P$30)),4)</f>
        <v>1.5683</v>
      </c>
      <c r="AB12" s="2429">
        <f>ROUND(SUMPRODUCT(PRODUCT(1+Q12:Q$30)),4)</f>
        <v>1.3255999999999999</v>
      </c>
      <c r="AC12" s="2429"/>
      <c r="AD12" s="2430">
        <f>ROUND(AVERAGE(I12:I$31)/100,4)</f>
        <v>2.24E-2</v>
      </c>
      <c r="AE12" s="2430">
        <f>ROUND(AVERAGE(J12:J$31)/100,4)</f>
        <v>1.5800000000000002E-2</v>
      </c>
      <c r="AF12" s="2430">
        <f t="shared" ref="AF12" si="91">AE12</f>
        <v>1.5800000000000002E-2</v>
      </c>
      <c r="AG12" s="2430">
        <f>ROUND(AVERAGE(K12:K$31)/100,4)</f>
        <v>2.4500000000000001E-2</v>
      </c>
      <c r="AH12" s="2430">
        <f>ROUND(AVERAGE(L12:L$31)/100,4)</f>
        <v>1.49E-2</v>
      </c>
    </row>
    <row r="13" spans="1:34" s="2431" customFormat="1" ht="14.45" customHeight="1">
      <c r="A13" s="2424" t="s">
        <v>2861</v>
      </c>
      <c r="B13" s="2425">
        <f t="shared" ref="B13" si="92">B14*(1+N13)</f>
        <v>459.95733971036987</v>
      </c>
      <c r="C13" s="2425">
        <f t="shared" ref="C13" si="93">C14*(1+O13)</f>
        <v>341.22221064422405</v>
      </c>
      <c r="D13" s="2425">
        <f t="shared" ref="D13" si="94">C13</f>
        <v>341.22221064422405</v>
      </c>
      <c r="E13" s="2425">
        <f t="shared" ref="E13" si="95">E14*(1+P13)</f>
        <v>657.19161663724799</v>
      </c>
      <c r="F13" s="2425">
        <f t="shared" ref="F13" si="96">F14*(1+Q13)</f>
        <v>300.87803644464805</v>
      </c>
      <c r="G13" s="3420"/>
      <c r="H13" s="2426">
        <v>3</v>
      </c>
      <c r="I13" s="2426">
        <v>1.51</v>
      </c>
      <c r="J13" s="2426">
        <v>1.41</v>
      </c>
      <c r="K13" s="2426">
        <v>1.52</v>
      </c>
      <c r="L13" s="2432">
        <v>1.74</v>
      </c>
      <c r="M13" s="2411"/>
      <c r="N13" s="2427">
        <f t="shared" si="43"/>
        <v>1.5100000000000001E-2</v>
      </c>
      <c r="O13" s="2412">
        <f t="shared" ref="O13" si="97">J13/100</f>
        <v>1.41E-2</v>
      </c>
      <c r="P13" s="2412">
        <f t="shared" ref="P13" si="98">K13/100</f>
        <v>1.52E-2</v>
      </c>
      <c r="Q13" s="2412">
        <f t="shared" ref="Q13" si="99">L13/100</f>
        <v>1.7399999999999999E-2</v>
      </c>
      <c r="R13" s="2428"/>
      <c r="S13" s="2427"/>
      <c r="T13" s="2412"/>
      <c r="U13" s="2412"/>
      <c r="V13" s="2412"/>
      <c r="W13" s="2429"/>
      <c r="X13" s="2429">
        <f>ROUND(SUMPRODUCT(PRODUCT(1+N13:N$30)),4)</f>
        <v>1.4956</v>
      </c>
      <c r="Y13" s="2429">
        <f>ROUND(SUMPRODUCT(PRODUCT(1+O13:O$30)),4)</f>
        <v>1.3237000000000001</v>
      </c>
      <c r="Z13" s="2429">
        <f t="shared" ref="Z13" si="100">Y13</f>
        <v>1.3237000000000001</v>
      </c>
      <c r="AA13" s="2429">
        <f>ROUND(SUMPRODUCT(PRODUCT(1+P13:P$30)),4)</f>
        <v>1.554</v>
      </c>
      <c r="AB13" s="2429">
        <f>ROUND(SUMPRODUCT(PRODUCT(1+Q13:Q$30)),4)</f>
        <v>1.3087</v>
      </c>
      <c r="AC13" s="2429"/>
      <c r="AD13" s="2430">
        <f>ROUND(AVERAGE(I13:I$31)/100,4)</f>
        <v>2.3099999999999999E-2</v>
      </c>
      <c r="AE13" s="2430">
        <f>ROUND(AVERAGE(J13:J$31)/100,4)</f>
        <v>1.61E-2</v>
      </c>
      <c r="AF13" s="2430">
        <f t="shared" ref="AF13" si="101">AE13</f>
        <v>1.61E-2</v>
      </c>
      <c r="AG13" s="2430">
        <f>ROUND(AVERAGE(K13:K$31)/100,4)</f>
        <v>2.53E-2</v>
      </c>
      <c r="AH13" s="2430">
        <f>ROUND(AVERAGE(L13:L$31)/100,4)</f>
        <v>1.4999999999999999E-2</v>
      </c>
    </row>
    <row r="14" spans="1:34" s="2431" customFormat="1" ht="14.45" customHeight="1">
      <c r="A14" s="2424" t="s">
        <v>2860</v>
      </c>
      <c r="B14" s="2425">
        <f t="shared" ref="B14" si="102">B15*(1+N14)</f>
        <v>453.11529869999993</v>
      </c>
      <c r="C14" s="2425">
        <f t="shared" ref="C14" si="103">C15*(1+O14)</f>
        <v>336.47787264000004</v>
      </c>
      <c r="D14" s="2425">
        <f t="shared" ref="D14" si="104">C14</f>
        <v>336.47787264000004</v>
      </c>
      <c r="E14" s="2425">
        <f t="shared" ref="E14" si="105">E15*(1+P14)</f>
        <v>647.35186823999993</v>
      </c>
      <c r="F14" s="2425">
        <f t="shared" ref="F14" si="106">F15*(1+Q14)</f>
        <v>295.73229452000004</v>
      </c>
      <c r="G14" s="3420"/>
      <c r="H14" s="2437">
        <v>2</v>
      </c>
      <c r="I14" s="2437">
        <v>1.49</v>
      </c>
      <c r="J14" s="2437">
        <v>0.96</v>
      </c>
      <c r="K14" s="2437">
        <v>1.58</v>
      </c>
      <c r="L14" s="2438">
        <v>2.44</v>
      </c>
      <c r="M14" s="2411"/>
      <c r="N14" s="2427">
        <f t="shared" ref="N14" si="107">I14/100</f>
        <v>1.49E-2</v>
      </c>
      <c r="O14" s="2412">
        <f t="shared" ref="O14" si="108">J14/100</f>
        <v>9.5999999999999992E-3</v>
      </c>
      <c r="P14" s="2412">
        <f t="shared" ref="P14" si="109">K14/100</f>
        <v>1.5800000000000002E-2</v>
      </c>
      <c r="Q14" s="2412">
        <f t="shared" ref="Q14" si="110">L14/100</f>
        <v>2.4399999999999998E-2</v>
      </c>
      <c r="R14" s="2428"/>
      <c r="S14" s="2427"/>
      <c r="T14" s="2412"/>
      <c r="U14" s="2412"/>
      <c r="V14" s="2412"/>
      <c r="W14" s="2429"/>
      <c r="X14" s="2429">
        <f>ROUND(SUMPRODUCT(PRODUCT(1+N14:N$30)),4)</f>
        <v>1.4733000000000001</v>
      </c>
      <c r="Y14" s="2429">
        <f>ROUND(SUMPRODUCT(PRODUCT(1+O14:O$30)),4)</f>
        <v>1.3052999999999999</v>
      </c>
      <c r="Z14" s="2429">
        <f t="shared" ref="Z14" si="111">Y14</f>
        <v>1.3052999999999999</v>
      </c>
      <c r="AA14" s="2429">
        <f>ROUND(SUMPRODUCT(PRODUCT(1+P14:P$30)),4)</f>
        <v>1.5306999999999999</v>
      </c>
      <c r="AB14" s="2429">
        <f>ROUND(SUMPRODUCT(PRODUCT(1+Q14:Q$30)),4)</f>
        <v>1.2863</v>
      </c>
      <c r="AC14" s="2429"/>
      <c r="AD14" s="2430">
        <f>ROUND(AVERAGE(I14:I$31)/100,4)</f>
        <v>2.35E-2</v>
      </c>
      <c r="AE14" s="2430">
        <f>ROUND(AVERAGE(J14:J$31)/100,4)</f>
        <v>1.6199999999999999E-2</v>
      </c>
      <c r="AF14" s="2430">
        <f t="shared" ref="AF14" si="112">AE14</f>
        <v>1.6199999999999999E-2</v>
      </c>
      <c r="AG14" s="2430">
        <f>ROUND(AVERAGE(K14:K$31)/100,4)</f>
        <v>2.5899999999999999E-2</v>
      </c>
      <c r="AH14" s="2430">
        <f>ROUND(AVERAGE(L14:L$31)/100,4)</f>
        <v>1.49E-2</v>
      </c>
    </row>
    <row r="15" spans="1:34" s="2431" customFormat="1" ht="15" customHeight="1" thickBot="1">
      <c r="A15" s="2424" t="s">
        <v>2853</v>
      </c>
      <c r="B15" s="2425">
        <f t="shared" ref="B15" si="113">B16*(1+N15)</f>
        <v>446.46299999999997</v>
      </c>
      <c r="C15" s="2425">
        <f t="shared" ref="C15" si="114">C16*(1+O15)</f>
        <v>333.27840000000003</v>
      </c>
      <c r="D15" s="2425">
        <f t="shared" ref="D15" si="115">C15</f>
        <v>333.27840000000003</v>
      </c>
      <c r="E15" s="2425">
        <f t="shared" ref="E15" si="116">E16*(1+P15)</f>
        <v>637.28279999999995</v>
      </c>
      <c r="F15" s="2425">
        <f t="shared" ref="F15" si="117">F16*(1+Q15)</f>
        <v>288.68830000000003</v>
      </c>
      <c r="G15" s="3427"/>
      <c r="H15" s="2426">
        <v>1</v>
      </c>
      <c r="I15" s="2426">
        <v>1.7</v>
      </c>
      <c r="J15" s="2426">
        <v>1.92</v>
      </c>
      <c r="K15" s="2426">
        <v>1.64</v>
      </c>
      <c r="L15" s="2432">
        <v>2.0099999999999998</v>
      </c>
      <c r="M15" s="2411"/>
      <c r="N15" s="2427">
        <f t="shared" ref="N15:N20" si="118">I15/100</f>
        <v>1.7000000000000001E-2</v>
      </c>
      <c r="O15" s="2412">
        <f t="shared" ref="O15" si="119">J15/100</f>
        <v>1.9199999999999998E-2</v>
      </c>
      <c r="P15" s="2412">
        <f t="shared" ref="P15" si="120">K15/100</f>
        <v>1.6399999999999998E-2</v>
      </c>
      <c r="Q15" s="2412">
        <f t="shared" ref="Q15" si="121">L15/100</f>
        <v>2.0099999999999996E-2</v>
      </c>
      <c r="R15" s="2428"/>
      <c r="S15" s="2427">
        <f>B15/B16-1</f>
        <v>1.6999999999999904E-2</v>
      </c>
      <c r="T15" s="2412">
        <f t="shared" ref="T15" si="122">C15/C16-1</f>
        <v>1.9200000000000106E-2</v>
      </c>
      <c r="U15" s="2412">
        <f t="shared" ref="U15" si="123">D15/D16-1</f>
        <v>1.9200000000000106E-2</v>
      </c>
      <c r="V15" s="2412">
        <f t="shared" ref="V15" si="124">E15/E16-1</f>
        <v>1.639999999999997E-2</v>
      </c>
      <c r="W15" s="2429"/>
      <c r="X15" s="2429">
        <f>ROUND(SUMPRODUCT(PRODUCT(1+N15:N$30)),4)</f>
        <v>1.4517</v>
      </c>
      <c r="Y15" s="2429">
        <f>ROUND(SUMPRODUCT(PRODUCT(1+O15:O$30)),4)</f>
        <v>1.2928999999999999</v>
      </c>
      <c r="Z15" s="2429">
        <f t="shared" ref="Z15" si="125">Y15</f>
        <v>1.2928999999999999</v>
      </c>
      <c r="AA15" s="2429">
        <f>ROUND(SUMPRODUCT(PRODUCT(1+P15:P$30)),4)</f>
        <v>1.5068999999999999</v>
      </c>
      <c r="AB15" s="2429">
        <f>ROUND(SUMPRODUCT(PRODUCT(1+Q15:Q$30)),4)</f>
        <v>1.2557</v>
      </c>
      <c r="AC15" s="2429"/>
      <c r="AD15" s="2430">
        <f>ROUND(AVERAGE(I15:I$31)/100,4)</f>
        <v>2.4E-2</v>
      </c>
      <c r="AE15" s="2430">
        <f>ROUND(AVERAGE(J15:J$31)/100,4)</f>
        <v>1.66E-2</v>
      </c>
      <c r="AF15" s="2430">
        <f t="shared" ref="AF15" si="126">AE15</f>
        <v>1.66E-2</v>
      </c>
      <c r="AG15" s="2430">
        <f>ROUND(AVERAGE(K15:K$31)/100,4)</f>
        <v>2.6499999999999999E-2</v>
      </c>
      <c r="AH15" s="2430">
        <f>ROUND(AVERAGE(L15:L$31)/100,4)</f>
        <v>1.43E-2</v>
      </c>
    </row>
    <row r="16" spans="1:34">
      <c r="A16" s="2424" t="s">
        <v>2851</v>
      </c>
      <c r="B16" s="2439">
        <v>439</v>
      </c>
      <c r="C16" s="2439">
        <v>327</v>
      </c>
      <c r="D16" s="2439">
        <f>C16</f>
        <v>327</v>
      </c>
      <c r="E16" s="2439">
        <v>627</v>
      </c>
      <c r="F16" s="2440">
        <v>283</v>
      </c>
      <c r="G16" s="3423">
        <v>2017</v>
      </c>
      <c r="H16" s="2433">
        <v>4</v>
      </c>
      <c r="I16" s="2433">
        <v>1.71</v>
      </c>
      <c r="J16" s="2433">
        <v>1.78</v>
      </c>
      <c r="K16" s="2433">
        <v>1.71</v>
      </c>
      <c r="L16" s="2434">
        <v>1.43</v>
      </c>
      <c r="N16" s="2427">
        <f t="shared" si="118"/>
        <v>1.7100000000000001E-2</v>
      </c>
      <c r="O16" s="2412">
        <f t="shared" ref="O16" si="127">J16/100</f>
        <v>1.78E-2</v>
      </c>
      <c r="P16" s="2412">
        <f t="shared" ref="P16" si="128">K16/100</f>
        <v>1.7100000000000001E-2</v>
      </c>
      <c r="Q16" s="2412">
        <f t="shared" ref="Q16" si="129">L16/100</f>
        <v>1.43E-2</v>
      </c>
      <c r="R16" s="2428"/>
      <c r="S16" s="2441"/>
      <c r="T16" s="2442"/>
      <c r="U16" s="2442"/>
      <c r="V16" s="2442"/>
      <c r="X16" s="2411">
        <f>ROUND(SUMPRODUCT(PRODUCT(1+N16:N$30)),4)</f>
        <v>1.4274</v>
      </c>
      <c r="Y16" s="2411">
        <f>ROUND(SUMPRODUCT(PRODUCT(1+O16:O$30)),4)</f>
        <v>1.2685</v>
      </c>
      <c r="Z16" s="2411">
        <f t="shared" si="0"/>
        <v>1.2685</v>
      </c>
      <c r="AA16" s="2411">
        <f>ROUND(SUMPRODUCT(PRODUCT(1+P16:P$30)),4)</f>
        <v>1.4825999999999999</v>
      </c>
      <c r="AB16" s="2411">
        <f>ROUND(SUMPRODUCT(PRODUCT(1+Q16:Q$30)),4)</f>
        <v>1.2309000000000001</v>
      </c>
      <c r="AD16" s="2412">
        <f>ROUND(AVERAGE(I16:I$31)/100,4)</f>
        <v>2.4500000000000001E-2</v>
      </c>
      <c r="AE16" s="2412">
        <f>ROUND(AVERAGE(J16:J$31)/100,4)</f>
        <v>1.6500000000000001E-2</v>
      </c>
      <c r="AF16" s="2412">
        <f t="shared" si="1"/>
        <v>1.6500000000000001E-2</v>
      </c>
      <c r="AG16" s="2412">
        <f>ROUND(AVERAGE(K16:K$31)/100,4)</f>
        <v>2.7099999999999999E-2</v>
      </c>
      <c r="AH16" s="2412">
        <f>ROUND(AVERAGE(L16:L$31)/100,4)</f>
        <v>1.3899999999999999E-2</v>
      </c>
    </row>
    <row r="17" spans="1:34" s="2431" customFormat="1" ht="14.45" customHeight="1">
      <c r="A17" s="2424" t="s">
        <v>2852</v>
      </c>
      <c r="B17" s="2425">
        <f t="shared" ref="B17:B18" si="130">B18*(1+N17)</f>
        <v>431.80730811680002</v>
      </c>
      <c r="C17" s="2425">
        <f t="shared" ref="C17:C18" si="131">C18*(1+O17)</f>
        <v>320.57880516480003</v>
      </c>
      <c r="D17" s="2425">
        <f t="shared" ref="D17:D18" si="132">C17</f>
        <v>320.57880516480003</v>
      </c>
      <c r="E17" s="2425">
        <f t="shared" ref="E17:E18" si="133">E18*(1+P17)</f>
        <v>615.96110553196797</v>
      </c>
      <c r="F17" s="2425">
        <f t="shared" ref="F17:F18" si="134">F18*(1+Q17)</f>
        <v>279.46777300108801</v>
      </c>
      <c r="G17" s="3420"/>
      <c r="H17" s="2426">
        <v>3</v>
      </c>
      <c r="I17" s="2426">
        <v>2.98</v>
      </c>
      <c r="J17" s="2426">
        <v>2.11</v>
      </c>
      <c r="K17" s="2426">
        <v>3.24</v>
      </c>
      <c r="L17" s="2432">
        <v>1.72</v>
      </c>
      <c r="M17" s="2411"/>
      <c r="N17" s="2427">
        <f t="shared" si="118"/>
        <v>2.98E-2</v>
      </c>
      <c r="O17" s="2412">
        <f t="shared" ref="O17" si="135">J17/100</f>
        <v>2.1099999999999997E-2</v>
      </c>
      <c r="P17" s="2412">
        <f t="shared" ref="P17" si="136">K17/100</f>
        <v>3.2400000000000005E-2</v>
      </c>
      <c r="Q17" s="2412">
        <f t="shared" ref="Q17" si="137">L17/100</f>
        <v>1.72E-2</v>
      </c>
      <c r="R17" s="2428"/>
      <c r="S17" s="2427"/>
      <c r="T17" s="2412"/>
      <c r="U17" s="2412"/>
      <c r="V17" s="2412"/>
      <c r="W17" s="2429"/>
      <c r="X17" s="2429">
        <f>ROUND(SUMPRODUCT(PRODUCT(1+N17:N$30)),4)</f>
        <v>1.4034</v>
      </c>
      <c r="Y17" s="2429">
        <f>ROUND(SUMPRODUCT(PRODUCT(1+O17:O$30)),4)</f>
        <v>1.2463</v>
      </c>
      <c r="Z17" s="2429">
        <f t="shared" si="0"/>
        <v>1.2463</v>
      </c>
      <c r="AA17" s="2429">
        <f>ROUND(SUMPRODUCT(PRODUCT(1+P17:P$30)),4)</f>
        <v>1.4577</v>
      </c>
      <c r="AB17" s="2429">
        <f>ROUND(SUMPRODUCT(PRODUCT(1+Q17:Q$30)),4)</f>
        <v>1.2136</v>
      </c>
      <c r="AC17" s="2429"/>
      <c r="AD17" s="2430">
        <f>ROUND(AVERAGE(I17:I$31)/100,4)</f>
        <v>2.4899999999999999E-2</v>
      </c>
      <c r="AE17" s="2430">
        <f>ROUND(AVERAGE(J17:J$31)/100,4)</f>
        <v>1.6400000000000001E-2</v>
      </c>
      <c r="AF17" s="2430">
        <f t="shared" si="1"/>
        <v>1.6400000000000001E-2</v>
      </c>
      <c r="AG17" s="2430">
        <f>ROUND(AVERAGE(K17:K$31)/100,4)</f>
        <v>2.7799999999999998E-2</v>
      </c>
      <c r="AH17" s="2430">
        <f>ROUND(AVERAGE(L17:L$31)/100,4)</f>
        <v>1.3899999999999999E-2</v>
      </c>
    </row>
    <row r="18" spans="1:34" s="2418" customFormat="1" ht="14.45" customHeight="1">
      <c r="A18" s="2424" t="s">
        <v>1351</v>
      </c>
      <c r="B18" s="2425">
        <f t="shared" si="130"/>
        <v>419.31181600000002</v>
      </c>
      <c r="C18" s="2425">
        <f t="shared" si="131"/>
        <v>313.95436800000004</v>
      </c>
      <c r="D18" s="2425">
        <f t="shared" si="132"/>
        <v>313.95436800000004</v>
      </c>
      <c r="E18" s="2425">
        <f t="shared" si="133"/>
        <v>596.63028431999999</v>
      </c>
      <c r="F18" s="2425">
        <f t="shared" si="134"/>
        <v>274.74220703999998</v>
      </c>
      <c r="G18" s="3420"/>
      <c r="H18" s="2437">
        <v>2</v>
      </c>
      <c r="I18" s="2437">
        <v>3.4</v>
      </c>
      <c r="J18" s="2437">
        <v>2</v>
      </c>
      <c r="K18" s="2437">
        <v>3.82</v>
      </c>
      <c r="L18" s="2438">
        <v>1.68</v>
      </c>
      <c r="M18" s="2411"/>
      <c r="N18" s="2427">
        <f t="shared" si="118"/>
        <v>3.4000000000000002E-2</v>
      </c>
      <c r="O18" s="2412">
        <f t="shared" ref="O18" si="138">J18/100</f>
        <v>0.02</v>
      </c>
      <c r="P18" s="2412">
        <f t="shared" ref="P18" si="139">K18/100</f>
        <v>3.8199999999999998E-2</v>
      </c>
      <c r="Q18" s="2412">
        <f t="shared" ref="Q18" si="140">L18/100</f>
        <v>1.6799999999999999E-2</v>
      </c>
      <c r="R18" s="2428"/>
      <c r="S18" s="2441"/>
      <c r="T18" s="2442"/>
      <c r="U18" s="2442"/>
      <c r="V18" s="2442"/>
      <c r="W18" s="2405"/>
      <c r="X18" s="2429">
        <f>ROUND(SUMPRODUCT(PRODUCT(1+N18:N$30)),4)</f>
        <v>1.3628</v>
      </c>
      <c r="Y18" s="2429">
        <f>ROUND(SUMPRODUCT(PRODUCT(1+O18:O$30)),4)</f>
        <v>1.2205999999999999</v>
      </c>
      <c r="Z18" s="2429">
        <f t="shared" si="0"/>
        <v>1.2205999999999999</v>
      </c>
      <c r="AA18" s="2429">
        <f>ROUND(SUMPRODUCT(PRODUCT(1+P18:P$30)),4)</f>
        <v>1.4118999999999999</v>
      </c>
      <c r="AB18" s="2429">
        <f>ROUND(SUMPRODUCT(PRODUCT(1+Q18:Q$30)),4)</f>
        <v>1.1930000000000001</v>
      </c>
      <c r="AC18" s="2405"/>
      <c r="AD18" s="2430">
        <f>ROUND(AVERAGE(I18:I$31)/100,4)</f>
        <v>2.46E-2</v>
      </c>
      <c r="AE18" s="2430">
        <f>ROUND(AVERAGE(J18:J$31)/100,4)</f>
        <v>1.6E-2</v>
      </c>
      <c r="AF18" s="2430">
        <f t="shared" si="1"/>
        <v>1.6E-2</v>
      </c>
      <c r="AG18" s="2430">
        <f>ROUND(AVERAGE(K18:K$31)/100,4)</f>
        <v>2.75E-2</v>
      </c>
      <c r="AH18" s="2430">
        <f>ROUND(AVERAGE(L18:L$31)/100,4)</f>
        <v>1.37E-2</v>
      </c>
    </row>
    <row r="19" spans="1:34" s="2431" customFormat="1" ht="15" customHeight="1" thickBot="1">
      <c r="A19" s="2424" t="s">
        <v>1128</v>
      </c>
      <c r="B19" s="2425">
        <f>B20*(1+N19)</f>
        <v>405.524</v>
      </c>
      <c r="C19" s="2425">
        <f>C20*(1+O19)</f>
        <v>307.79840000000002</v>
      </c>
      <c r="D19" s="2425">
        <f>C19</f>
        <v>307.79840000000002</v>
      </c>
      <c r="E19" s="2425">
        <f>E20*(1+P19)</f>
        <v>574.67759999999998</v>
      </c>
      <c r="F19" s="2425">
        <f>F20*(1+Q19)</f>
        <v>270.20280000000002</v>
      </c>
      <c r="G19" s="3427"/>
      <c r="H19" s="2426">
        <v>1</v>
      </c>
      <c r="I19" s="2426">
        <v>3.45</v>
      </c>
      <c r="J19" s="2426">
        <v>1.92</v>
      </c>
      <c r="K19" s="2426">
        <v>3.92</v>
      </c>
      <c r="L19" s="2432">
        <v>1.58</v>
      </c>
      <c r="M19" s="2411"/>
      <c r="N19" s="2427">
        <f t="shared" si="118"/>
        <v>3.4500000000000003E-2</v>
      </c>
      <c r="O19" s="2412">
        <f t="shared" ref="O19:Q34" si="141">J19/100</f>
        <v>1.9199999999999998E-2</v>
      </c>
      <c r="P19" s="2412">
        <f t="shared" si="141"/>
        <v>3.9199999999999999E-2</v>
      </c>
      <c r="Q19" s="2412">
        <f t="shared" si="141"/>
        <v>1.5800000000000002E-2</v>
      </c>
      <c r="R19" s="2428"/>
      <c r="S19" s="2427">
        <f>B19/B20-1</f>
        <v>3.4499999999999975E-2</v>
      </c>
      <c r="T19" s="2412">
        <f t="shared" ref="T19:V19" si="142">C19/C20-1</f>
        <v>1.9200000000000106E-2</v>
      </c>
      <c r="U19" s="2412">
        <f t="shared" si="142"/>
        <v>1.9200000000000106E-2</v>
      </c>
      <c r="V19" s="2412">
        <f t="shared" si="142"/>
        <v>3.9199999999999902E-2</v>
      </c>
      <c r="W19" s="2429"/>
      <c r="X19" s="2429">
        <f>ROUND(SUMPRODUCT(PRODUCT(1+N19:N$30)),4)</f>
        <v>1.3180000000000001</v>
      </c>
      <c r="Y19" s="2429">
        <f>ROUND(SUMPRODUCT(PRODUCT(1+O19:O$30)),4)</f>
        <v>1.1966000000000001</v>
      </c>
      <c r="Z19" s="2429">
        <f t="shared" si="0"/>
        <v>1.1966000000000001</v>
      </c>
      <c r="AA19" s="2429">
        <f>ROUND(SUMPRODUCT(PRODUCT(1+P19:P$30)),4)</f>
        <v>1.36</v>
      </c>
      <c r="AB19" s="2429">
        <f>ROUND(SUMPRODUCT(PRODUCT(1+Q19:Q$30)),4)</f>
        <v>1.1733</v>
      </c>
      <c r="AC19" s="2429"/>
      <c r="AD19" s="2430">
        <f>ROUND(AVERAGE(I19:I$31)/100,4)</f>
        <v>2.3900000000000001E-2</v>
      </c>
      <c r="AE19" s="2430">
        <f>ROUND(AVERAGE(J19:J$31)/100,4)</f>
        <v>1.5699999999999999E-2</v>
      </c>
      <c r="AF19" s="2430">
        <f t="shared" si="1"/>
        <v>1.5699999999999999E-2</v>
      </c>
      <c r="AG19" s="2430">
        <f>ROUND(AVERAGE(K19:K$31)/100,4)</f>
        <v>2.6599999999999999E-2</v>
      </c>
      <c r="AH19" s="2430">
        <f>ROUND(AVERAGE(L19:L$31)/100,4)</f>
        <v>1.34E-2</v>
      </c>
    </row>
    <row r="20" spans="1:34">
      <c r="A20" s="2424" t="s">
        <v>154</v>
      </c>
      <c r="B20" s="2439">
        <v>392</v>
      </c>
      <c r="C20" s="2439">
        <v>302</v>
      </c>
      <c r="D20" s="2439">
        <f>C20</f>
        <v>302</v>
      </c>
      <c r="E20" s="2439">
        <v>553</v>
      </c>
      <c r="F20" s="2440">
        <v>266</v>
      </c>
      <c r="G20" s="3423">
        <v>2016</v>
      </c>
      <c r="H20" s="2433">
        <v>4</v>
      </c>
      <c r="I20" s="2433">
        <v>4.5599999999999996</v>
      </c>
      <c r="J20" s="2433">
        <v>2.15</v>
      </c>
      <c r="K20" s="2433">
        <v>5.32</v>
      </c>
      <c r="L20" s="2434">
        <v>1.57</v>
      </c>
      <c r="N20" s="2427">
        <f t="shared" si="118"/>
        <v>4.5599999999999995E-2</v>
      </c>
      <c r="O20" s="2412">
        <f t="shared" si="141"/>
        <v>2.1499999999999998E-2</v>
      </c>
      <c r="P20" s="2412">
        <f t="shared" si="141"/>
        <v>5.3200000000000004E-2</v>
      </c>
      <c r="Q20" s="2412">
        <f t="shared" si="141"/>
        <v>1.5700000000000002E-2</v>
      </c>
      <c r="R20" s="2428"/>
      <c r="S20" s="2441"/>
      <c r="T20" s="2442"/>
      <c r="U20" s="2442"/>
      <c r="V20" s="2442"/>
      <c r="X20" s="2411">
        <f>ROUND(SUMPRODUCT(PRODUCT(1+N20:N$30)),4)</f>
        <v>1.274</v>
      </c>
      <c r="Y20" s="2411">
        <f>ROUND(SUMPRODUCT(PRODUCT(1+O20:O$30)),4)</f>
        <v>1.1740999999999999</v>
      </c>
      <c r="Z20" s="2411">
        <f t="shared" si="0"/>
        <v>1.1740999999999999</v>
      </c>
      <c r="AA20" s="2411">
        <f>ROUND(SUMPRODUCT(PRODUCT(1+P20:P$30)),4)</f>
        <v>1.3087</v>
      </c>
      <c r="AB20" s="2411">
        <f>ROUND(SUMPRODUCT(PRODUCT(1+Q20:Q$30)),4)</f>
        <v>1.1551</v>
      </c>
      <c r="AD20" s="2412">
        <f>ROUND(AVERAGE(I20:I$31)/100,4)</f>
        <v>2.3E-2</v>
      </c>
      <c r="AE20" s="2412">
        <f>ROUND(AVERAGE(J20:J$31)/100,4)</f>
        <v>1.55E-2</v>
      </c>
      <c r="AF20" s="2412">
        <f t="shared" si="1"/>
        <v>1.55E-2</v>
      </c>
      <c r="AG20" s="2412">
        <f>ROUND(AVERAGE(K20:K$31)/100,4)</f>
        <v>2.5600000000000001E-2</v>
      </c>
      <c r="AH20" s="2412">
        <f>ROUND(AVERAGE(L20:L$31)/100,4)</f>
        <v>1.32E-2</v>
      </c>
    </row>
    <row r="21" spans="1:34">
      <c r="A21" s="2424" t="s">
        <v>153</v>
      </c>
      <c r="B21" s="2425">
        <f t="shared" ref="B21:C23" si="143">B20/(1+N20)</f>
        <v>374.90436113236416</v>
      </c>
      <c r="C21" s="2425">
        <f t="shared" si="143"/>
        <v>295.64366128242779</v>
      </c>
      <c r="D21" s="2425">
        <f t="shared" ref="D21:D80" si="144">C21</f>
        <v>295.64366128242779</v>
      </c>
      <c r="E21" s="2425">
        <f t="shared" ref="E21:F23" si="145">E20/(1+P20)</f>
        <v>525.06646410938095</v>
      </c>
      <c r="F21" s="2425">
        <f t="shared" si="145"/>
        <v>261.88835286009646</v>
      </c>
      <c r="G21" s="3420"/>
      <c r="H21" s="2426">
        <v>3</v>
      </c>
      <c r="I21" s="2426">
        <v>4.12</v>
      </c>
      <c r="J21" s="2426">
        <v>2</v>
      </c>
      <c r="K21" s="2426">
        <v>4.79</v>
      </c>
      <c r="L21" s="2432">
        <v>1.97</v>
      </c>
      <c r="N21" s="2427">
        <f t="shared" ref="N21:Q55" si="146">I21/100</f>
        <v>4.1200000000000001E-2</v>
      </c>
      <c r="O21" s="2412">
        <f t="shared" si="141"/>
        <v>0.02</v>
      </c>
      <c r="P21" s="2412">
        <f t="shared" si="141"/>
        <v>4.7899999999999998E-2</v>
      </c>
      <c r="Q21" s="2412">
        <f t="shared" si="141"/>
        <v>1.9699999999999999E-2</v>
      </c>
      <c r="R21" s="2428"/>
      <c r="S21" s="2427"/>
      <c r="T21" s="2412"/>
      <c r="U21" s="2412"/>
      <c r="V21" s="2412"/>
      <c r="X21" s="2411">
        <f>ROUND(SUMPRODUCT(PRODUCT(1+N21:N$30)),4)</f>
        <v>1.2184999999999999</v>
      </c>
      <c r="Y21" s="2411">
        <f>ROUND(SUMPRODUCT(PRODUCT(1+O21:O$30)),4)</f>
        <v>1.1494</v>
      </c>
      <c r="Z21" s="2411">
        <f t="shared" si="0"/>
        <v>1.1494</v>
      </c>
      <c r="AA21" s="2411">
        <f>ROUND(SUMPRODUCT(PRODUCT(1+P21:P$30)),4)</f>
        <v>1.2425999999999999</v>
      </c>
      <c r="AB21" s="2411">
        <f>ROUND(SUMPRODUCT(PRODUCT(1+Q21:Q$30)),4)</f>
        <v>1.1372</v>
      </c>
      <c r="AD21" s="2412">
        <f>ROUND(AVERAGE(I21:I$31)/100,4)</f>
        <v>2.0899999999999998E-2</v>
      </c>
      <c r="AE21" s="2412">
        <f>ROUND(AVERAGE(J21:J$31)/100,4)</f>
        <v>1.49E-2</v>
      </c>
      <c r="AF21" s="2412">
        <f t="shared" si="1"/>
        <v>1.49E-2</v>
      </c>
      <c r="AG21" s="2412">
        <f>ROUND(AVERAGE(K21:K$31)/100,4)</f>
        <v>2.3099999999999999E-2</v>
      </c>
      <c r="AH21" s="2412">
        <f>ROUND(AVERAGE(L21:L$31)/100,4)</f>
        <v>1.2999999999999999E-2</v>
      </c>
    </row>
    <row r="22" spans="1:34">
      <c r="A22" s="2424" t="s">
        <v>143</v>
      </c>
      <c r="B22" s="2425">
        <f t="shared" si="143"/>
        <v>360.06949782209392</v>
      </c>
      <c r="C22" s="2425">
        <f t="shared" si="143"/>
        <v>289.84672674747821</v>
      </c>
      <c r="D22" s="2425">
        <f t="shared" si="144"/>
        <v>289.84672674747821</v>
      </c>
      <c r="E22" s="2425">
        <f t="shared" si="145"/>
        <v>501.06543001181495</v>
      </c>
      <c r="F22" s="2425">
        <f t="shared" si="145"/>
        <v>256.82882500744967</v>
      </c>
      <c r="G22" s="3420"/>
      <c r="H22" s="2437">
        <v>2</v>
      </c>
      <c r="I22" s="2437">
        <v>3.85</v>
      </c>
      <c r="J22" s="2437">
        <v>1.95</v>
      </c>
      <c r="K22" s="2437">
        <v>4.4800000000000004</v>
      </c>
      <c r="L22" s="2438">
        <v>1.41</v>
      </c>
      <c r="N22" s="2427">
        <f t="shared" si="146"/>
        <v>3.85E-2</v>
      </c>
      <c r="O22" s="2412">
        <f t="shared" si="141"/>
        <v>1.95E-2</v>
      </c>
      <c r="P22" s="2412">
        <f t="shared" si="141"/>
        <v>4.4800000000000006E-2</v>
      </c>
      <c r="Q22" s="2412">
        <f t="shared" si="141"/>
        <v>1.41E-2</v>
      </c>
      <c r="R22" s="2428"/>
      <c r="S22" s="2427"/>
      <c r="T22" s="2412"/>
      <c r="U22" s="2412"/>
      <c r="V22" s="2412"/>
      <c r="X22" s="2411">
        <f>ROUND(SUMPRODUCT(PRODUCT(1+N22:N$30)),4)</f>
        <v>1.1702999999999999</v>
      </c>
      <c r="Y22" s="2411">
        <f>ROUND(SUMPRODUCT(PRODUCT(1+O22:O$30)),4)</f>
        <v>1.1269</v>
      </c>
      <c r="Z22" s="2411">
        <f t="shared" si="0"/>
        <v>1.1269</v>
      </c>
      <c r="AA22" s="2411">
        <f>ROUND(SUMPRODUCT(PRODUCT(1+P22:P$30)),4)</f>
        <v>1.1858</v>
      </c>
      <c r="AB22" s="2411">
        <f>ROUND(SUMPRODUCT(PRODUCT(1+Q22:Q$30)),4)</f>
        <v>1.1152</v>
      </c>
      <c r="AD22" s="2412">
        <f>ROUND(AVERAGE(I22:I$31)/100,4)</f>
        <v>1.89E-2</v>
      </c>
      <c r="AE22" s="2412">
        <f>ROUND(AVERAGE(J22:J$31)/100,4)</f>
        <v>1.44E-2</v>
      </c>
      <c r="AF22" s="2412">
        <f t="shared" si="1"/>
        <v>1.44E-2</v>
      </c>
      <c r="AG22" s="2412">
        <f>ROUND(AVERAGE(K22:K$31)/100,4)</f>
        <v>2.06E-2</v>
      </c>
      <c r="AH22" s="2412">
        <f>ROUND(AVERAGE(L22:L$31)/100,4)</f>
        <v>1.23E-2</v>
      </c>
    </row>
    <row r="23" spans="1:34" ht="13.5" thickBot="1">
      <c r="A23" s="2424" t="s">
        <v>152</v>
      </c>
      <c r="B23" s="2425">
        <f t="shared" si="143"/>
        <v>346.720748986128</v>
      </c>
      <c r="C23" s="2425">
        <f t="shared" si="143"/>
        <v>284.30282172386285</v>
      </c>
      <c r="D23" s="2425">
        <f t="shared" si="144"/>
        <v>284.30282172386285</v>
      </c>
      <c r="E23" s="2425">
        <f t="shared" si="145"/>
        <v>479.58023546306947</v>
      </c>
      <c r="F23" s="2425">
        <f t="shared" si="145"/>
        <v>253.25788877571213</v>
      </c>
      <c r="G23" s="3421"/>
      <c r="H23" s="2426">
        <v>1</v>
      </c>
      <c r="I23" s="2426">
        <v>4.09</v>
      </c>
      <c r="J23" s="2426">
        <v>2.93</v>
      </c>
      <c r="K23" s="2426">
        <v>4.54</v>
      </c>
      <c r="L23" s="2432">
        <v>1.48</v>
      </c>
      <c r="N23" s="2427">
        <f t="shared" si="146"/>
        <v>4.0899999999999999E-2</v>
      </c>
      <c r="O23" s="2412">
        <f t="shared" si="141"/>
        <v>2.9300000000000003E-2</v>
      </c>
      <c r="P23" s="2412">
        <f t="shared" si="141"/>
        <v>4.5400000000000003E-2</v>
      </c>
      <c r="Q23" s="2412">
        <f t="shared" si="141"/>
        <v>1.4800000000000001E-2</v>
      </c>
      <c r="R23" s="2428"/>
      <c r="S23" s="2443">
        <f>B23/B24-1</f>
        <v>4.1203450408792808E-2</v>
      </c>
      <c r="T23" s="2444">
        <f>C23/C24-1</f>
        <v>2.6363977342465095E-2</v>
      </c>
      <c r="U23" s="2444">
        <f>E23/E24-1</f>
        <v>4.4837114298626357E-2</v>
      </c>
      <c r="V23" s="2444">
        <f>F23/F24-1</f>
        <v>1.7099954922538574E-2</v>
      </c>
      <c r="X23" s="2411">
        <f>ROUND(SUMPRODUCT(PRODUCT(1+N23:N$30)),4)</f>
        <v>1.1269</v>
      </c>
      <c r="Y23" s="2411">
        <f>ROUND(SUMPRODUCT(PRODUCT(1+O23:O$30)),4)</f>
        <v>1.1052999999999999</v>
      </c>
      <c r="Z23" s="2411">
        <f t="shared" si="0"/>
        <v>1.1052999999999999</v>
      </c>
      <c r="AA23" s="2411">
        <f>ROUND(SUMPRODUCT(PRODUCT(1+P23:P$30)),4)</f>
        <v>1.1349</v>
      </c>
      <c r="AB23" s="2411">
        <f>ROUND(SUMPRODUCT(PRODUCT(1+Q23:Q$30)),4)</f>
        <v>1.0996999999999999</v>
      </c>
      <c r="AD23" s="2412">
        <f>ROUND(AVERAGE(I23:I$31)/100,4)</f>
        <v>1.67E-2</v>
      </c>
      <c r="AE23" s="2412">
        <f>ROUND(AVERAGE(J23:J$31)/100,4)</f>
        <v>1.38E-2</v>
      </c>
      <c r="AF23" s="2412">
        <f t="shared" si="1"/>
        <v>1.38E-2</v>
      </c>
      <c r="AG23" s="2412">
        <f>ROUND(AVERAGE(K23:K$31)/100,4)</f>
        <v>1.7899999999999999E-2</v>
      </c>
      <c r="AH23" s="2412">
        <f>ROUND(AVERAGE(L23:L$31)/100,4)</f>
        <v>1.21E-2</v>
      </c>
    </row>
    <row r="24" spans="1:34" ht="13.5" thickBot="1">
      <c r="A24" s="2424" t="s">
        <v>151</v>
      </c>
      <c r="B24" s="2439">
        <v>333</v>
      </c>
      <c r="C24" s="2439">
        <v>277</v>
      </c>
      <c r="D24" s="2439">
        <f t="shared" si="144"/>
        <v>277</v>
      </c>
      <c r="E24" s="2439">
        <v>459</v>
      </c>
      <c r="F24" s="2440">
        <v>249</v>
      </c>
      <c r="G24" s="3419">
        <v>2015</v>
      </c>
      <c r="H24" s="2445">
        <v>4</v>
      </c>
      <c r="I24" s="2445">
        <v>1.63</v>
      </c>
      <c r="J24" s="2445">
        <v>1.1100000000000001</v>
      </c>
      <c r="K24" s="2445">
        <v>1.77</v>
      </c>
      <c r="L24" s="2446">
        <v>1.89</v>
      </c>
      <c r="N24" s="2447">
        <f t="shared" si="146"/>
        <v>1.6299999999999999E-2</v>
      </c>
      <c r="O24" s="2448">
        <f t="shared" si="141"/>
        <v>1.11E-2</v>
      </c>
      <c r="P24" s="2448">
        <f t="shared" si="141"/>
        <v>1.77E-2</v>
      </c>
      <c r="Q24" s="2448">
        <f t="shared" si="141"/>
        <v>1.89E-2</v>
      </c>
      <c r="R24" s="2428"/>
      <c r="X24" s="2411">
        <f>ROUND(SUMPRODUCT(PRODUCT(1+N24:N$30)),4)</f>
        <v>1.0826</v>
      </c>
      <c r="Y24" s="2411">
        <f>ROUND(SUMPRODUCT(PRODUCT(1+O24:O$30)),4)</f>
        <v>1.0738000000000001</v>
      </c>
      <c r="Z24" s="2411">
        <f t="shared" si="0"/>
        <v>1.0738000000000001</v>
      </c>
      <c r="AA24" s="2411">
        <f>ROUND(SUMPRODUCT(PRODUCT(1+P24:P$30)),4)</f>
        <v>1.0855999999999999</v>
      </c>
      <c r="AB24" s="2411">
        <f>ROUND(SUMPRODUCT(PRODUCT(1+Q24:Q$30)),4)</f>
        <v>1.0837000000000001</v>
      </c>
      <c r="AD24" s="2412">
        <f>ROUND(AVERAGE(I24:I$31)/100,4)</f>
        <v>1.37E-2</v>
      </c>
      <c r="AE24" s="2412">
        <f>ROUND(AVERAGE(J24:J$31)/100,4)</f>
        <v>1.1900000000000001E-2</v>
      </c>
      <c r="AF24" s="2412">
        <f t="shared" si="1"/>
        <v>1.1900000000000001E-2</v>
      </c>
      <c r="AG24" s="2412">
        <f>ROUND(AVERAGE(K24:K$31)/100,4)</f>
        <v>1.4500000000000001E-2</v>
      </c>
      <c r="AH24" s="2412">
        <f>ROUND(AVERAGE(L24:L$31)/100,4)</f>
        <v>1.18E-2</v>
      </c>
    </row>
    <row r="25" spans="1:34">
      <c r="A25" s="2424" t="s">
        <v>150</v>
      </c>
      <c r="B25" s="2425">
        <f t="shared" ref="B25:C27" si="147">B24/(1+N24)</f>
        <v>327.65915576109415</v>
      </c>
      <c r="C25" s="2425">
        <f t="shared" si="147"/>
        <v>273.95905449510434</v>
      </c>
      <c r="D25" s="2425">
        <f t="shared" si="144"/>
        <v>273.95905449510434</v>
      </c>
      <c r="E25" s="2425">
        <f t="shared" ref="E25:F27" si="148">E24/(1+P24)</f>
        <v>451.01699911565294</v>
      </c>
      <c r="F25" s="2425">
        <f t="shared" si="148"/>
        <v>244.38119540681129</v>
      </c>
      <c r="G25" s="3420"/>
      <c r="H25" s="2450">
        <v>3</v>
      </c>
      <c r="I25" s="2450">
        <v>1.65</v>
      </c>
      <c r="J25" s="2450">
        <v>0.92</v>
      </c>
      <c r="K25" s="2450">
        <v>1.88</v>
      </c>
      <c r="L25" s="2451">
        <v>1.26</v>
      </c>
      <c r="N25" s="2427">
        <f t="shared" si="146"/>
        <v>1.6500000000000001E-2</v>
      </c>
      <c r="O25" s="2452">
        <f t="shared" si="141"/>
        <v>9.1999999999999998E-3</v>
      </c>
      <c r="P25" s="2452">
        <f t="shared" si="141"/>
        <v>1.8799999999999997E-2</v>
      </c>
      <c r="Q25" s="2452">
        <f t="shared" si="141"/>
        <v>1.26E-2</v>
      </c>
      <c r="R25" s="2428"/>
      <c r="S25" s="2427"/>
      <c r="T25" s="2412"/>
      <c r="U25" s="2412"/>
      <c r="V25" s="2412"/>
      <c r="X25" s="2411">
        <f>ROUND(SUMPRODUCT(PRODUCT(1+N25:N$30)),4)</f>
        <v>1.0651999999999999</v>
      </c>
      <c r="Y25" s="2411">
        <f>ROUND(SUMPRODUCT(PRODUCT(1+O25:O$30)),4)</f>
        <v>1.0621</v>
      </c>
      <c r="Z25" s="2411">
        <f t="shared" si="0"/>
        <v>1.0621</v>
      </c>
      <c r="AA25" s="2411">
        <f>ROUND(SUMPRODUCT(PRODUCT(1+P25:P$30)),4)</f>
        <v>1.0668</v>
      </c>
      <c r="AB25" s="2411">
        <f>ROUND(SUMPRODUCT(PRODUCT(1+Q25:Q$30)),4)</f>
        <v>1.0636000000000001</v>
      </c>
      <c r="AD25" s="2412">
        <f>ROUND(AVERAGE(I25:I$31)/100,4)</f>
        <v>1.3299999999999999E-2</v>
      </c>
      <c r="AE25" s="2412">
        <f>ROUND(AVERAGE(J25:J$31)/100,4)</f>
        <v>1.2E-2</v>
      </c>
      <c r="AF25" s="2412">
        <f t="shared" si="1"/>
        <v>1.2E-2</v>
      </c>
      <c r="AG25" s="2412">
        <f>ROUND(AVERAGE(K25:K$31)/100,4)</f>
        <v>1.4E-2</v>
      </c>
      <c r="AH25" s="2412">
        <f>ROUND(AVERAGE(L25:L$31)/100,4)</f>
        <v>1.0800000000000001E-2</v>
      </c>
    </row>
    <row r="26" spans="1:34">
      <c r="A26" s="2424" t="s">
        <v>149</v>
      </c>
      <c r="B26" s="2425">
        <f t="shared" si="147"/>
        <v>322.34053690220776</v>
      </c>
      <c r="C26" s="2425">
        <f t="shared" si="147"/>
        <v>271.46160770422546</v>
      </c>
      <c r="D26" s="2425">
        <f t="shared" si="144"/>
        <v>271.46160770422546</v>
      </c>
      <c r="E26" s="2425">
        <f t="shared" si="148"/>
        <v>442.69434542172456</v>
      </c>
      <c r="F26" s="2425">
        <f t="shared" si="148"/>
        <v>241.34030753190925</v>
      </c>
      <c r="G26" s="3420"/>
      <c r="H26" s="2437">
        <v>2</v>
      </c>
      <c r="I26" s="2437">
        <v>0.77</v>
      </c>
      <c r="J26" s="2437">
        <v>0.69</v>
      </c>
      <c r="K26" s="2437">
        <v>0.8</v>
      </c>
      <c r="L26" s="2438">
        <v>0.88</v>
      </c>
      <c r="N26" s="2427">
        <f t="shared" si="146"/>
        <v>7.7000000000000002E-3</v>
      </c>
      <c r="O26" s="2452">
        <f t="shared" si="141"/>
        <v>6.8999999999999999E-3</v>
      </c>
      <c r="P26" s="2452">
        <f t="shared" si="141"/>
        <v>8.0000000000000002E-3</v>
      </c>
      <c r="Q26" s="2452">
        <f t="shared" si="141"/>
        <v>8.8000000000000005E-3</v>
      </c>
      <c r="R26" s="2428"/>
      <c r="S26" s="2427"/>
      <c r="T26" s="2412"/>
      <c r="U26" s="2412"/>
      <c r="V26" s="2412"/>
      <c r="X26" s="2411">
        <f>ROUND(SUMPRODUCT(PRODUCT(1+N26:N$30)),4)</f>
        <v>1.048</v>
      </c>
      <c r="Y26" s="2411">
        <f>ROUND(SUMPRODUCT(PRODUCT(1+O26:O$30)),4)</f>
        <v>1.0524</v>
      </c>
      <c r="Z26" s="2411">
        <f t="shared" si="0"/>
        <v>1.0524</v>
      </c>
      <c r="AA26" s="2411">
        <f>ROUND(SUMPRODUCT(PRODUCT(1+P26:P$30)),4)</f>
        <v>1.0470999999999999</v>
      </c>
      <c r="AB26" s="2411">
        <f>ROUND(SUMPRODUCT(PRODUCT(1+Q26:Q$30)),4)</f>
        <v>1.0504</v>
      </c>
      <c r="AD26" s="2412">
        <f>ROUND(AVERAGE(I26:I$31)/100,4)</f>
        <v>1.2800000000000001E-2</v>
      </c>
      <c r="AE26" s="2412">
        <f>ROUND(AVERAGE(J26:J$31)/100,4)</f>
        <v>1.2500000000000001E-2</v>
      </c>
      <c r="AF26" s="2412">
        <f t="shared" si="1"/>
        <v>1.2500000000000001E-2</v>
      </c>
      <c r="AG26" s="2412">
        <f>ROUND(AVERAGE(K26:K$31)/100,4)</f>
        <v>1.32E-2</v>
      </c>
      <c r="AH26" s="2412">
        <f>ROUND(AVERAGE(L26:L$31)/100,4)</f>
        <v>1.0500000000000001E-2</v>
      </c>
    </row>
    <row r="27" spans="1:34">
      <c r="A27" s="2424" t="s">
        <v>148</v>
      </c>
      <c r="B27" s="2425">
        <f t="shared" si="147"/>
        <v>319.87748030386797</v>
      </c>
      <c r="C27" s="2425">
        <f t="shared" si="147"/>
        <v>269.60135833173649</v>
      </c>
      <c r="D27" s="2425">
        <f t="shared" si="144"/>
        <v>269.60135833173649</v>
      </c>
      <c r="E27" s="2425">
        <f t="shared" si="148"/>
        <v>439.18089823583784</v>
      </c>
      <c r="F27" s="2425">
        <f t="shared" si="148"/>
        <v>239.23503918706311</v>
      </c>
      <c r="G27" s="3421"/>
      <c r="H27" s="2426">
        <v>1</v>
      </c>
      <c r="I27" s="2426">
        <v>0.51</v>
      </c>
      <c r="J27" s="2426">
        <v>0.54</v>
      </c>
      <c r="K27" s="2426">
        <v>0.48</v>
      </c>
      <c r="L27" s="2432">
        <v>0.93</v>
      </c>
      <c r="N27" s="2443">
        <f t="shared" si="146"/>
        <v>5.1000000000000004E-3</v>
      </c>
      <c r="O27" s="2444">
        <f t="shared" si="141"/>
        <v>5.4000000000000003E-3</v>
      </c>
      <c r="P27" s="2444">
        <f t="shared" si="141"/>
        <v>4.7999999999999996E-3</v>
      </c>
      <c r="Q27" s="2444">
        <f t="shared" si="141"/>
        <v>9.300000000000001E-3</v>
      </c>
      <c r="R27" s="2428"/>
      <c r="S27" s="2443">
        <f>B27/B28-1</f>
        <v>5.9040261127922822E-3</v>
      </c>
      <c r="T27" s="2444">
        <f>C27/C28-1</f>
        <v>5.9752176557332781E-3</v>
      </c>
      <c r="U27" s="2444">
        <f>E27/E28-1</f>
        <v>4.9906138119859556E-3</v>
      </c>
      <c r="V27" s="2444">
        <f>F27/F28-1</f>
        <v>9.4305450930933787E-3</v>
      </c>
      <c r="X27" s="2411">
        <f>ROUND(SUMPRODUCT(PRODUCT(1+N27:N$30)),4)</f>
        <v>1.0399</v>
      </c>
      <c r="Y27" s="2411">
        <f>ROUND(SUMPRODUCT(PRODUCT(1+O27:O$30)),4)</f>
        <v>1.0451999999999999</v>
      </c>
      <c r="Z27" s="2411">
        <f t="shared" si="0"/>
        <v>1.0451999999999999</v>
      </c>
      <c r="AA27" s="2411">
        <f>ROUND(SUMPRODUCT(PRODUCT(1+P27:P$30)),4)</f>
        <v>1.0387999999999999</v>
      </c>
      <c r="AB27" s="2411">
        <f>ROUND(SUMPRODUCT(PRODUCT(1+Q27:Q$30)),4)</f>
        <v>1.0411999999999999</v>
      </c>
      <c r="AD27" s="2412">
        <f>ROUND(AVERAGE(I27:I$31)/100,4)</f>
        <v>1.38E-2</v>
      </c>
      <c r="AE27" s="2412">
        <f>ROUND(AVERAGE(J27:J$31)/100,4)</f>
        <v>1.3599999999999999E-2</v>
      </c>
      <c r="AF27" s="2412">
        <f t="shared" si="1"/>
        <v>1.3599999999999999E-2</v>
      </c>
      <c r="AG27" s="2412">
        <f>ROUND(AVERAGE(K27:K$31)/100,4)</f>
        <v>1.4200000000000001E-2</v>
      </c>
      <c r="AH27" s="2412">
        <f>ROUND(AVERAGE(L27:L$31)/100,4)</f>
        <v>1.0800000000000001E-2</v>
      </c>
    </row>
    <row r="28" spans="1:34" ht="13.5" thickBot="1">
      <c r="A28" s="2424" t="s">
        <v>147</v>
      </c>
      <c r="B28" s="2453">
        <v>318</v>
      </c>
      <c r="C28" s="2453">
        <v>268</v>
      </c>
      <c r="D28" s="2453">
        <f t="shared" si="144"/>
        <v>268</v>
      </c>
      <c r="E28" s="2453">
        <v>437</v>
      </c>
      <c r="F28" s="2454">
        <v>237</v>
      </c>
      <c r="G28" s="3419">
        <v>2014</v>
      </c>
      <c r="H28" s="2445">
        <v>4</v>
      </c>
      <c r="I28" s="2445">
        <v>0.21</v>
      </c>
      <c r="J28" s="2445">
        <v>0.41</v>
      </c>
      <c r="K28" s="2445">
        <v>0.12</v>
      </c>
      <c r="L28" s="2446">
        <v>0.89</v>
      </c>
      <c r="N28" s="2427">
        <f t="shared" si="146"/>
        <v>2.0999999999999999E-3</v>
      </c>
      <c r="O28" s="2412">
        <f t="shared" si="141"/>
        <v>4.0999999999999995E-3</v>
      </c>
      <c r="P28" s="2412">
        <f t="shared" si="141"/>
        <v>1.1999999999999999E-3</v>
      </c>
      <c r="Q28" s="2412">
        <f t="shared" si="141"/>
        <v>8.8999999999999999E-3</v>
      </c>
      <c r="R28" s="2428"/>
      <c r="S28" s="2441"/>
      <c r="T28" s="2442"/>
      <c r="U28" s="2442"/>
      <c r="V28" s="2442"/>
      <c r="X28" s="2411">
        <f>ROUND(SUMPRODUCT(PRODUCT(1+N28:N$30)),4)</f>
        <v>1.0347</v>
      </c>
      <c r="Y28" s="2411">
        <f>ROUND(SUMPRODUCT(PRODUCT(1+O28:O$30)),4)</f>
        <v>1.0395000000000001</v>
      </c>
      <c r="Z28" s="2411">
        <f t="shared" si="0"/>
        <v>1.0395000000000001</v>
      </c>
      <c r="AA28" s="2411">
        <f>ROUND(SUMPRODUCT(PRODUCT(1+P28:P$30)),4)</f>
        <v>1.0338000000000001</v>
      </c>
      <c r="AB28" s="2411">
        <f>ROUND(SUMPRODUCT(PRODUCT(1+Q28:Q$30)),4)</f>
        <v>1.0316000000000001</v>
      </c>
      <c r="AD28" s="2412">
        <f>ROUND(AVERAGE(I28:I$31)/100,4)</f>
        <v>1.6E-2</v>
      </c>
      <c r="AE28" s="2412">
        <f>ROUND(AVERAGE(J28:J$31)/100,4)</f>
        <v>1.5599999999999999E-2</v>
      </c>
      <c r="AF28" s="2412">
        <f t="shared" si="1"/>
        <v>1.5599999999999999E-2</v>
      </c>
      <c r="AG28" s="2412">
        <f>ROUND(AVERAGE(K28:K$31)/100,4)</f>
        <v>1.66E-2</v>
      </c>
      <c r="AH28" s="2412">
        <f>ROUND(AVERAGE(L28:L$31)/100,4)</f>
        <v>1.12E-2</v>
      </c>
    </row>
    <row r="29" spans="1:34">
      <c r="A29" s="2424" t="s">
        <v>146</v>
      </c>
      <c r="B29" s="2425">
        <f t="shared" ref="B29:C31" si="149">B28/(1+N28)</f>
        <v>317.33359944117353</v>
      </c>
      <c r="C29" s="2425">
        <f t="shared" si="149"/>
        <v>266.90568668459315</v>
      </c>
      <c r="D29" s="2425">
        <f t="shared" si="144"/>
        <v>266.90568668459315</v>
      </c>
      <c r="E29" s="2425">
        <f t="shared" ref="E29:F31" si="150">E28/(1+P28)</f>
        <v>436.47622852576905</v>
      </c>
      <c r="F29" s="2425">
        <f t="shared" si="150"/>
        <v>234.90930716622066</v>
      </c>
      <c r="G29" s="3420"/>
      <c r="H29" s="2455">
        <v>3</v>
      </c>
      <c r="I29" s="2455">
        <v>0.83</v>
      </c>
      <c r="J29" s="2455">
        <v>1.47</v>
      </c>
      <c r="K29" s="2455">
        <v>0.65</v>
      </c>
      <c r="L29" s="2456">
        <v>0.72</v>
      </c>
      <c r="N29" s="2427">
        <f t="shared" si="146"/>
        <v>8.3000000000000001E-3</v>
      </c>
      <c r="O29" s="2412">
        <f t="shared" si="141"/>
        <v>1.47E-2</v>
      </c>
      <c r="P29" s="2412">
        <f t="shared" si="141"/>
        <v>6.5000000000000006E-3</v>
      </c>
      <c r="Q29" s="2412">
        <f t="shared" si="141"/>
        <v>7.1999999999999998E-3</v>
      </c>
      <c r="R29" s="2428"/>
      <c r="S29" s="2427"/>
      <c r="T29" s="2412"/>
      <c r="U29" s="2412"/>
      <c r="V29" s="2412"/>
      <c r="X29" s="2411">
        <f>ROUND(SUMPRODUCT(PRODUCT(1+N29:N$30)),4)</f>
        <v>1.0325</v>
      </c>
      <c r="Y29" s="2411">
        <f>ROUND(SUMPRODUCT(PRODUCT(1+O29:O$30)),4)</f>
        <v>1.0353000000000001</v>
      </c>
      <c r="Z29" s="2411">
        <f t="shared" ref="Z29:Z30" si="151">Y29</f>
        <v>1.0353000000000001</v>
      </c>
      <c r="AA29" s="2411">
        <f>ROUND(SUMPRODUCT(PRODUCT(1+P29:P$30)),4)</f>
        <v>1.0326</v>
      </c>
      <c r="AB29" s="2411">
        <f>ROUND(SUMPRODUCT(PRODUCT(1+Q29:Q$30)),4)</f>
        <v>1.0225</v>
      </c>
      <c r="AD29" s="2412">
        <f>ROUND(AVERAGE(I29:I$31)/100,4)</f>
        <v>2.07E-2</v>
      </c>
      <c r="AE29" s="2412">
        <f>ROUND(AVERAGE(J29:J$31)/100,4)</f>
        <v>1.95E-2</v>
      </c>
      <c r="AF29" s="2412">
        <f t="shared" si="1"/>
        <v>1.95E-2</v>
      </c>
      <c r="AG29" s="2412">
        <f>ROUND(AVERAGE(K29:K$31)/100,4)</f>
        <v>2.1700000000000001E-2</v>
      </c>
      <c r="AH29" s="2412">
        <f>ROUND(AVERAGE(L29:L$31)/100,4)</f>
        <v>1.2E-2</v>
      </c>
    </row>
    <row r="30" spans="1:34" ht="13.5" thickBot="1">
      <c r="A30" s="2424" t="s">
        <v>145</v>
      </c>
      <c r="B30" s="2425">
        <f t="shared" si="149"/>
        <v>314.72141172386546</v>
      </c>
      <c r="C30" s="2425">
        <f t="shared" si="149"/>
        <v>263.03901319069001</v>
      </c>
      <c r="D30" s="2425">
        <f t="shared" si="144"/>
        <v>263.03901319069001</v>
      </c>
      <c r="E30" s="2425">
        <f t="shared" si="150"/>
        <v>433.65745506782821</v>
      </c>
      <c r="F30" s="2425">
        <f t="shared" si="150"/>
        <v>233.23005080045735</v>
      </c>
      <c r="G30" s="3420"/>
      <c r="H30" s="2445">
        <v>2</v>
      </c>
      <c r="I30" s="2445">
        <v>2.4</v>
      </c>
      <c r="J30" s="2445">
        <v>2.0299999999999998</v>
      </c>
      <c r="K30" s="2445">
        <v>2.59</v>
      </c>
      <c r="L30" s="2446">
        <v>1.52</v>
      </c>
      <c r="N30" s="2427">
        <f t="shared" si="146"/>
        <v>2.4E-2</v>
      </c>
      <c r="O30" s="2412">
        <f t="shared" si="141"/>
        <v>2.0299999999999999E-2</v>
      </c>
      <c r="P30" s="2412">
        <f t="shared" si="141"/>
        <v>2.5899999999999999E-2</v>
      </c>
      <c r="Q30" s="2412">
        <f t="shared" si="141"/>
        <v>1.52E-2</v>
      </c>
      <c r="R30" s="2428"/>
      <c r="S30" s="2427"/>
      <c r="T30" s="2412"/>
      <c r="U30" s="2412"/>
      <c r="V30" s="2412"/>
      <c r="X30" s="2411">
        <f>1+N30</f>
        <v>1.024</v>
      </c>
      <c r="Y30" s="2411">
        <f>1+O30</f>
        <v>1.0203</v>
      </c>
      <c r="Z30" s="2411">
        <f t="shared" si="151"/>
        <v>1.0203</v>
      </c>
      <c r="AA30" s="2411">
        <f>1+P30</f>
        <v>1.0259</v>
      </c>
      <c r="AB30" s="2411">
        <f>1+Q30</f>
        <v>1.0152000000000001</v>
      </c>
      <c r="AD30" s="2412">
        <f>ROUND(AVERAGE(I30:I$31)/100,4)</f>
        <v>2.69E-2</v>
      </c>
      <c r="AE30" s="2412">
        <f>ROUND(AVERAGE(J30:J$31)/100,4)</f>
        <v>2.1899999999999999E-2</v>
      </c>
      <c r="AF30" s="2412">
        <f t="shared" ref="AF30" si="152">AE30</f>
        <v>2.1899999999999999E-2</v>
      </c>
      <c r="AG30" s="2412">
        <f>ROUND(AVERAGE(K30:K$31)/100,4)</f>
        <v>2.9399999999999999E-2</v>
      </c>
      <c r="AH30" s="2412">
        <f>ROUND(AVERAGE(L30:L$31)/100,4)</f>
        <v>1.44E-2</v>
      </c>
    </row>
    <row r="31" spans="1:34" s="2461" customFormat="1" ht="13.5" thickBot="1">
      <c r="A31" s="2457" t="s">
        <v>144</v>
      </c>
      <c r="B31" s="2458">
        <f t="shared" si="149"/>
        <v>307.34512863658733</v>
      </c>
      <c r="C31" s="2458">
        <f t="shared" si="149"/>
        <v>257.80556031626975</v>
      </c>
      <c r="D31" s="2458">
        <f t="shared" si="144"/>
        <v>257.80556031626975</v>
      </c>
      <c r="E31" s="2458">
        <f t="shared" si="150"/>
        <v>422.70928459677179</v>
      </c>
      <c r="F31" s="2458">
        <f t="shared" si="150"/>
        <v>229.73803270336617</v>
      </c>
      <c r="G31" s="3421"/>
      <c r="H31" s="2459">
        <v>1</v>
      </c>
      <c r="I31" s="2459">
        <v>2.97</v>
      </c>
      <c r="J31" s="2459">
        <v>2.34</v>
      </c>
      <c r="K31" s="2459">
        <v>3.28</v>
      </c>
      <c r="L31" s="2460">
        <v>1.36</v>
      </c>
      <c r="N31" s="2462">
        <f t="shared" si="146"/>
        <v>2.9700000000000001E-2</v>
      </c>
      <c r="O31" s="2463">
        <f t="shared" si="141"/>
        <v>2.3399999999999997E-2</v>
      </c>
      <c r="P31" s="2463">
        <f t="shared" si="141"/>
        <v>3.2799999999999996E-2</v>
      </c>
      <c r="Q31" s="2463">
        <f t="shared" si="141"/>
        <v>1.3600000000000001E-2</v>
      </c>
      <c r="R31" s="2464"/>
      <c r="S31" s="2465">
        <f>B31/B32-1</f>
        <v>2.7910129219355539E-2</v>
      </c>
      <c r="T31" s="2466">
        <f>C31/C32-1</f>
        <v>2.3037937762975247E-2</v>
      </c>
      <c r="U31" s="2466">
        <f>E31/E32-1</f>
        <v>3.3519033243940788E-2</v>
      </c>
      <c r="V31" s="2466">
        <f>F31/F32-1</f>
        <v>1.2061818076502862E-2</v>
      </c>
      <c r="W31" s="2467" t="s">
        <v>1129</v>
      </c>
      <c r="X31" s="2468">
        <v>1</v>
      </c>
      <c r="Y31" s="2468">
        <v>1</v>
      </c>
      <c r="Z31" s="2468">
        <v>1</v>
      </c>
      <c r="AA31" s="2468">
        <v>1</v>
      </c>
      <c r="AB31" s="2468">
        <v>1</v>
      </c>
      <c r="AD31" s="2463">
        <f>I31/100</f>
        <v>2.9700000000000001E-2</v>
      </c>
      <c r="AE31" s="2463">
        <f>J31/100</f>
        <v>2.3399999999999997E-2</v>
      </c>
      <c r="AF31" s="2463">
        <f>AE31</f>
        <v>2.3399999999999997E-2</v>
      </c>
      <c r="AG31" s="2463">
        <f>K31/100</f>
        <v>3.2799999999999996E-2</v>
      </c>
      <c r="AH31" s="2463">
        <f>L31/100</f>
        <v>1.3600000000000001E-2</v>
      </c>
    </row>
    <row r="32" spans="1:34" ht="13.5" thickBot="1">
      <c r="A32" s="2424" t="s">
        <v>1130</v>
      </c>
      <c r="B32" s="2439">
        <v>299</v>
      </c>
      <c r="C32" s="2439">
        <v>252</v>
      </c>
      <c r="D32" s="2439">
        <f t="shared" si="144"/>
        <v>252</v>
      </c>
      <c r="E32" s="2439">
        <v>409</v>
      </c>
      <c r="F32" s="2440">
        <v>227</v>
      </c>
      <c r="G32" s="3424">
        <v>2013</v>
      </c>
      <c r="H32" s="2469">
        <v>4</v>
      </c>
      <c r="I32" s="2469">
        <v>1.83</v>
      </c>
      <c r="J32" s="2469">
        <v>1.68</v>
      </c>
      <c r="K32" s="2469">
        <v>1.97</v>
      </c>
      <c r="L32" s="2470">
        <v>0.87</v>
      </c>
      <c r="N32" s="2447">
        <f t="shared" si="146"/>
        <v>1.83E-2</v>
      </c>
      <c r="O32" s="2448">
        <f t="shared" si="141"/>
        <v>1.6799999999999999E-2</v>
      </c>
      <c r="P32" s="2448">
        <f t="shared" si="141"/>
        <v>1.9699999999999999E-2</v>
      </c>
      <c r="Q32" s="2448">
        <f t="shared" si="141"/>
        <v>8.6999999999999994E-3</v>
      </c>
      <c r="R32" s="2428"/>
      <c r="S32" s="2441"/>
      <c r="T32" s="2442"/>
      <c r="U32" s="2442"/>
      <c r="V32" s="2442"/>
      <c r="X32" s="2442"/>
      <c r="Y32" s="2442"/>
      <c r="Z32" s="2442"/>
    </row>
    <row r="33" spans="1:26">
      <c r="A33" s="2424" t="s">
        <v>1131</v>
      </c>
      <c r="B33" s="2425">
        <f t="shared" ref="B33:C35" si="153">B32/(1+N32)</f>
        <v>293.62663262299913</v>
      </c>
      <c r="C33" s="2425">
        <f t="shared" si="153"/>
        <v>247.83634933123525</v>
      </c>
      <c r="D33" s="2425">
        <f t="shared" si="144"/>
        <v>247.83634933123525</v>
      </c>
      <c r="E33" s="2425">
        <f t="shared" ref="E33:F35" si="154">E32/(1+P32)</f>
        <v>401.09836226341076</v>
      </c>
      <c r="F33" s="2425">
        <f t="shared" si="154"/>
        <v>225.04213343908003</v>
      </c>
      <c r="G33" s="3425"/>
      <c r="H33" s="2450">
        <v>3</v>
      </c>
      <c r="I33" s="2450">
        <v>1.86</v>
      </c>
      <c r="J33" s="2450">
        <v>1.72</v>
      </c>
      <c r="K33" s="2450">
        <v>1.98</v>
      </c>
      <c r="L33" s="2451">
        <v>0.88</v>
      </c>
      <c r="N33" s="2427">
        <f t="shared" si="146"/>
        <v>1.8600000000000002E-2</v>
      </c>
      <c r="O33" s="2452">
        <f t="shared" si="141"/>
        <v>1.72E-2</v>
      </c>
      <c r="P33" s="2452">
        <f t="shared" si="141"/>
        <v>1.9799999999999998E-2</v>
      </c>
      <c r="Q33" s="2452">
        <f t="shared" si="141"/>
        <v>8.8000000000000005E-3</v>
      </c>
      <c r="R33" s="2428"/>
      <c r="S33" s="2427"/>
      <c r="T33" s="2412"/>
      <c r="U33" s="2412"/>
      <c r="V33" s="2412"/>
    </row>
    <row r="34" spans="1:26">
      <c r="A34" s="2424" t="s">
        <v>1132</v>
      </c>
      <c r="B34" s="2425">
        <f t="shared" si="153"/>
        <v>288.2649053828776</v>
      </c>
      <c r="C34" s="2425">
        <f t="shared" si="153"/>
        <v>243.64564425013293</v>
      </c>
      <c r="D34" s="2425">
        <f t="shared" si="144"/>
        <v>243.64564425013293</v>
      </c>
      <c r="E34" s="2425">
        <f t="shared" si="154"/>
        <v>393.31080825986544</v>
      </c>
      <c r="F34" s="2425">
        <f t="shared" si="154"/>
        <v>223.07903790551154</v>
      </c>
      <c r="G34" s="3425"/>
      <c r="H34" s="2437">
        <v>2</v>
      </c>
      <c r="I34" s="2437">
        <v>2.04</v>
      </c>
      <c r="J34" s="2437">
        <v>2.33</v>
      </c>
      <c r="K34" s="2437">
        <v>2.0699999999999998</v>
      </c>
      <c r="L34" s="2438">
        <v>0.69</v>
      </c>
      <c r="N34" s="2427">
        <f t="shared" si="146"/>
        <v>2.0400000000000001E-2</v>
      </c>
      <c r="O34" s="2452">
        <f t="shared" si="141"/>
        <v>2.3300000000000001E-2</v>
      </c>
      <c r="P34" s="2452">
        <f t="shared" si="141"/>
        <v>2.07E-2</v>
      </c>
      <c r="Q34" s="2452">
        <f t="shared" si="141"/>
        <v>6.8999999999999999E-3</v>
      </c>
      <c r="R34" s="2428"/>
      <c r="S34" s="2427"/>
      <c r="T34" s="2412"/>
      <c r="U34" s="2412"/>
      <c r="V34" s="2412"/>
      <c r="X34" s="2471"/>
      <c r="Y34" s="2472"/>
    </row>
    <row r="35" spans="1:26">
      <c r="A35" s="2424" t="s">
        <v>1133</v>
      </c>
      <c r="B35" s="2425">
        <f t="shared" si="153"/>
        <v>282.50186729015837</v>
      </c>
      <c r="C35" s="2425">
        <f t="shared" si="153"/>
        <v>238.09796174155468</v>
      </c>
      <c r="D35" s="2425">
        <f t="shared" si="144"/>
        <v>238.09796174155468</v>
      </c>
      <c r="E35" s="2425">
        <f t="shared" si="154"/>
        <v>385.33438646014054</v>
      </c>
      <c r="F35" s="2425">
        <f t="shared" si="154"/>
        <v>221.55034055567739</v>
      </c>
      <c r="G35" s="3426"/>
      <c r="H35" s="2426">
        <v>1</v>
      </c>
      <c r="I35" s="2426">
        <v>1.67</v>
      </c>
      <c r="J35" s="2426">
        <v>1.31</v>
      </c>
      <c r="K35" s="2426">
        <v>1.85</v>
      </c>
      <c r="L35" s="2432">
        <v>0.96</v>
      </c>
      <c r="N35" s="2443">
        <f t="shared" si="146"/>
        <v>1.67E-2</v>
      </c>
      <c r="O35" s="2444">
        <f t="shared" si="146"/>
        <v>1.3100000000000001E-2</v>
      </c>
      <c r="P35" s="2444">
        <f t="shared" si="146"/>
        <v>1.8500000000000003E-2</v>
      </c>
      <c r="Q35" s="2444">
        <f t="shared" si="146"/>
        <v>9.5999999999999992E-3</v>
      </c>
      <c r="R35" s="2428"/>
      <c r="S35" s="2443">
        <f>B35/B36-1</f>
        <v>1.6193767230785472E-2</v>
      </c>
      <c r="T35" s="2444">
        <f>C35/C36-1</f>
        <v>1.7512657015190891E-2</v>
      </c>
      <c r="U35" s="2444">
        <f>E35/E36-1</f>
        <v>1.6713420739157048E-2</v>
      </c>
      <c r="V35" s="2444">
        <f>F35/F36-1</f>
        <v>7.0470025258062563E-3</v>
      </c>
      <c r="X35" s="2473"/>
      <c r="Y35" s="2412"/>
      <c r="Z35" s="2412"/>
    </row>
    <row r="36" spans="1:26" ht="13.5" thickBot="1">
      <c r="A36" s="2424" t="s">
        <v>1134</v>
      </c>
      <c r="B36" s="2474">
        <v>278</v>
      </c>
      <c r="C36" s="2474">
        <v>234</v>
      </c>
      <c r="D36" s="2474">
        <f t="shared" si="144"/>
        <v>234</v>
      </c>
      <c r="E36" s="2474">
        <v>379</v>
      </c>
      <c r="F36" s="2475">
        <v>220</v>
      </c>
      <c r="G36" s="3419">
        <v>2012</v>
      </c>
      <c r="H36" s="2445">
        <v>4</v>
      </c>
      <c r="I36" s="2445">
        <v>0.91</v>
      </c>
      <c r="J36" s="2445">
        <v>0.68</v>
      </c>
      <c r="K36" s="2445">
        <v>0.98</v>
      </c>
      <c r="L36" s="2446">
        <v>0.9</v>
      </c>
      <c r="N36" s="2427">
        <f t="shared" si="146"/>
        <v>9.1000000000000004E-3</v>
      </c>
      <c r="O36" s="2412">
        <f t="shared" si="146"/>
        <v>6.8000000000000005E-3</v>
      </c>
      <c r="P36" s="2412">
        <f t="shared" si="146"/>
        <v>9.7999999999999997E-3</v>
      </c>
      <c r="Q36" s="2412">
        <f t="shared" si="146"/>
        <v>9.0000000000000011E-3</v>
      </c>
      <c r="R36" s="2428"/>
      <c r="S36" s="2441"/>
      <c r="T36" s="2442"/>
      <c r="U36" s="2442"/>
      <c r="V36" s="2442"/>
      <c r="X36" s="2442"/>
      <c r="Y36" s="2442"/>
      <c r="Z36" s="2442"/>
    </row>
    <row r="37" spans="1:26">
      <c r="A37" s="2424" t="s">
        <v>1135</v>
      </c>
      <c r="B37" s="2425">
        <f>B36/(1+N36)</f>
        <v>275.49301357645425</v>
      </c>
      <c r="C37" s="2425">
        <f>C36/(1+O36)</f>
        <v>232.41954707985698</v>
      </c>
      <c r="D37" s="2425">
        <f t="shared" si="144"/>
        <v>232.41954707985698</v>
      </c>
      <c r="E37" s="2425">
        <f t="shared" ref="E37:F39" si="155">E36/(1+P36)</f>
        <v>375.32184591008121</v>
      </c>
      <c r="F37" s="2425">
        <f t="shared" si="155"/>
        <v>218.03766105054513</v>
      </c>
      <c r="G37" s="3420"/>
      <c r="H37" s="2450">
        <v>3</v>
      </c>
      <c r="I37" s="2450">
        <v>0.09</v>
      </c>
      <c r="J37" s="2450">
        <v>0.28999999999999998</v>
      </c>
      <c r="K37" s="2450">
        <v>-0.01</v>
      </c>
      <c r="L37" s="2451">
        <v>0.57999999999999996</v>
      </c>
      <c r="N37" s="2427">
        <f t="shared" si="146"/>
        <v>8.9999999999999998E-4</v>
      </c>
      <c r="O37" s="2412">
        <f t="shared" si="146"/>
        <v>2.8999999999999998E-3</v>
      </c>
      <c r="P37" s="2412">
        <f t="shared" si="146"/>
        <v>-1E-4</v>
      </c>
      <c r="Q37" s="2412">
        <f t="shared" si="146"/>
        <v>5.7999999999999996E-3</v>
      </c>
      <c r="R37" s="2428"/>
      <c r="S37" s="2427"/>
      <c r="T37" s="2412"/>
      <c r="U37" s="2412"/>
      <c r="V37" s="2412"/>
    </row>
    <row r="38" spans="1:26">
      <c r="A38" s="2424" t="s">
        <v>1136</v>
      </c>
      <c r="B38" s="2425">
        <f>B37/(1+N37)</f>
        <v>275.24529281292263</v>
      </c>
      <c r="C38" s="2425">
        <f>C37/(1+O37)</f>
        <v>231.74747938962707</v>
      </c>
      <c r="D38" s="2425">
        <f t="shared" si="144"/>
        <v>231.74747938962707</v>
      </c>
      <c r="E38" s="2425">
        <f t="shared" si="155"/>
        <v>375.35938184826603</v>
      </c>
      <c r="F38" s="2425">
        <f t="shared" si="155"/>
        <v>216.78033510692495</v>
      </c>
      <c r="G38" s="3420"/>
      <c r="H38" s="2437">
        <v>2</v>
      </c>
      <c r="I38" s="2437">
        <v>0.02</v>
      </c>
      <c r="J38" s="2437">
        <v>0.12</v>
      </c>
      <c r="K38" s="2437">
        <v>-0.08</v>
      </c>
      <c r="L38" s="2438">
        <v>1.24</v>
      </c>
      <c r="N38" s="2427">
        <f t="shared" si="146"/>
        <v>2.0000000000000001E-4</v>
      </c>
      <c r="O38" s="2412">
        <f t="shared" si="146"/>
        <v>1.1999999999999999E-3</v>
      </c>
      <c r="P38" s="2412">
        <f t="shared" si="146"/>
        <v>-8.0000000000000004E-4</v>
      </c>
      <c r="Q38" s="2412">
        <f t="shared" si="146"/>
        <v>1.24E-2</v>
      </c>
      <c r="R38" s="2428"/>
      <c r="S38" s="2427"/>
      <c r="T38" s="2412"/>
      <c r="U38" s="2412"/>
      <c r="V38" s="2412"/>
    </row>
    <row r="39" spans="1:26" ht="13.5" thickBot="1">
      <c r="A39" s="2424" t="s">
        <v>1137</v>
      </c>
      <c r="B39" s="2425">
        <f>B38/(1+N38)</f>
        <v>275.19025476197027</v>
      </c>
      <c r="C39" s="2476">
        <v>232</v>
      </c>
      <c r="D39" s="2476">
        <f t="shared" si="144"/>
        <v>232</v>
      </c>
      <c r="E39" s="2425">
        <f t="shared" si="155"/>
        <v>375.65990977608692</v>
      </c>
      <c r="F39" s="2425">
        <f t="shared" si="155"/>
        <v>214.12518283971252</v>
      </c>
      <c r="G39" s="3421"/>
      <c r="H39" s="2426">
        <v>1</v>
      </c>
      <c r="I39" s="2426">
        <v>0.02</v>
      </c>
      <c r="J39" s="2426">
        <v>0.13</v>
      </c>
      <c r="K39" s="2426">
        <v>-0.04</v>
      </c>
      <c r="L39" s="2432">
        <v>0.46</v>
      </c>
      <c r="N39" s="2427">
        <f t="shared" si="146"/>
        <v>2.0000000000000001E-4</v>
      </c>
      <c r="O39" s="2412">
        <f t="shared" si="146"/>
        <v>1.2999999999999999E-3</v>
      </c>
      <c r="P39" s="2412">
        <f t="shared" si="146"/>
        <v>-4.0000000000000002E-4</v>
      </c>
      <c r="Q39" s="2412">
        <f t="shared" si="146"/>
        <v>4.5999999999999999E-3</v>
      </c>
      <c r="R39" s="2428"/>
      <c r="S39" s="2443">
        <f>B39/B40-1</f>
        <v>6.9183549807361189E-4</v>
      </c>
      <c r="T39" s="2444">
        <f>C39/C40-1</f>
        <v>0</v>
      </c>
      <c r="U39" s="2444">
        <f>E39/E40-1</f>
        <v>-9.0449527636460303E-4</v>
      </c>
      <c r="V39" s="2444">
        <f>F39/F40-1</f>
        <v>5.2825485432512753E-3</v>
      </c>
      <c r="X39" s="2412"/>
      <c r="Y39" s="2412"/>
      <c r="Z39" s="2412"/>
    </row>
    <row r="40" spans="1:26" ht="13.5" thickBot="1">
      <c r="A40" s="2424" t="s">
        <v>1138</v>
      </c>
      <c r="B40" s="2439">
        <v>275</v>
      </c>
      <c r="C40" s="2439">
        <v>232</v>
      </c>
      <c r="D40" s="2439">
        <f t="shared" si="144"/>
        <v>232</v>
      </c>
      <c r="E40" s="2439">
        <v>376</v>
      </c>
      <c r="F40" s="2440">
        <v>213</v>
      </c>
      <c r="G40" s="3419">
        <v>2011</v>
      </c>
      <c r="H40" s="2445">
        <v>4</v>
      </c>
      <c r="I40" s="2445">
        <v>-0.2</v>
      </c>
      <c r="J40" s="2445">
        <v>0.04</v>
      </c>
      <c r="K40" s="2445">
        <v>-0.34</v>
      </c>
      <c r="L40" s="2446">
        <v>0.46</v>
      </c>
      <c r="N40" s="2447">
        <f t="shared" si="146"/>
        <v>-2E-3</v>
      </c>
      <c r="O40" s="2448">
        <f t="shared" si="146"/>
        <v>4.0000000000000002E-4</v>
      </c>
      <c r="P40" s="2448">
        <f t="shared" si="146"/>
        <v>-3.4000000000000002E-3</v>
      </c>
      <c r="Q40" s="2448">
        <f t="shared" si="146"/>
        <v>4.5999999999999999E-3</v>
      </c>
      <c r="R40" s="2428"/>
      <c r="S40" s="2441"/>
      <c r="T40" s="2442"/>
      <c r="U40" s="2442"/>
      <c r="V40" s="2442"/>
      <c r="X40" s="2442"/>
      <c r="Y40" s="2442"/>
      <c r="Z40" s="2442"/>
    </row>
    <row r="41" spans="1:26">
      <c r="A41" s="2424" t="s">
        <v>1139</v>
      </c>
      <c r="B41" s="2425">
        <f t="shared" ref="B41:C43" si="156">B40/(1+N40)</f>
        <v>275.55110220440883</v>
      </c>
      <c r="C41" s="2425">
        <f t="shared" si="156"/>
        <v>231.90723710515795</v>
      </c>
      <c r="D41" s="2425">
        <f t="shared" si="144"/>
        <v>231.90723710515795</v>
      </c>
      <c r="E41" s="2425">
        <f t="shared" ref="E41:F43" si="157">E40/(1+P40)</f>
        <v>377.28276138872161</v>
      </c>
      <c r="F41" s="2425">
        <f t="shared" si="157"/>
        <v>212.02468644236512</v>
      </c>
      <c r="G41" s="3420">
        <v>2011</v>
      </c>
      <c r="H41" s="2450">
        <v>3</v>
      </c>
      <c r="I41" s="2450">
        <v>0.13</v>
      </c>
      <c r="J41" s="2450">
        <v>0.75</v>
      </c>
      <c r="K41" s="2450">
        <v>-0.08</v>
      </c>
      <c r="L41" s="2451">
        <v>0.53</v>
      </c>
      <c r="N41" s="2427">
        <f t="shared" si="146"/>
        <v>1.2999999999999999E-3</v>
      </c>
      <c r="O41" s="2452">
        <f t="shared" si="146"/>
        <v>7.4999999999999997E-3</v>
      </c>
      <c r="P41" s="2452">
        <f t="shared" si="146"/>
        <v>-8.0000000000000004E-4</v>
      </c>
      <c r="Q41" s="2452">
        <f t="shared" si="146"/>
        <v>5.3E-3</v>
      </c>
      <c r="R41" s="2428"/>
      <c r="S41" s="2427"/>
      <c r="T41" s="2412"/>
      <c r="U41" s="2412"/>
      <c r="V41" s="2412"/>
    </row>
    <row r="42" spans="1:26">
      <c r="A42" s="2424" t="s">
        <v>1140</v>
      </c>
      <c r="B42" s="2425">
        <f t="shared" si="156"/>
        <v>275.19335084830601</v>
      </c>
      <c r="C42" s="2425">
        <f t="shared" si="156"/>
        <v>230.18088050139744</v>
      </c>
      <c r="D42" s="2425">
        <f t="shared" si="144"/>
        <v>230.18088050139744</v>
      </c>
      <c r="E42" s="2425">
        <f t="shared" si="157"/>
        <v>377.58482925212331</v>
      </c>
      <c r="F42" s="2425">
        <f t="shared" si="157"/>
        <v>210.90687997847917</v>
      </c>
      <c r="G42" s="3420">
        <v>2011</v>
      </c>
      <c r="H42" s="2437">
        <v>2</v>
      </c>
      <c r="I42" s="2437">
        <v>-0.4</v>
      </c>
      <c r="J42" s="2437">
        <v>0.17</v>
      </c>
      <c r="K42" s="2437">
        <v>-0.57999999999999996</v>
      </c>
      <c r="L42" s="2438">
        <v>-0.2</v>
      </c>
      <c r="N42" s="2427">
        <f t="shared" si="146"/>
        <v>-4.0000000000000001E-3</v>
      </c>
      <c r="O42" s="2452">
        <f t="shared" si="146"/>
        <v>1.7000000000000001E-3</v>
      </c>
      <c r="P42" s="2452">
        <f t="shared" si="146"/>
        <v>-5.7999999999999996E-3</v>
      </c>
      <c r="Q42" s="2452">
        <f t="shared" si="146"/>
        <v>-2E-3</v>
      </c>
      <c r="R42" s="2428"/>
      <c r="S42" s="2427"/>
      <c r="T42" s="2412"/>
      <c r="U42" s="2412"/>
      <c r="V42" s="2412"/>
    </row>
    <row r="43" spans="1:26" ht="13.5" thickBot="1">
      <c r="A43" s="2424" t="s">
        <v>1141</v>
      </c>
      <c r="B43" s="2425">
        <f t="shared" si="156"/>
        <v>276.29854502841971</v>
      </c>
      <c r="C43" s="2425">
        <f t="shared" si="156"/>
        <v>229.79023709833027</v>
      </c>
      <c r="D43" s="2425">
        <f t="shared" si="144"/>
        <v>229.79023709833027</v>
      </c>
      <c r="E43" s="2425">
        <f t="shared" si="157"/>
        <v>379.78759731655936</v>
      </c>
      <c r="F43" s="2425">
        <f t="shared" si="157"/>
        <v>211.32953905659235</v>
      </c>
      <c r="G43" s="3421">
        <v>2011</v>
      </c>
      <c r="H43" s="2426">
        <v>1</v>
      </c>
      <c r="I43" s="2426">
        <v>2.65</v>
      </c>
      <c r="J43" s="2426">
        <v>3.76</v>
      </c>
      <c r="K43" s="2426">
        <v>1.89</v>
      </c>
      <c r="L43" s="2432">
        <v>7.95</v>
      </c>
      <c r="N43" s="2443">
        <f t="shared" si="146"/>
        <v>2.6499999999999999E-2</v>
      </c>
      <c r="O43" s="2444">
        <f t="shared" si="146"/>
        <v>3.7599999999999995E-2</v>
      </c>
      <c r="P43" s="2444">
        <f t="shared" si="146"/>
        <v>1.89E-2</v>
      </c>
      <c r="Q43" s="2444">
        <f t="shared" si="146"/>
        <v>7.9500000000000001E-2</v>
      </c>
      <c r="R43" s="2428"/>
      <c r="S43" s="2443">
        <f>B43/B44-1</f>
        <v>2.713213765211786E-2</v>
      </c>
      <c r="T43" s="2444">
        <f>C43/C44-1</f>
        <v>3.9774828499231862E-2</v>
      </c>
      <c r="U43" s="2444">
        <f>E43/E44-1</f>
        <v>1.8197311840641772E-2</v>
      </c>
      <c r="V43" s="2444">
        <f>F43/F44-1</f>
        <v>7.8211933962205826E-2</v>
      </c>
      <c r="X43" s="2412"/>
      <c r="Y43" s="2412"/>
      <c r="Z43" s="2412"/>
    </row>
    <row r="44" spans="1:26" ht="13.5" thickBot="1">
      <c r="A44" s="2424" t="s">
        <v>1142</v>
      </c>
      <c r="B44" s="2439">
        <v>269</v>
      </c>
      <c r="C44" s="2439">
        <v>221</v>
      </c>
      <c r="D44" s="2439">
        <f t="shared" si="144"/>
        <v>221</v>
      </c>
      <c r="E44" s="2439">
        <v>373</v>
      </c>
      <c r="F44" s="2440">
        <v>196</v>
      </c>
      <c r="G44" s="3419">
        <v>2010</v>
      </c>
      <c r="H44" s="2445">
        <v>4</v>
      </c>
      <c r="I44" s="2445">
        <v>5.72</v>
      </c>
      <c r="J44" s="2445">
        <v>6.57</v>
      </c>
      <c r="K44" s="2445">
        <v>5.72</v>
      </c>
      <c r="L44" s="2446">
        <v>2.72</v>
      </c>
      <c r="N44" s="2427">
        <f t="shared" si="146"/>
        <v>5.7200000000000001E-2</v>
      </c>
      <c r="O44" s="2412">
        <f t="shared" si="146"/>
        <v>6.5700000000000008E-2</v>
      </c>
      <c r="P44" s="2412">
        <f t="shared" si="146"/>
        <v>5.7200000000000001E-2</v>
      </c>
      <c r="Q44" s="2412">
        <f t="shared" si="146"/>
        <v>2.7200000000000002E-2</v>
      </c>
      <c r="R44" s="2428"/>
      <c r="S44" s="2441"/>
      <c r="T44" s="2442"/>
      <c r="U44" s="2442"/>
      <c r="V44" s="2442"/>
      <c r="X44" s="2442"/>
      <c r="Y44" s="2442"/>
      <c r="Z44" s="2442"/>
    </row>
    <row r="45" spans="1:26">
      <c r="A45" s="2424" t="s">
        <v>1143</v>
      </c>
      <c r="B45" s="2425">
        <f t="shared" ref="B45:C47" si="158">B44/(1+N44)</f>
        <v>254.44570563753314</v>
      </c>
      <c r="C45" s="2425">
        <f t="shared" si="158"/>
        <v>207.37543398705074</v>
      </c>
      <c r="D45" s="2425">
        <f t="shared" si="144"/>
        <v>207.37543398705074</v>
      </c>
      <c r="E45" s="2425">
        <f t="shared" ref="E45:F47" si="159">E44/(1+P44)</f>
        <v>352.81876655315932</v>
      </c>
      <c r="F45" s="2425">
        <f t="shared" si="159"/>
        <v>190.809968847352</v>
      </c>
      <c r="G45" s="3420">
        <v>2010</v>
      </c>
      <c r="H45" s="2450">
        <v>3</v>
      </c>
      <c r="I45" s="2450">
        <v>4.7300000000000004</v>
      </c>
      <c r="J45" s="2450">
        <v>3.9</v>
      </c>
      <c r="K45" s="2450">
        <v>5.03</v>
      </c>
      <c r="L45" s="2451">
        <v>4.21</v>
      </c>
      <c r="N45" s="2427">
        <f t="shared" si="146"/>
        <v>4.7300000000000002E-2</v>
      </c>
      <c r="O45" s="2412">
        <f t="shared" si="146"/>
        <v>3.9E-2</v>
      </c>
      <c r="P45" s="2412">
        <f t="shared" si="146"/>
        <v>5.0300000000000004E-2</v>
      </c>
      <c r="Q45" s="2412">
        <f t="shared" si="146"/>
        <v>4.2099999999999999E-2</v>
      </c>
      <c r="R45" s="2428"/>
      <c r="S45" s="2427"/>
      <c r="T45" s="2412"/>
      <c r="U45" s="2412"/>
      <c r="V45" s="2412"/>
    </row>
    <row r="46" spans="1:26">
      <c r="A46" s="2424" t="s">
        <v>1144</v>
      </c>
      <c r="B46" s="2425">
        <f t="shared" si="158"/>
        <v>242.95398227588385</v>
      </c>
      <c r="C46" s="2425">
        <f t="shared" si="158"/>
        <v>199.59137053614126</v>
      </c>
      <c r="D46" s="2425">
        <f t="shared" si="144"/>
        <v>199.59137053614126</v>
      </c>
      <c r="E46" s="2425">
        <f t="shared" si="159"/>
        <v>335.92189522342125</v>
      </c>
      <c r="F46" s="2425">
        <f t="shared" si="159"/>
        <v>183.10139991109489</v>
      </c>
      <c r="G46" s="3420">
        <v>2010</v>
      </c>
      <c r="H46" s="2437">
        <v>2</v>
      </c>
      <c r="I46" s="2437">
        <v>4.6900000000000004</v>
      </c>
      <c r="J46" s="2437">
        <v>3.55</v>
      </c>
      <c r="K46" s="2437">
        <v>5.07</v>
      </c>
      <c r="L46" s="2438">
        <v>4.2300000000000004</v>
      </c>
      <c r="N46" s="2427">
        <f t="shared" si="146"/>
        <v>4.6900000000000004E-2</v>
      </c>
      <c r="O46" s="2412">
        <f t="shared" si="146"/>
        <v>3.5499999999999997E-2</v>
      </c>
      <c r="P46" s="2412">
        <f t="shared" si="146"/>
        <v>5.0700000000000002E-2</v>
      </c>
      <c r="Q46" s="2412">
        <f t="shared" si="146"/>
        <v>4.2300000000000004E-2</v>
      </c>
      <c r="R46" s="2428"/>
      <c r="S46" s="2427"/>
      <c r="T46" s="2412"/>
      <c r="U46" s="2412"/>
      <c r="V46" s="2412"/>
    </row>
    <row r="47" spans="1:26" ht="13.5" thickBot="1">
      <c r="A47" s="2424" t="s">
        <v>1145</v>
      </c>
      <c r="B47" s="2425">
        <f t="shared" si="158"/>
        <v>232.06990378821649</v>
      </c>
      <c r="C47" s="2425">
        <f t="shared" si="158"/>
        <v>192.74878854286936</v>
      </c>
      <c r="D47" s="2425">
        <f t="shared" si="144"/>
        <v>192.74878854286936</v>
      </c>
      <c r="E47" s="2425">
        <f t="shared" si="159"/>
        <v>319.71247284992984</v>
      </c>
      <c r="F47" s="2425">
        <f t="shared" si="159"/>
        <v>175.67053622862409</v>
      </c>
      <c r="G47" s="3421">
        <v>2010</v>
      </c>
      <c r="H47" s="2426">
        <v>1</v>
      </c>
      <c r="I47" s="2426">
        <v>5.4</v>
      </c>
      <c r="J47" s="2426">
        <v>3.2</v>
      </c>
      <c r="K47" s="2426">
        <v>6.16</v>
      </c>
      <c r="L47" s="2432">
        <v>4.51</v>
      </c>
      <c r="N47" s="2427">
        <f t="shared" si="146"/>
        <v>5.4000000000000006E-2</v>
      </c>
      <c r="O47" s="2412">
        <f t="shared" si="146"/>
        <v>3.2000000000000001E-2</v>
      </c>
      <c r="P47" s="2412">
        <f t="shared" si="146"/>
        <v>6.1600000000000002E-2</v>
      </c>
      <c r="Q47" s="2412">
        <f t="shared" si="146"/>
        <v>4.5100000000000001E-2</v>
      </c>
      <c r="R47" s="2428"/>
      <c r="S47" s="2443">
        <f>B47/B48-1</f>
        <v>5.4863199037347599E-2</v>
      </c>
      <c r="T47" s="2444">
        <f>C47/C48-1</f>
        <v>3.0742184721226584E-2</v>
      </c>
      <c r="U47" s="2444">
        <f>E47/E48-1</f>
        <v>6.2167683886810154E-2</v>
      </c>
      <c r="V47" s="2444">
        <f>F47/F48-1</f>
        <v>4.5657953741810031E-2</v>
      </c>
      <c r="X47" s="2412"/>
      <c r="Y47" s="2412"/>
      <c r="Z47" s="2412"/>
    </row>
    <row r="48" spans="1:26" ht="13.5" thickBot="1">
      <c r="A48" s="2424" t="s">
        <v>1146</v>
      </c>
      <c r="B48" s="2439">
        <v>220</v>
      </c>
      <c r="C48" s="2439">
        <v>187</v>
      </c>
      <c r="D48" s="2439">
        <f t="shared" si="144"/>
        <v>187</v>
      </c>
      <c r="E48" s="2439">
        <v>301</v>
      </c>
      <c r="F48" s="2440">
        <v>168</v>
      </c>
      <c r="G48" s="3419">
        <v>2009</v>
      </c>
      <c r="H48" s="2445">
        <v>4</v>
      </c>
      <c r="I48" s="2445">
        <v>2.2999999999999998</v>
      </c>
      <c r="J48" s="2445">
        <v>1.04</v>
      </c>
      <c r="K48" s="2445">
        <v>2.84</v>
      </c>
      <c r="L48" s="2446">
        <v>0.67</v>
      </c>
      <c r="N48" s="2447">
        <f t="shared" si="146"/>
        <v>2.3E-2</v>
      </c>
      <c r="O48" s="2448">
        <f t="shared" si="146"/>
        <v>1.04E-2</v>
      </c>
      <c r="P48" s="2448">
        <f t="shared" si="146"/>
        <v>2.8399999999999998E-2</v>
      </c>
      <c r="Q48" s="2448">
        <f t="shared" si="146"/>
        <v>6.7000000000000002E-3</v>
      </c>
      <c r="R48" s="2428"/>
      <c r="S48" s="2441"/>
      <c r="T48" s="2442"/>
      <c r="U48" s="2442"/>
      <c r="V48" s="2442"/>
      <c r="X48" s="2442"/>
      <c r="Y48" s="2442"/>
      <c r="Z48" s="2442"/>
    </row>
    <row r="49" spans="1:26">
      <c r="A49" s="2424" t="s">
        <v>1147</v>
      </c>
      <c r="B49" s="2425">
        <f t="shared" ref="B49:C51" si="160">B48/(1+N48)</f>
        <v>215.05376344086022</v>
      </c>
      <c r="C49" s="2425">
        <f t="shared" si="160"/>
        <v>185.0752177355503</v>
      </c>
      <c r="D49" s="2425">
        <f t="shared" si="144"/>
        <v>185.0752177355503</v>
      </c>
      <c r="E49" s="2425">
        <f t="shared" ref="E49:F51" si="161">E48/(1+P48)</f>
        <v>292.68767016725008</v>
      </c>
      <c r="F49" s="2425">
        <f t="shared" si="161"/>
        <v>166.88189132810174</v>
      </c>
      <c r="G49" s="3420">
        <v>2009</v>
      </c>
      <c r="H49" s="2450">
        <v>3</v>
      </c>
      <c r="I49" s="2450">
        <v>2.1</v>
      </c>
      <c r="J49" s="2450">
        <v>1.86</v>
      </c>
      <c r="K49" s="2450">
        <v>2.29</v>
      </c>
      <c r="L49" s="2451">
        <v>0.85</v>
      </c>
      <c r="N49" s="2427">
        <f t="shared" si="146"/>
        <v>2.1000000000000001E-2</v>
      </c>
      <c r="O49" s="2452">
        <f t="shared" si="146"/>
        <v>1.8600000000000002E-2</v>
      </c>
      <c r="P49" s="2452">
        <f t="shared" si="146"/>
        <v>2.29E-2</v>
      </c>
      <c r="Q49" s="2452">
        <f t="shared" si="146"/>
        <v>8.5000000000000006E-3</v>
      </c>
      <c r="R49" s="2428"/>
      <c r="S49" s="2427"/>
      <c r="T49" s="2412"/>
      <c r="U49" s="2412"/>
      <c r="V49" s="2412"/>
    </row>
    <row r="50" spans="1:26">
      <c r="A50" s="2424" t="s">
        <v>1148</v>
      </c>
      <c r="B50" s="2425">
        <f t="shared" si="160"/>
        <v>210.630522469011</v>
      </c>
      <c r="C50" s="2425">
        <f t="shared" si="160"/>
        <v>181.69567812247232</v>
      </c>
      <c r="D50" s="2425">
        <f t="shared" si="144"/>
        <v>181.69567812247232</v>
      </c>
      <c r="E50" s="2425">
        <f t="shared" si="161"/>
        <v>286.13517466736738</v>
      </c>
      <c r="F50" s="2425">
        <f t="shared" si="161"/>
        <v>165.47535084591149</v>
      </c>
      <c r="G50" s="3420">
        <v>2009</v>
      </c>
      <c r="H50" s="2437">
        <v>2</v>
      </c>
      <c r="I50" s="2437">
        <v>0.86</v>
      </c>
      <c r="J50" s="2437">
        <v>-1.1299999999999999</v>
      </c>
      <c r="K50" s="2437">
        <v>1.79</v>
      </c>
      <c r="L50" s="2438">
        <v>-2.0699999999999998</v>
      </c>
      <c r="N50" s="2427">
        <f t="shared" si="146"/>
        <v>8.6E-3</v>
      </c>
      <c r="O50" s="2452">
        <f t="shared" si="146"/>
        <v>-1.1299999999999999E-2</v>
      </c>
      <c r="P50" s="2452">
        <f t="shared" si="146"/>
        <v>1.7899999999999999E-2</v>
      </c>
      <c r="Q50" s="2452">
        <f t="shared" si="146"/>
        <v>-2.07E-2</v>
      </c>
      <c r="R50" s="2428"/>
      <c r="S50" s="2427"/>
      <c r="T50" s="2412"/>
      <c r="U50" s="2412"/>
      <c r="V50" s="2412"/>
    </row>
    <row r="51" spans="1:26">
      <c r="A51" s="2424" t="s">
        <v>1149</v>
      </c>
      <c r="B51" s="2425">
        <f t="shared" si="160"/>
        <v>208.83454537875372</v>
      </c>
      <c r="C51" s="2425">
        <f t="shared" si="160"/>
        <v>183.77230517090351</v>
      </c>
      <c r="D51" s="2425">
        <f t="shared" si="144"/>
        <v>183.77230517090351</v>
      </c>
      <c r="E51" s="2425">
        <f t="shared" si="161"/>
        <v>281.10342338870947</v>
      </c>
      <c r="F51" s="2425">
        <f t="shared" si="161"/>
        <v>168.97309388942256</v>
      </c>
      <c r="G51" s="3421">
        <v>2009</v>
      </c>
      <c r="H51" s="2426">
        <v>1</v>
      </c>
      <c r="I51" s="2426">
        <v>-2.64</v>
      </c>
      <c r="J51" s="2426">
        <v>-2.5299999999999998</v>
      </c>
      <c r="K51" s="2426">
        <v>-3.02</v>
      </c>
      <c r="L51" s="2432">
        <v>1.52</v>
      </c>
      <c r="N51" s="2443">
        <f t="shared" si="146"/>
        <v>-2.64E-2</v>
      </c>
      <c r="O51" s="2444">
        <f t="shared" si="146"/>
        <v>-2.53E-2</v>
      </c>
      <c r="P51" s="2444">
        <f t="shared" si="146"/>
        <v>-3.0200000000000001E-2</v>
      </c>
      <c r="Q51" s="2444">
        <f t="shared" si="146"/>
        <v>1.52E-2</v>
      </c>
      <c r="R51" s="2428"/>
      <c r="S51" s="2443">
        <f>B51/B52-1</f>
        <v>-2.4137638417038754E-2</v>
      </c>
      <c r="T51" s="2444">
        <f>C51/C52-1</f>
        <v>-2.248773845264096E-2</v>
      </c>
      <c r="U51" s="2444">
        <f>E51/E52-1</f>
        <v>-2.7323794502735366E-2</v>
      </c>
      <c r="V51" s="2444">
        <f>F51/F52-1</f>
        <v>1.7910204153148035E-2</v>
      </c>
      <c r="X51" s="2412"/>
      <c r="Y51" s="2412"/>
      <c r="Z51" s="2412"/>
    </row>
    <row r="52" spans="1:26" ht="13.5" thickBot="1">
      <c r="A52" s="2424" t="s">
        <v>1150</v>
      </c>
      <c r="B52" s="2474">
        <v>214</v>
      </c>
      <c r="C52" s="2474">
        <v>188</v>
      </c>
      <c r="D52" s="2474">
        <f t="shared" si="144"/>
        <v>188</v>
      </c>
      <c r="E52" s="2474">
        <v>289</v>
      </c>
      <c r="F52" s="2475">
        <v>166</v>
      </c>
      <c r="G52" s="3419">
        <v>2008</v>
      </c>
      <c r="H52" s="2445">
        <v>4</v>
      </c>
      <c r="I52" s="2445">
        <v>1.73</v>
      </c>
      <c r="J52" s="2445">
        <v>0.03</v>
      </c>
      <c r="K52" s="2445">
        <v>2.59</v>
      </c>
      <c r="L52" s="2446">
        <v>-1.66</v>
      </c>
      <c r="N52" s="2427">
        <f t="shared" si="146"/>
        <v>1.7299999999999999E-2</v>
      </c>
      <c r="O52" s="2412">
        <f t="shared" si="146"/>
        <v>2.9999999999999997E-4</v>
      </c>
      <c r="P52" s="2412">
        <f t="shared" si="146"/>
        <v>2.5899999999999999E-2</v>
      </c>
      <c r="Q52" s="2412">
        <f t="shared" si="146"/>
        <v>-1.66E-2</v>
      </c>
      <c r="R52" s="2428"/>
      <c r="S52" s="2441"/>
      <c r="T52" s="2442"/>
      <c r="U52" s="2442"/>
      <c r="V52" s="2442"/>
      <c r="X52" s="2442"/>
      <c r="Y52" s="2442"/>
      <c r="Z52" s="2442"/>
    </row>
    <row r="53" spans="1:26">
      <c r="A53" s="2424" t="s">
        <v>1151</v>
      </c>
      <c r="B53" s="2425">
        <f t="shared" ref="B53:C55" si="162">B52/(1+N52)</f>
        <v>210.36075887152265</v>
      </c>
      <c r="C53" s="2425">
        <f t="shared" si="162"/>
        <v>187.94361691492554</v>
      </c>
      <c r="D53" s="2425">
        <f t="shared" si="144"/>
        <v>187.94361691492554</v>
      </c>
      <c r="E53" s="2425">
        <f t="shared" ref="E53:F55" si="163">E52/(1+P52)</f>
        <v>281.70386977288234</v>
      </c>
      <c r="F53" s="2425">
        <f t="shared" si="163"/>
        <v>168.80211511083994</v>
      </c>
      <c r="G53" s="3420">
        <v>2008</v>
      </c>
      <c r="H53" s="2450">
        <v>3</v>
      </c>
      <c r="I53" s="2450">
        <v>1.96</v>
      </c>
      <c r="J53" s="2450">
        <v>2.36</v>
      </c>
      <c r="K53" s="2450">
        <v>1.82</v>
      </c>
      <c r="L53" s="2451">
        <v>2.2200000000000002</v>
      </c>
      <c r="N53" s="2427">
        <f t="shared" si="146"/>
        <v>1.9599999999999999E-2</v>
      </c>
      <c r="O53" s="2412">
        <f t="shared" si="146"/>
        <v>2.3599999999999999E-2</v>
      </c>
      <c r="P53" s="2412">
        <f t="shared" si="146"/>
        <v>1.8200000000000001E-2</v>
      </c>
      <c r="Q53" s="2412">
        <f t="shared" si="146"/>
        <v>2.2200000000000001E-2</v>
      </c>
      <c r="R53" s="2428"/>
      <c r="S53" s="2427"/>
      <c r="T53" s="2412"/>
      <c r="U53" s="2412"/>
      <c r="V53" s="2412"/>
    </row>
    <row r="54" spans="1:26">
      <c r="A54" s="2424" t="s">
        <v>1152</v>
      </c>
      <c r="B54" s="2425">
        <f t="shared" si="162"/>
        <v>206.31694671589116</v>
      </c>
      <c r="C54" s="2425">
        <f t="shared" si="162"/>
        <v>183.61041121036101</v>
      </c>
      <c r="D54" s="2425">
        <f t="shared" si="144"/>
        <v>183.61041121036101</v>
      </c>
      <c r="E54" s="2425">
        <f t="shared" si="163"/>
        <v>276.66850301795557</v>
      </c>
      <c r="F54" s="2425">
        <f t="shared" si="163"/>
        <v>165.1360938278614</v>
      </c>
      <c r="G54" s="3420">
        <v>2008</v>
      </c>
      <c r="H54" s="2437">
        <v>2</v>
      </c>
      <c r="I54" s="2437">
        <v>4.93</v>
      </c>
      <c r="J54" s="2437">
        <v>7.38</v>
      </c>
      <c r="K54" s="2437">
        <v>3.98</v>
      </c>
      <c r="L54" s="2438">
        <v>6.86</v>
      </c>
      <c r="N54" s="2427">
        <f t="shared" si="146"/>
        <v>4.9299999999999997E-2</v>
      </c>
      <c r="O54" s="2412">
        <f t="shared" si="146"/>
        <v>7.3800000000000004E-2</v>
      </c>
      <c r="P54" s="2412">
        <f t="shared" si="146"/>
        <v>3.9800000000000002E-2</v>
      </c>
      <c r="Q54" s="2412">
        <f t="shared" si="146"/>
        <v>6.8600000000000008E-2</v>
      </c>
      <c r="R54" s="2428"/>
      <c r="S54" s="2427"/>
      <c r="T54" s="2412"/>
      <c r="U54" s="2412"/>
      <c r="V54" s="2412"/>
    </row>
    <row r="55" spans="1:26" s="2480" customFormat="1" ht="13.5" thickBot="1">
      <c r="A55" s="2424" t="s">
        <v>1153</v>
      </c>
      <c r="B55" s="2477">
        <f t="shared" si="162"/>
        <v>196.62341248059772</v>
      </c>
      <c r="C55" s="2477">
        <f t="shared" si="162"/>
        <v>170.99125648199012</v>
      </c>
      <c r="D55" s="2477">
        <f t="shared" si="144"/>
        <v>170.99125648199012</v>
      </c>
      <c r="E55" s="2477">
        <f t="shared" si="163"/>
        <v>266.07857570490052</v>
      </c>
      <c r="F55" s="2477">
        <f t="shared" si="163"/>
        <v>154.53499328828505</v>
      </c>
      <c r="G55" s="3421">
        <v>2008</v>
      </c>
      <c r="H55" s="2478">
        <v>1</v>
      </c>
      <c r="I55" s="2478">
        <v>4.1399999999999997</v>
      </c>
      <c r="J55" s="2478">
        <v>3.45</v>
      </c>
      <c r="K55" s="2478">
        <v>4.95</v>
      </c>
      <c r="L55" s="2479">
        <v>4.82</v>
      </c>
      <c r="N55" s="2481">
        <f t="shared" si="146"/>
        <v>4.1399999999999999E-2</v>
      </c>
      <c r="O55" s="2482">
        <f t="shared" si="146"/>
        <v>3.4500000000000003E-2</v>
      </c>
      <c r="P55" s="2482">
        <f t="shared" si="146"/>
        <v>4.9500000000000002E-2</v>
      </c>
      <c r="Q55" s="2482">
        <f t="shared" si="146"/>
        <v>4.82E-2</v>
      </c>
      <c r="R55" s="2483"/>
      <c r="S55" s="2481">
        <f>B55/B56-1</f>
        <v>4.5869215322328349E-2</v>
      </c>
      <c r="T55" s="2482">
        <f>C55/C56-1</f>
        <v>3.6310645345394743E-2</v>
      </c>
      <c r="U55" s="2482">
        <f>E55/E56-1</f>
        <v>4.7553447657088688E-2</v>
      </c>
      <c r="V55" s="2482">
        <f>F55/F56-1</f>
        <v>4.4155360055980086E-2</v>
      </c>
      <c r="X55" s="2482"/>
      <c r="Y55" s="2482"/>
      <c r="Z55" s="2482"/>
    </row>
    <row r="56" spans="1:26" ht="13.5" thickBot="1">
      <c r="A56" s="2424" t="s">
        <v>1154</v>
      </c>
      <c r="B56" s="2439">
        <v>188</v>
      </c>
      <c r="C56" s="2439">
        <v>165</v>
      </c>
      <c r="D56" s="2439">
        <f t="shared" si="144"/>
        <v>165</v>
      </c>
      <c r="E56" s="2439">
        <v>254</v>
      </c>
      <c r="F56" s="2440">
        <v>148</v>
      </c>
      <c r="G56" s="3419">
        <v>2007</v>
      </c>
      <c r="H56" s="2484">
        <v>4</v>
      </c>
      <c r="I56" s="2484">
        <v>5.51</v>
      </c>
      <c r="J56" s="2484">
        <v>4.8899999999999997</v>
      </c>
      <c r="K56" s="2484">
        <v>6.43</v>
      </c>
      <c r="L56" s="2485">
        <v>5.36</v>
      </c>
      <c r="N56" s="2486">
        <f t="shared" ref="N56:O59" si="164">B56/B57-1</f>
        <v>4.1339718365245526E-2</v>
      </c>
      <c r="O56" s="2487">
        <f t="shared" si="164"/>
        <v>4.0324492593776018E-2</v>
      </c>
      <c r="P56" s="2487">
        <f t="shared" ref="P56:Q59" si="165">E56/E57-1</f>
        <v>6.1625555347990968E-2</v>
      </c>
      <c r="Q56" s="2487">
        <f t="shared" si="165"/>
        <v>4.6757569250590603E-2</v>
      </c>
      <c r="R56" s="2428"/>
      <c r="S56" s="2441"/>
      <c r="T56" s="2442"/>
      <c r="U56" s="2442"/>
      <c r="V56" s="2442"/>
      <c r="X56" s="2442"/>
      <c r="Y56" s="2442"/>
      <c r="Z56" s="2442"/>
    </row>
    <row r="57" spans="1:26">
      <c r="A57" s="2424" t="s">
        <v>1155</v>
      </c>
      <c r="B57" s="2425">
        <f t="shared" ref="B57:C59" si="166">B58+(B$56-B$60)*I57/SUM(I$56:I$59)</f>
        <v>180.5366651097618</v>
      </c>
      <c r="C57" s="2425">
        <f t="shared" si="166"/>
        <v>158.60435967302453</v>
      </c>
      <c r="D57" s="2425">
        <f t="shared" si="144"/>
        <v>158.60435967302453</v>
      </c>
      <c r="E57" s="2425">
        <f t="shared" ref="E57:F59" si="167">E58+(E$56-E$60)*K57/SUM(K$56:K$59)</f>
        <v>239.25573260785075</v>
      </c>
      <c r="F57" s="2425">
        <f t="shared" si="167"/>
        <v>141.38899430740037</v>
      </c>
      <c r="G57" s="3420">
        <v>2007</v>
      </c>
      <c r="H57" s="2450">
        <v>3</v>
      </c>
      <c r="I57" s="2450">
        <v>8.65</v>
      </c>
      <c r="J57" s="2450">
        <v>8.06</v>
      </c>
      <c r="K57" s="2450">
        <v>9.94</v>
      </c>
      <c r="L57" s="2451">
        <v>5.8</v>
      </c>
      <c r="N57" s="2486">
        <f t="shared" si="164"/>
        <v>6.940217571740015E-2</v>
      </c>
      <c r="O57" s="2487">
        <f t="shared" si="164"/>
        <v>7.1197482471153428E-2</v>
      </c>
      <c r="P57" s="2487">
        <f t="shared" si="165"/>
        <v>0.10529679922579582</v>
      </c>
      <c r="Q57" s="2487">
        <f t="shared" si="165"/>
        <v>5.3292245059512133E-2</v>
      </c>
      <c r="R57" s="2428"/>
      <c r="S57" s="2427"/>
      <c r="T57" s="2412"/>
      <c r="U57" s="2412"/>
      <c r="V57" s="2412"/>
      <c r="X57" s="2488"/>
      <c r="Y57" s="2488"/>
      <c r="Z57" s="2488"/>
    </row>
    <row r="58" spans="1:26">
      <c r="A58" s="2424" t="s">
        <v>1156</v>
      </c>
      <c r="B58" s="2425">
        <f t="shared" si="166"/>
        <v>168.82017748715555</v>
      </c>
      <c r="C58" s="2425">
        <f t="shared" si="166"/>
        <v>148.06267029972753</v>
      </c>
      <c r="D58" s="2425">
        <f t="shared" si="144"/>
        <v>148.06267029972753</v>
      </c>
      <c r="E58" s="2425">
        <f t="shared" si="167"/>
        <v>216.46288379323747</v>
      </c>
      <c r="F58" s="2425">
        <f t="shared" si="167"/>
        <v>134.23529411764704</v>
      </c>
      <c r="G58" s="3420">
        <v>2007</v>
      </c>
      <c r="H58" s="2437">
        <v>2</v>
      </c>
      <c r="I58" s="2437">
        <v>3.67</v>
      </c>
      <c r="J58" s="2437">
        <v>2.3199999999999998</v>
      </c>
      <c r="K58" s="2437">
        <v>5.0199999999999996</v>
      </c>
      <c r="L58" s="2438">
        <v>6.71</v>
      </c>
      <c r="N58" s="2486">
        <f t="shared" si="164"/>
        <v>3.0339138143848032E-2</v>
      </c>
      <c r="O58" s="2487">
        <f t="shared" si="164"/>
        <v>2.0922341588790472E-2</v>
      </c>
      <c r="P58" s="2487">
        <f t="shared" si="165"/>
        <v>5.6164796592717003E-2</v>
      </c>
      <c r="Q58" s="2487">
        <f t="shared" si="165"/>
        <v>6.5704536723887319E-2</v>
      </c>
      <c r="R58" s="2428"/>
      <c r="S58" s="2427"/>
      <c r="T58" s="2412"/>
      <c r="U58" s="2412"/>
      <c r="V58" s="2412"/>
      <c r="X58" s="2488"/>
      <c r="Y58" s="2488"/>
      <c r="Z58" s="2488"/>
    </row>
    <row r="59" spans="1:26">
      <c r="A59" s="2424" t="s">
        <v>1157</v>
      </c>
      <c r="B59" s="2425">
        <f t="shared" si="166"/>
        <v>163.84913591779542</v>
      </c>
      <c r="C59" s="2425">
        <f t="shared" si="166"/>
        <v>145.0283378746594</v>
      </c>
      <c r="D59" s="2425">
        <f t="shared" si="144"/>
        <v>145.0283378746594</v>
      </c>
      <c r="E59" s="2425">
        <f t="shared" si="167"/>
        <v>204.95180722891567</v>
      </c>
      <c r="F59" s="2425">
        <f t="shared" si="167"/>
        <v>125.95920303605313</v>
      </c>
      <c r="G59" s="3421">
        <v>2007</v>
      </c>
      <c r="H59" s="2426">
        <v>1</v>
      </c>
      <c r="I59" s="2426">
        <v>3.58</v>
      </c>
      <c r="J59" s="2426">
        <v>3.08</v>
      </c>
      <c r="K59" s="2426">
        <v>4.34</v>
      </c>
      <c r="L59" s="2432">
        <v>3.21</v>
      </c>
      <c r="N59" s="2489">
        <f t="shared" si="164"/>
        <v>3.0497710174814063E-2</v>
      </c>
      <c r="O59" s="2490">
        <f t="shared" si="164"/>
        <v>2.8569772160704998E-2</v>
      </c>
      <c r="P59" s="2490">
        <f t="shared" si="165"/>
        <v>5.1034908866234296E-2</v>
      </c>
      <c r="Q59" s="2490">
        <f t="shared" si="165"/>
        <v>3.245248390207478E-2</v>
      </c>
      <c r="R59" s="2428"/>
      <c r="S59" s="2443">
        <f>B59/B60-1</f>
        <v>3.0497710174814063E-2</v>
      </c>
      <c r="T59" s="2444">
        <f>C59/C60-1</f>
        <v>2.8569772160704998E-2</v>
      </c>
      <c r="U59" s="2444">
        <f>E59/E60-1</f>
        <v>5.1034908866234296E-2</v>
      </c>
      <c r="V59" s="2444">
        <f>F59/F60-1</f>
        <v>3.245248390207478E-2</v>
      </c>
      <c r="X59" s="2488"/>
      <c r="Y59" s="2488"/>
      <c r="Z59" s="2488"/>
    </row>
    <row r="60" spans="1:26" ht="13.5" thickBot="1">
      <c r="A60" s="2424" t="s">
        <v>1158</v>
      </c>
      <c r="B60" s="2453">
        <v>159</v>
      </c>
      <c r="C60" s="2453">
        <v>141</v>
      </c>
      <c r="D60" s="2453">
        <f t="shared" si="144"/>
        <v>141</v>
      </c>
      <c r="E60" s="2453">
        <v>195</v>
      </c>
      <c r="F60" s="2454">
        <v>122</v>
      </c>
      <c r="G60" s="3419">
        <v>2006</v>
      </c>
      <c r="H60" s="2445">
        <v>4</v>
      </c>
      <c r="I60" s="2445">
        <v>3.79</v>
      </c>
      <c r="J60" s="2445">
        <v>2.21</v>
      </c>
      <c r="K60" s="2445">
        <v>5.65</v>
      </c>
      <c r="L60" s="2446">
        <v>5.41</v>
      </c>
      <c r="N60" s="2486">
        <f t="shared" ref="N60:O63" si="168">I60/SUM(I$60:I$63)*(B$60/B$64-1)</f>
        <v>7.245466462748526E-2</v>
      </c>
      <c r="O60" s="2487">
        <f t="shared" si="168"/>
        <v>2.3237230038062766E-2</v>
      </c>
      <c r="P60" s="2487">
        <f t="shared" ref="P60:Q63" si="169">K60/SUM(K$60:K$63)*(E$60/E$64-1)</f>
        <v>0.16146893866323722</v>
      </c>
      <c r="Q60" s="2487">
        <f t="shared" si="169"/>
        <v>5.0755230321793784E-2</v>
      </c>
      <c r="R60" s="2428"/>
      <c r="S60" s="2441"/>
      <c r="T60" s="2442"/>
      <c r="U60" s="2442"/>
      <c r="V60" s="2442"/>
      <c r="X60" s="2488"/>
      <c r="Y60" s="2488"/>
      <c r="Z60" s="2488"/>
    </row>
    <row r="61" spans="1:26">
      <c r="A61" s="2424" t="s">
        <v>1159</v>
      </c>
      <c r="B61" s="2425">
        <f t="shared" ref="B61:C63" si="170">B62+(B$60-B$64)*I61/SUM(I$60:I$63)</f>
        <v>149.00125628140702</v>
      </c>
      <c r="C61" s="2425">
        <f t="shared" si="170"/>
        <v>137.95592286501378</v>
      </c>
      <c r="D61" s="2425">
        <f t="shared" si="144"/>
        <v>137.95592286501378</v>
      </c>
      <c r="E61" s="2425">
        <f t="shared" ref="E61:F63" si="171">E62+(E$60-E$64)*K61/SUM(K$60:K$63)</f>
        <v>169.97231450719823</v>
      </c>
      <c r="F61" s="2425">
        <f t="shared" si="171"/>
        <v>116.21390374331551</v>
      </c>
      <c r="G61" s="3420">
        <v>2006</v>
      </c>
      <c r="H61" s="2450">
        <v>3</v>
      </c>
      <c r="I61" s="2450">
        <v>0.92</v>
      </c>
      <c r="J61" s="2450">
        <v>1.08</v>
      </c>
      <c r="K61" s="2450">
        <v>0.73</v>
      </c>
      <c r="L61" s="2451">
        <v>1.08</v>
      </c>
      <c r="N61" s="2486">
        <f t="shared" si="168"/>
        <v>1.7587939698492462E-2</v>
      </c>
      <c r="O61" s="2487">
        <f t="shared" si="168"/>
        <v>1.1355750425840628E-2</v>
      </c>
      <c r="P61" s="2487">
        <f t="shared" si="169"/>
        <v>2.0862358446754544E-2</v>
      </c>
      <c r="Q61" s="2487">
        <f t="shared" si="169"/>
        <v>1.0132282578103011E-2</v>
      </c>
      <c r="R61" s="2428"/>
      <c r="S61" s="2427"/>
      <c r="T61" s="2412"/>
      <c r="U61" s="2412"/>
      <c r="V61" s="2412"/>
      <c r="X61" s="2488"/>
      <c r="Y61" s="2488"/>
      <c r="Z61" s="2488"/>
    </row>
    <row r="62" spans="1:26">
      <c r="A62" s="2424" t="s">
        <v>1160</v>
      </c>
      <c r="B62" s="2425">
        <f t="shared" si="170"/>
        <v>146.57412060301507</v>
      </c>
      <c r="C62" s="2425">
        <f t="shared" si="170"/>
        <v>136.46831955922866</v>
      </c>
      <c r="D62" s="2425">
        <f t="shared" si="144"/>
        <v>136.46831955922866</v>
      </c>
      <c r="E62" s="2425">
        <f t="shared" si="171"/>
        <v>166.73864894795128</v>
      </c>
      <c r="F62" s="2425">
        <f t="shared" si="171"/>
        <v>115.05882352941177</v>
      </c>
      <c r="G62" s="3420">
        <v>2006</v>
      </c>
      <c r="H62" s="2437">
        <v>2</v>
      </c>
      <c r="I62" s="2437">
        <v>0.96</v>
      </c>
      <c r="J62" s="2437">
        <v>0.25</v>
      </c>
      <c r="K62" s="2437">
        <v>1.9</v>
      </c>
      <c r="L62" s="2438">
        <v>0.95</v>
      </c>
      <c r="N62" s="2486">
        <f t="shared" si="168"/>
        <v>1.8352632728861701E-2</v>
      </c>
      <c r="O62" s="2487">
        <f t="shared" si="168"/>
        <v>2.6286459319075526E-3</v>
      </c>
      <c r="P62" s="2487">
        <f t="shared" si="169"/>
        <v>5.4299289107991269E-2</v>
      </c>
      <c r="Q62" s="2487">
        <f t="shared" si="169"/>
        <v>8.9126559714794995E-3</v>
      </c>
      <c r="R62" s="2428"/>
      <c r="S62" s="2427"/>
      <c r="T62" s="2412"/>
      <c r="U62" s="2412"/>
      <c r="V62" s="2412"/>
      <c r="X62" s="2488"/>
      <c r="Y62" s="2488"/>
      <c r="Z62" s="2488"/>
    </row>
    <row r="63" spans="1:26">
      <c r="A63" s="2424" t="s">
        <v>1161</v>
      </c>
      <c r="B63" s="2425">
        <f t="shared" si="170"/>
        <v>144.04145728643215</v>
      </c>
      <c r="C63" s="2425">
        <f t="shared" si="170"/>
        <v>136.12396694214877</v>
      </c>
      <c r="D63" s="2425">
        <f t="shared" si="144"/>
        <v>136.12396694214877</v>
      </c>
      <c r="E63" s="2425">
        <f t="shared" si="171"/>
        <v>158.32225913621264</v>
      </c>
      <c r="F63" s="2425">
        <f t="shared" si="171"/>
        <v>114.04278074866311</v>
      </c>
      <c r="G63" s="3421">
        <v>2006</v>
      </c>
      <c r="H63" s="2426">
        <v>1</v>
      </c>
      <c r="I63" s="2426">
        <v>2.29</v>
      </c>
      <c r="J63" s="2426">
        <v>3.72</v>
      </c>
      <c r="K63" s="2426">
        <v>0.75</v>
      </c>
      <c r="L63" s="2432">
        <v>0.04</v>
      </c>
      <c r="N63" s="2489">
        <f t="shared" si="168"/>
        <v>4.3778675988638847E-2</v>
      </c>
      <c r="O63" s="2490">
        <f t="shared" si="168"/>
        <v>3.9114251466784385E-2</v>
      </c>
      <c r="P63" s="2490">
        <f t="shared" si="169"/>
        <v>2.1433929911049188E-2</v>
      </c>
      <c r="Q63" s="2490">
        <f t="shared" si="169"/>
        <v>3.7526972511492629E-4</v>
      </c>
      <c r="R63" s="2428"/>
      <c r="S63" s="2443">
        <f>B63/B64-1</f>
        <v>4.3778675988638716E-2</v>
      </c>
      <c r="T63" s="2444">
        <f>C63/C64-1</f>
        <v>3.91142514667846E-2</v>
      </c>
      <c r="U63" s="2444">
        <f>E63/E64-1</f>
        <v>2.143392991104931E-2</v>
      </c>
      <c r="V63" s="2444">
        <f>F63/F64-1</f>
        <v>3.7526972511492396E-4</v>
      </c>
      <c r="X63" s="2488"/>
      <c r="Y63" s="2488"/>
      <c r="Z63" s="2488"/>
    </row>
    <row r="64" spans="1:26" ht="13.5" thickBot="1">
      <c r="A64" s="2424" t="s">
        <v>1162</v>
      </c>
      <c r="B64" s="2453">
        <v>138</v>
      </c>
      <c r="C64" s="2453">
        <v>131</v>
      </c>
      <c r="D64" s="2453">
        <f t="shared" si="144"/>
        <v>131</v>
      </c>
      <c r="E64" s="2453">
        <v>155</v>
      </c>
      <c r="F64" s="2454">
        <v>114</v>
      </c>
      <c r="G64" s="3419">
        <v>2005</v>
      </c>
      <c r="H64" s="2445">
        <v>4</v>
      </c>
      <c r="I64" s="2445">
        <v>3.29</v>
      </c>
      <c r="J64" s="2445">
        <v>1.44</v>
      </c>
      <c r="K64" s="2445">
        <v>0.66</v>
      </c>
      <c r="L64" s="2446">
        <v>7.78</v>
      </c>
      <c r="N64" s="2486">
        <f t="shared" ref="N64:O67" si="172">I64/SUM(I$64:I$67)*(B$64/B$68-1)</f>
        <v>9.9404603216919935E-2</v>
      </c>
      <c r="O64" s="2487">
        <f t="shared" si="172"/>
        <v>4.7636550760861554E-2</v>
      </c>
      <c r="P64" s="2487">
        <f t="shared" ref="P64:Q67" si="173">K64/SUM(K$64:K$67)*(E$64/E$68-1)</f>
        <v>8.3756345177664976E-2</v>
      </c>
      <c r="Q64" s="2487">
        <f t="shared" si="173"/>
        <v>5.2148766661559584E-2</v>
      </c>
      <c r="R64" s="2428"/>
      <c r="S64" s="2441"/>
      <c r="T64" s="2442"/>
      <c r="U64" s="2442"/>
      <c r="V64" s="2442"/>
      <c r="X64" s="2488"/>
      <c r="Y64" s="2488"/>
      <c r="Z64" s="2488"/>
    </row>
    <row r="65" spans="1:26">
      <c r="A65" s="2424" t="s">
        <v>1163</v>
      </c>
      <c r="B65" s="2425">
        <f t="shared" ref="B65:C67" si="174">B66+(B$64-B$68)*I65/SUM(I$64:I$67)</f>
        <v>125.9720430107527</v>
      </c>
      <c r="C65" s="2425">
        <f t="shared" si="174"/>
        <v>125.1883408071749</v>
      </c>
      <c r="D65" s="2425">
        <f t="shared" si="144"/>
        <v>125.1883408071749</v>
      </c>
      <c r="E65" s="2425">
        <f t="shared" ref="E65:F67" si="175">E66+(E$64-E$68)*K65/SUM(K$64:K$67)</f>
        <v>144.61421319796952</v>
      </c>
      <c r="F65" s="2425">
        <f t="shared" si="175"/>
        <v>108.42008196721311</v>
      </c>
      <c r="G65" s="3420">
        <v>2005</v>
      </c>
      <c r="H65" s="2450">
        <v>3</v>
      </c>
      <c r="I65" s="2450">
        <v>0.46</v>
      </c>
      <c r="J65" s="2450">
        <v>0.32</v>
      </c>
      <c r="K65" s="2450">
        <v>0.42</v>
      </c>
      <c r="L65" s="2451">
        <v>0.64</v>
      </c>
      <c r="N65" s="2486">
        <f t="shared" si="172"/>
        <v>1.3898515951301874E-2</v>
      </c>
      <c r="O65" s="2487">
        <f t="shared" si="172"/>
        <v>1.0585900169080346E-2</v>
      </c>
      <c r="P65" s="2487">
        <f t="shared" si="173"/>
        <v>5.3299492385786795E-2</v>
      </c>
      <c r="Q65" s="2487">
        <f t="shared" si="173"/>
        <v>4.2898728359123568E-3</v>
      </c>
      <c r="R65" s="2428"/>
      <c r="S65" s="2427"/>
      <c r="T65" s="2412"/>
      <c r="U65" s="2412"/>
      <c r="V65" s="2412"/>
      <c r="X65" s="2488"/>
      <c r="Y65" s="2488"/>
      <c r="Z65" s="2488"/>
    </row>
    <row r="66" spans="1:26">
      <c r="A66" s="2424" t="s">
        <v>1164</v>
      </c>
      <c r="B66" s="2425">
        <f t="shared" si="174"/>
        <v>124.29032258064517</v>
      </c>
      <c r="C66" s="2425">
        <f t="shared" si="174"/>
        <v>123.8968609865471</v>
      </c>
      <c r="D66" s="2425">
        <f t="shared" si="144"/>
        <v>123.8968609865471</v>
      </c>
      <c r="E66" s="2425">
        <f t="shared" si="175"/>
        <v>138.00507614213197</v>
      </c>
      <c r="F66" s="2425">
        <f t="shared" si="175"/>
        <v>107.96106557377048</v>
      </c>
      <c r="G66" s="3420">
        <v>2005</v>
      </c>
      <c r="H66" s="2437">
        <v>2</v>
      </c>
      <c r="I66" s="2437">
        <v>0.47</v>
      </c>
      <c r="J66" s="2437">
        <v>0.1</v>
      </c>
      <c r="K66" s="2437">
        <v>0.52</v>
      </c>
      <c r="L66" s="2438">
        <v>0.79</v>
      </c>
      <c r="N66" s="2486">
        <f t="shared" si="172"/>
        <v>1.420065760241713E-2</v>
      </c>
      <c r="O66" s="2487">
        <f t="shared" si="172"/>
        <v>3.3080938028376083E-3</v>
      </c>
      <c r="P66" s="2487">
        <f t="shared" si="173"/>
        <v>6.598984771573603E-2</v>
      </c>
      <c r="Q66" s="2487">
        <f t="shared" si="173"/>
        <v>5.2953117818293153E-3</v>
      </c>
      <c r="R66" s="2428"/>
      <c r="S66" s="2427"/>
      <c r="T66" s="2412"/>
      <c r="U66" s="2412"/>
      <c r="V66" s="2412"/>
      <c r="X66" s="2488"/>
      <c r="Y66" s="2488"/>
      <c r="Z66" s="2488"/>
    </row>
    <row r="67" spans="1:26">
      <c r="A67" s="2424" t="s">
        <v>1165</v>
      </c>
      <c r="B67" s="2425">
        <f t="shared" si="174"/>
        <v>122.57204301075269</v>
      </c>
      <c r="C67" s="2425">
        <f t="shared" si="174"/>
        <v>123.4932735426009</v>
      </c>
      <c r="D67" s="2425">
        <f t="shared" si="144"/>
        <v>123.4932735426009</v>
      </c>
      <c r="E67" s="2425">
        <f t="shared" si="175"/>
        <v>129.82233502538071</v>
      </c>
      <c r="F67" s="2425">
        <f t="shared" si="175"/>
        <v>107.39446721311475</v>
      </c>
      <c r="G67" s="3421">
        <v>2005</v>
      </c>
      <c r="H67" s="2426">
        <v>1</v>
      </c>
      <c r="I67" s="2426">
        <v>0.43</v>
      </c>
      <c r="J67" s="2426">
        <v>0.37</v>
      </c>
      <c r="K67" s="2426">
        <v>0.37</v>
      </c>
      <c r="L67" s="2432">
        <v>0.55000000000000004</v>
      </c>
      <c r="N67" s="2489">
        <f t="shared" si="172"/>
        <v>1.2992090997956099E-2</v>
      </c>
      <c r="O67" s="2490">
        <f t="shared" si="172"/>
        <v>1.2239947070499151E-2</v>
      </c>
      <c r="P67" s="2490">
        <f t="shared" si="173"/>
        <v>4.6954314720812178E-2</v>
      </c>
      <c r="Q67" s="2490">
        <f t="shared" si="173"/>
        <v>3.6866094683621815E-3</v>
      </c>
      <c r="R67" s="2428"/>
      <c r="S67" s="2443">
        <f>B67/B68-1</f>
        <v>1.2992090997956174E-2</v>
      </c>
      <c r="T67" s="2444">
        <f>C67/C68-1</f>
        <v>1.2239947070499246E-2</v>
      </c>
      <c r="U67" s="2444">
        <f>E67/E68-1</f>
        <v>4.695431472081224E-2</v>
      </c>
      <c r="V67" s="2444">
        <f>F67/F68-1</f>
        <v>3.6866094683620787E-3</v>
      </c>
      <c r="X67" s="2488"/>
      <c r="Y67" s="2488"/>
      <c r="Z67" s="2488"/>
    </row>
    <row r="68" spans="1:26" ht="13.5" thickBot="1">
      <c r="A68" s="2424" t="s">
        <v>1166</v>
      </c>
      <c r="B68" s="2474">
        <v>121</v>
      </c>
      <c r="C68" s="2474">
        <v>122</v>
      </c>
      <c r="D68" s="2474">
        <f t="shared" si="144"/>
        <v>122</v>
      </c>
      <c r="E68" s="2474">
        <v>124</v>
      </c>
      <c r="F68" s="2475">
        <v>107</v>
      </c>
      <c r="G68" s="3419">
        <v>2004</v>
      </c>
      <c r="H68" s="2445">
        <v>4</v>
      </c>
      <c r="I68" s="2445">
        <v>0.33</v>
      </c>
      <c r="J68" s="2445">
        <v>0.5</v>
      </c>
      <c r="K68" s="2445">
        <v>0.5</v>
      </c>
      <c r="L68" s="2446">
        <v>0</v>
      </c>
      <c r="N68" s="2486">
        <f t="shared" ref="N68:O71" si="176">I68/SUM(I$68:I$71)*(B$68/B$72-1)</f>
        <v>1.3391770148526898E-2</v>
      </c>
      <c r="O68" s="2487">
        <f t="shared" si="176"/>
        <v>1.063264221158958E-2</v>
      </c>
      <c r="P68" s="2487">
        <f t="shared" ref="P68:Q71" si="177">K68/SUM(K$68:K$71)*(E$68/E$72-1)</f>
        <v>2.2244466688911134E-2</v>
      </c>
      <c r="Q68" s="2487">
        <f t="shared" si="177"/>
        <v>0</v>
      </c>
      <c r="R68" s="2428"/>
      <c r="S68" s="2441"/>
      <c r="T68" s="2442"/>
      <c r="U68" s="2442"/>
      <c r="V68" s="2442"/>
      <c r="X68" s="2488"/>
      <c r="Y68" s="2488"/>
      <c r="Z68" s="2488"/>
    </row>
    <row r="69" spans="1:26">
      <c r="A69" s="2424" t="s">
        <v>1167</v>
      </c>
      <c r="B69" s="2425">
        <f t="shared" ref="B69:C71" si="178">B70+(B$68-B$72)*I69/SUM(I$68:I$71)</f>
        <v>119.51351351351352</v>
      </c>
      <c r="C69" s="2425">
        <f t="shared" si="178"/>
        <v>120.7878787878788</v>
      </c>
      <c r="D69" s="2425">
        <f t="shared" si="144"/>
        <v>120.7878787878788</v>
      </c>
      <c r="E69" s="2425">
        <f t="shared" ref="E69:F71" si="179">E70+(E$68-E$72)*K69/SUM(K$68:K$71)</f>
        <v>121.5975975975976</v>
      </c>
      <c r="F69" s="2425">
        <f t="shared" si="179"/>
        <v>107</v>
      </c>
      <c r="G69" s="3420">
        <v>2004</v>
      </c>
      <c r="H69" s="2450">
        <v>3</v>
      </c>
      <c r="I69" s="2450">
        <v>0.56000000000000005</v>
      </c>
      <c r="J69" s="2450">
        <v>0.8</v>
      </c>
      <c r="K69" s="2450">
        <v>0.83</v>
      </c>
      <c r="L69" s="2451">
        <v>0.06</v>
      </c>
      <c r="N69" s="2486">
        <f t="shared" si="176"/>
        <v>2.2725428130833527E-2</v>
      </c>
      <c r="O69" s="2487">
        <f t="shared" si="176"/>
        <v>1.7012227538543329E-2</v>
      </c>
      <c r="P69" s="2487">
        <f t="shared" si="177"/>
        <v>3.6925814703592477E-2</v>
      </c>
      <c r="Q69" s="2487">
        <f t="shared" si="177"/>
        <v>2.8846153846153744E-2</v>
      </c>
      <c r="R69" s="2428"/>
      <c r="S69" s="2427"/>
      <c r="T69" s="2412"/>
      <c r="U69" s="2412"/>
      <c r="V69" s="2412"/>
      <c r="X69" s="2488"/>
      <c r="Y69" s="2488"/>
      <c r="Z69" s="2488"/>
    </row>
    <row r="70" spans="1:26">
      <c r="A70" s="2424" t="s">
        <v>1168</v>
      </c>
      <c r="B70" s="2425">
        <f t="shared" si="178"/>
        <v>116.99099099099099</v>
      </c>
      <c r="C70" s="2425">
        <f t="shared" si="178"/>
        <v>118.84848484848486</v>
      </c>
      <c r="D70" s="2425">
        <f t="shared" si="144"/>
        <v>118.84848484848486</v>
      </c>
      <c r="E70" s="2425">
        <f t="shared" si="179"/>
        <v>117.60960960960961</v>
      </c>
      <c r="F70" s="2425">
        <f t="shared" si="179"/>
        <v>104</v>
      </c>
      <c r="G70" s="3420">
        <v>2004</v>
      </c>
      <c r="H70" s="2437">
        <v>2</v>
      </c>
      <c r="I70" s="2437">
        <v>1</v>
      </c>
      <c r="J70" s="2437">
        <v>1.5</v>
      </c>
      <c r="K70" s="2437">
        <v>1.5</v>
      </c>
      <c r="L70" s="2438">
        <v>0</v>
      </c>
      <c r="N70" s="2486">
        <f t="shared" si="176"/>
        <v>4.0581121662202721E-2</v>
      </c>
      <c r="O70" s="2487">
        <f t="shared" si="176"/>
        <v>3.1897926634768738E-2</v>
      </c>
      <c r="P70" s="2487">
        <f t="shared" si="177"/>
        <v>6.6733400066733395E-2</v>
      </c>
      <c r="Q70" s="2487">
        <f t="shared" si="177"/>
        <v>0</v>
      </c>
      <c r="R70" s="2428"/>
      <c r="S70" s="2427"/>
      <c r="T70" s="2412"/>
      <c r="U70" s="2412"/>
      <c r="V70" s="2412"/>
      <c r="X70" s="2488"/>
      <c r="Y70" s="2488"/>
      <c r="Z70" s="2488"/>
    </row>
    <row r="71" spans="1:26" s="2480" customFormat="1" ht="13.5" thickBot="1">
      <c r="A71" s="2424" t="s">
        <v>1169</v>
      </c>
      <c r="B71" s="2477">
        <f t="shared" si="178"/>
        <v>112.48648648648648</v>
      </c>
      <c r="C71" s="2477">
        <f t="shared" si="178"/>
        <v>115.21212121212122</v>
      </c>
      <c r="D71" s="2477">
        <f t="shared" si="144"/>
        <v>115.21212121212122</v>
      </c>
      <c r="E71" s="2477">
        <f t="shared" si="179"/>
        <v>110.4024024024024</v>
      </c>
      <c r="F71" s="2477">
        <f t="shared" si="179"/>
        <v>104</v>
      </c>
      <c r="G71" s="3421">
        <v>2004</v>
      </c>
      <c r="H71" s="2478">
        <v>1</v>
      </c>
      <c r="I71" s="2478">
        <v>0.33</v>
      </c>
      <c r="J71" s="2478">
        <v>0.5</v>
      </c>
      <c r="K71" s="2478">
        <v>0.5</v>
      </c>
      <c r="L71" s="2479">
        <v>0</v>
      </c>
      <c r="N71" s="2491">
        <f t="shared" si="176"/>
        <v>1.3391770148526898E-2</v>
      </c>
      <c r="O71" s="2492">
        <f t="shared" si="176"/>
        <v>1.063264221158958E-2</v>
      </c>
      <c r="P71" s="2492">
        <f t="shared" si="177"/>
        <v>2.2244466688911134E-2</v>
      </c>
      <c r="Q71" s="2492">
        <f t="shared" si="177"/>
        <v>0</v>
      </c>
      <c r="R71" s="2483"/>
      <c r="S71" s="2481">
        <f>B71/B72-1</f>
        <v>1.3391770148526883E-2</v>
      </c>
      <c r="T71" s="2482">
        <f>C71/C72-1</f>
        <v>1.063264221158966E-2</v>
      </c>
      <c r="U71" s="2482">
        <f>E71/E72-1</f>
        <v>2.2244466688911224E-2</v>
      </c>
      <c r="V71" s="2482">
        <f>F71/F72-1</f>
        <v>0</v>
      </c>
      <c r="X71" s="2493"/>
      <c r="Y71" s="2493"/>
      <c r="Z71" s="2493"/>
    </row>
    <row r="72" spans="1:26" ht="13.5" thickBot="1">
      <c r="A72" s="2424" t="s">
        <v>1170</v>
      </c>
      <c r="B72" s="2494">
        <v>111</v>
      </c>
      <c r="C72" s="2494">
        <v>114</v>
      </c>
      <c r="D72" s="2494">
        <f t="shared" si="144"/>
        <v>114</v>
      </c>
      <c r="E72" s="2494">
        <v>108</v>
      </c>
      <c r="F72" s="2495">
        <v>104</v>
      </c>
      <c r="G72" s="3419">
        <v>2003</v>
      </c>
      <c r="H72" s="2484">
        <v>4</v>
      </c>
      <c r="I72" s="2496"/>
      <c r="J72" s="2496"/>
      <c r="K72" s="2496"/>
      <c r="L72" s="2496"/>
      <c r="N72" s="2497"/>
      <c r="O72" s="2496"/>
      <c r="P72" s="2496"/>
      <c r="Q72" s="2496"/>
      <c r="S72" s="2497"/>
      <c r="T72" s="2496"/>
      <c r="U72" s="2496"/>
      <c r="V72" s="2496"/>
      <c r="X72" s="2488"/>
      <c r="Y72" s="2488"/>
      <c r="Z72" s="2488"/>
    </row>
    <row r="73" spans="1:26">
      <c r="A73" s="2424" t="s">
        <v>1171</v>
      </c>
      <c r="B73" s="2498">
        <f t="shared" ref="B73:C75" si="180">B74+(B$72-B$76)/4</f>
        <v>109.75</v>
      </c>
      <c r="C73" s="2498">
        <f t="shared" si="180"/>
        <v>112.25</v>
      </c>
      <c r="D73" s="2498">
        <f t="shared" si="144"/>
        <v>112.25</v>
      </c>
      <c r="E73" s="2498">
        <f t="shared" ref="E73:F75" si="181">E74+(E$72-E$76)/4</f>
        <v>107.25</v>
      </c>
      <c r="F73" s="2498">
        <f t="shared" si="181"/>
        <v>103.5</v>
      </c>
      <c r="G73" s="3420">
        <v>2003</v>
      </c>
      <c r="H73" s="2450">
        <v>3</v>
      </c>
      <c r="I73" s="2496"/>
      <c r="J73" s="2496"/>
      <c r="K73" s="2496"/>
      <c r="L73" s="2496"/>
      <c r="X73" s="2488"/>
      <c r="Y73" s="2488"/>
      <c r="Z73" s="2488"/>
    </row>
    <row r="74" spans="1:26">
      <c r="A74" s="2424" t="s">
        <v>1172</v>
      </c>
      <c r="B74" s="2498">
        <f t="shared" si="180"/>
        <v>108.5</v>
      </c>
      <c r="C74" s="2498">
        <f t="shared" si="180"/>
        <v>110.5</v>
      </c>
      <c r="D74" s="2498">
        <f t="shared" si="144"/>
        <v>110.5</v>
      </c>
      <c r="E74" s="2498">
        <f t="shared" si="181"/>
        <v>106.5</v>
      </c>
      <c r="F74" s="2498">
        <f t="shared" si="181"/>
        <v>103</v>
      </c>
      <c r="G74" s="3420">
        <v>2003</v>
      </c>
      <c r="H74" s="2437">
        <v>2</v>
      </c>
      <c r="I74" s="2496"/>
      <c r="J74" s="2496"/>
      <c r="K74" s="2496"/>
      <c r="L74" s="2496"/>
      <c r="X74" s="2488"/>
      <c r="Y74" s="2488"/>
      <c r="Z74" s="2488"/>
    </row>
    <row r="75" spans="1:26" ht="13.5" thickBot="1">
      <c r="A75" s="2424" t="s">
        <v>1173</v>
      </c>
      <c r="B75" s="2498">
        <f t="shared" si="180"/>
        <v>107.25</v>
      </c>
      <c r="C75" s="2498">
        <f t="shared" si="180"/>
        <v>108.75</v>
      </c>
      <c r="D75" s="2498">
        <f t="shared" si="144"/>
        <v>108.75</v>
      </c>
      <c r="E75" s="2498">
        <f t="shared" si="181"/>
        <v>105.75</v>
      </c>
      <c r="F75" s="2498">
        <f t="shared" si="181"/>
        <v>102.5</v>
      </c>
      <c r="G75" s="3421">
        <v>2003</v>
      </c>
      <c r="H75" s="2499">
        <v>1</v>
      </c>
      <c r="I75" s="2496"/>
      <c r="J75" s="2496"/>
      <c r="K75" s="2496"/>
      <c r="L75" s="2496"/>
      <c r="S75" s="2427"/>
      <c r="T75" s="2412"/>
      <c r="U75" s="2412"/>
      <c r="X75" s="2488"/>
      <c r="Y75" s="2488"/>
      <c r="Z75" s="2488"/>
    </row>
    <row r="76" spans="1:26" ht="13.5" thickBot="1">
      <c r="A76" s="2424" t="s">
        <v>1174</v>
      </c>
      <c r="B76" s="2500">
        <v>106</v>
      </c>
      <c r="C76" s="2500">
        <v>107</v>
      </c>
      <c r="D76" s="2500">
        <f t="shared" si="144"/>
        <v>107</v>
      </c>
      <c r="E76" s="2500">
        <v>105</v>
      </c>
      <c r="F76" s="2501">
        <v>102</v>
      </c>
      <c r="G76" s="3419">
        <v>2002</v>
      </c>
      <c r="H76" s="2445">
        <v>4</v>
      </c>
      <c r="I76" s="2496"/>
      <c r="J76" s="2496"/>
      <c r="K76" s="2496"/>
      <c r="L76" s="2496"/>
      <c r="N76" s="2497"/>
      <c r="O76" s="2496"/>
      <c r="P76" s="2496"/>
      <c r="Q76" s="2496"/>
      <c r="S76" s="2497"/>
      <c r="T76" s="2496"/>
      <c r="U76" s="2496"/>
      <c r="V76" s="2496"/>
      <c r="X76" s="2488"/>
      <c r="Y76" s="2488"/>
      <c r="Z76" s="2488"/>
    </row>
    <row r="77" spans="1:26">
      <c r="A77" s="2424" t="s">
        <v>1175</v>
      </c>
      <c r="B77" s="2498">
        <f t="shared" ref="B77:C79" si="182">B78+(B$76-B$80)/4</f>
        <v>105</v>
      </c>
      <c r="C77" s="2498">
        <f t="shared" si="182"/>
        <v>106</v>
      </c>
      <c r="D77" s="2498">
        <f t="shared" si="144"/>
        <v>106</v>
      </c>
      <c r="E77" s="2498">
        <f t="shared" ref="E77:F79" si="183">E78+(E$76-E$80)/4</f>
        <v>104.5</v>
      </c>
      <c r="F77" s="2498">
        <f t="shared" si="183"/>
        <v>101.5</v>
      </c>
      <c r="G77" s="3420">
        <v>2002</v>
      </c>
      <c r="H77" s="2450">
        <v>3</v>
      </c>
      <c r="I77" s="2496"/>
      <c r="J77" s="2496"/>
      <c r="K77" s="2496"/>
      <c r="L77" s="2496"/>
      <c r="X77" s="2488"/>
      <c r="Y77" s="2488"/>
      <c r="Z77" s="2488"/>
    </row>
    <row r="78" spans="1:26">
      <c r="A78" s="2424" t="s">
        <v>1176</v>
      </c>
      <c r="B78" s="2498">
        <f t="shared" si="182"/>
        <v>104</v>
      </c>
      <c r="C78" s="2498">
        <f t="shared" si="182"/>
        <v>105</v>
      </c>
      <c r="D78" s="2498">
        <f t="shared" si="144"/>
        <v>105</v>
      </c>
      <c r="E78" s="2498">
        <f t="shared" si="183"/>
        <v>104</v>
      </c>
      <c r="F78" s="2498">
        <f t="shared" si="183"/>
        <v>101</v>
      </c>
      <c r="G78" s="3420">
        <v>2002</v>
      </c>
      <c r="H78" s="2437">
        <v>2</v>
      </c>
      <c r="I78" s="2496"/>
      <c r="J78" s="2496"/>
      <c r="K78" s="2496"/>
      <c r="L78" s="2496"/>
      <c r="X78" s="2488"/>
      <c r="Y78" s="2488"/>
      <c r="Z78" s="2488"/>
    </row>
    <row r="79" spans="1:26" s="2461" customFormat="1" ht="13.5" thickBot="1">
      <c r="A79" s="2457" t="s">
        <v>1177</v>
      </c>
      <c r="B79" s="2464">
        <f t="shared" si="182"/>
        <v>103</v>
      </c>
      <c r="C79" s="2464">
        <f t="shared" si="182"/>
        <v>104</v>
      </c>
      <c r="D79" s="2464">
        <f t="shared" si="144"/>
        <v>104</v>
      </c>
      <c r="E79" s="2464">
        <f t="shared" si="183"/>
        <v>103.5</v>
      </c>
      <c r="F79" s="2464">
        <f t="shared" si="183"/>
        <v>100.5</v>
      </c>
      <c r="G79" s="3421">
        <v>2002</v>
      </c>
      <c r="H79" s="2502">
        <v>1</v>
      </c>
      <c r="I79" s="2503"/>
      <c r="J79" s="2503"/>
      <c r="K79" s="2503"/>
      <c r="L79" s="2503"/>
      <c r="N79" s="2504"/>
      <c r="S79" s="2504"/>
      <c r="X79" s="2505"/>
      <c r="Y79" s="2505"/>
      <c r="Z79" s="2505"/>
    </row>
    <row r="80" spans="1:26" ht="13.5" thickBot="1">
      <c r="B80" s="2506">
        <v>102</v>
      </c>
      <c r="C80" s="2507">
        <v>103</v>
      </c>
      <c r="D80" s="2507">
        <f t="shared" si="144"/>
        <v>103</v>
      </c>
      <c r="E80" s="2507">
        <v>103</v>
      </c>
      <c r="F80" s="2508">
        <v>100</v>
      </c>
      <c r="I80" s="2496"/>
      <c r="J80" s="2496"/>
      <c r="K80" s="2496"/>
      <c r="L80" s="2496"/>
      <c r="N80" s="2497"/>
      <c r="O80" s="2496"/>
      <c r="P80" s="2496"/>
      <c r="Q80" s="2496"/>
      <c r="S80" s="2497"/>
      <c r="T80" s="2496"/>
      <c r="U80" s="2496"/>
      <c r="V80" s="2496"/>
      <c r="X80" s="2442"/>
      <c r="Y80" s="2442"/>
      <c r="Z80" s="2442"/>
    </row>
    <row r="82" spans="1:22" s="2510" customFormat="1">
      <c r="A82" s="2509" t="s">
        <v>1178</v>
      </c>
      <c r="G82" s="2511"/>
      <c r="N82" s="2511"/>
      <c r="S82" s="2511"/>
    </row>
    <row r="83" spans="1:22" s="2510" customFormat="1">
      <c r="A83" s="2510" t="s">
        <v>1179</v>
      </c>
      <c r="G83" s="2511"/>
      <c r="N83" s="2511"/>
      <c r="S83" s="2511"/>
    </row>
    <row r="84" spans="1:22" s="2510" customFormat="1">
      <c r="A84" s="2510" t="s">
        <v>1180</v>
      </c>
      <c r="G84" s="2511"/>
      <c r="I84" s="2512"/>
      <c r="J84" s="2512"/>
      <c r="K84" s="2512"/>
      <c r="L84" s="2512"/>
      <c r="N84" s="2513"/>
      <c r="O84" s="2512"/>
      <c r="P84" s="2512"/>
      <c r="Q84" s="2512"/>
      <c r="S84" s="2513"/>
      <c r="T84" s="2512"/>
      <c r="U84" s="2512"/>
      <c r="V84" s="2512"/>
    </row>
    <row r="85" spans="1:22" s="2510" customFormat="1">
      <c r="A85" s="2510" t="s">
        <v>1181</v>
      </c>
      <c r="G85" s="2511"/>
      <c r="N85" s="2511"/>
      <c r="S85" s="2511"/>
    </row>
    <row r="92" spans="1:22" ht="13.5" thickBot="1"/>
    <row r="93" spans="1:22">
      <c r="G93" s="2411"/>
      <c r="S93" s="2514" t="s">
        <v>1182</v>
      </c>
      <c r="T93" s="2515" t="s">
        <v>1183</v>
      </c>
      <c r="U93" s="2515" t="s">
        <v>1184</v>
      </c>
      <c r="V93" s="2515" t="s">
        <v>1185</v>
      </c>
    </row>
    <row r="94" spans="1:22">
      <c r="G94" s="2411"/>
      <c r="N94" s="2441"/>
      <c r="O94" s="2442"/>
      <c r="P94" s="2442"/>
      <c r="Q94" s="2442"/>
      <c r="S94" s="2516">
        <v>2006</v>
      </c>
      <c r="T94" s="2517">
        <v>15.1</v>
      </c>
      <c r="U94" s="2517">
        <v>7.43</v>
      </c>
      <c r="V94" s="2517">
        <v>26.26</v>
      </c>
    </row>
    <row r="95" spans="1:22">
      <c r="G95" s="2411"/>
      <c r="N95" s="2441"/>
      <c r="O95" s="2442"/>
      <c r="P95" s="2442"/>
      <c r="Q95" s="2442"/>
      <c r="S95" s="2518">
        <v>2005</v>
      </c>
      <c r="T95" s="2519">
        <v>13.9</v>
      </c>
      <c r="U95" s="2519">
        <v>7.49</v>
      </c>
      <c r="V95" s="2519">
        <v>24.92</v>
      </c>
    </row>
    <row r="96" spans="1:22">
      <c r="G96" s="2411"/>
      <c r="N96" s="2441"/>
      <c r="O96" s="2442"/>
      <c r="P96" s="2442"/>
      <c r="Q96" s="2442"/>
      <c r="S96" s="2516">
        <v>2004</v>
      </c>
      <c r="T96" s="2517">
        <v>9.48</v>
      </c>
      <c r="U96" s="2517">
        <v>7.2</v>
      </c>
      <c r="V96" s="2517">
        <v>14.68</v>
      </c>
    </row>
    <row r="97" spans="7:22">
      <c r="G97" s="2411"/>
      <c r="N97" s="2441"/>
      <c r="O97" s="2442"/>
      <c r="P97" s="2442"/>
      <c r="Q97" s="2442"/>
      <c r="S97" s="2518">
        <v>2003</v>
      </c>
      <c r="T97" s="2519">
        <v>4.5</v>
      </c>
      <c r="U97" s="2519">
        <v>6.12</v>
      </c>
      <c r="V97" s="2519">
        <v>2.34</v>
      </c>
    </row>
    <row r="98" spans="7:22" ht="13.5" thickBot="1">
      <c r="G98" s="2411"/>
      <c r="N98" s="2441"/>
      <c r="O98" s="2442"/>
      <c r="P98" s="2442"/>
      <c r="Q98" s="2442"/>
      <c r="S98" s="2520">
        <v>2002</v>
      </c>
      <c r="T98" s="2521">
        <v>3.59</v>
      </c>
      <c r="U98" s="2521">
        <v>4.54</v>
      </c>
      <c r="V98" s="2521">
        <v>2.5499999999999998</v>
      </c>
    </row>
    <row r="99" spans="7:22">
      <c r="G99" s="2411"/>
      <c r="N99" s="2441"/>
      <c r="O99" s="2442"/>
      <c r="P99" s="2442"/>
      <c r="Q99" s="2442"/>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c r="S109" s="2411"/>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30570</v>
      </c>
      <c r="C2" s="2" t="s">
        <v>133</v>
      </c>
      <c r="D2" s="204"/>
      <c r="E2" s="204"/>
      <c r="F2" s="204"/>
      <c r="G2" s="204"/>
    </row>
    <row r="3" spans="1:7" s="205" customFormat="1" ht="18" customHeight="1" thickBot="1">
      <c r="A3" s="208" t="s">
        <v>85</v>
      </c>
      <c r="B3" s="209">
        <f ca="1">ROUND(B2*10000/'数据-汇总表'!E3,0)</f>
        <v>20007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306</v>
      </c>
      <c r="D10" s="953">
        <f>'数据-汇总表'!E6</f>
        <v>15279.68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229</v>
      </c>
      <c r="D19" s="957">
        <f>'数据-汇总表'!E3</f>
        <v>15279.68</v>
      </c>
      <c r="E19" s="216">
        <f>'数据-取费表'!B31</f>
        <v>150</v>
      </c>
      <c r="F19" s="236"/>
      <c r="G19" s="1" t="s">
        <v>1042</v>
      </c>
    </row>
    <row r="20" spans="1:7" s="219" customFormat="1" ht="13.5" customHeight="1">
      <c r="A20" s="884" t="s">
        <v>1025</v>
      </c>
      <c r="B20" s="215" t="s">
        <v>104</v>
      </c>
      <c r="C20" s="237">
        <f>ROUND((C5+C19)*F20,0)</f>
        <v>417</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2046</v>
      </c>
      <c r="D22" s="240">
        <f ca="1">C26</f>
        <v>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22</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4251</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4251</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29895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575</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331</v>
      </c>
      <c r="D34" s="222"/>
      <c r="E34" s="225"/>
      <c r="F34" s="262">
        <f>IF('数据-取费表'!B24=0,1,'数据-取费表'!N16)</f>
        <v>1</v>
      </c>
      <c r="G34" s="224" t="s">
        <v>116</v>
      </c>
    </row>
    <row r="35" spans="1:7" ht="13.5" customHeight="1">
      <c r="A35" s="887" t="s">
        <v>796</v>
      </c>
      <c r="B35" s="220" t="s">
        <v>60</v>
      </c>
      <c r="C35" s="225">
        <f>ROUND(C34*F35,0)</f>
        <v>10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229</v>
      </c>
      <c r="D37" s="222">
        <f>'数据-汇总表'!E3</f>
        <v>15279.68</v>
      </c>
      <c r="E37" s="254">
        <f>'数据-取费表'!B35</f>
        <v>150</v>
      </c>
      <c r="F37" s="264"/>
      <c r="G37" s="266" t="s">
        <v>119</v>
      </c>
    </row>
    <row r="38" spans="1:7" ht="13.5" customHeight="1">
      <c r="A38" s="887" t="s">
        <v>799</v>
      </c>
      <c r="B38" s="220" t="s">
        <v>63</v>
      </c>
      <c r="C38" s="225">
        <f>ROUND(C34*F38,0)</f>
        <v>5</v>
      </c>
      <c r="D38" s="225"/>
      <c r="E38" s="225"/>
      <c r="F38" s="264">
        <f>'数据-取费表'!B36</f>
        <v>1.4999999999999999E-2</v>
      </c>
      <c r="G38" s="224" t="s">
        <v>117</v>
      </c>
    </row>
    <row r="39" spans="1:7" s="219" customFormat="1" ht="13.5" customHeight="1">
      <c r="A39" s="884" t="s">
        <v>783</v>
      </c>
      <c r="B39" s="215" t="s">
        <v>104</v>
      </c>
      <c r="C39" s="237">
        <f>ROUND(C33*F20,0)</f>
        <v>12</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28</v>
      </c>
      <c r="D41" s="240">
        <f ca="1">C44</f>
        <v>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27</v>
      </c>
      <c r="D42" s="243"/>
      <c r="E42" s="243"/>
      <c r="F42" s="244"/>
      <c r="G42" s="3308" t="s">
        <v>121</v>
      </c>
    </row>
    <row r="43" spans="1:7" ht="13.5" customHeight="1">
      <c r="A43" s="887" t="s">
        <v>792</v>
      </c>
      <c r="B43" s="220" t="s">
        <v>1032</v>
      </c>
      <c r="C43" s="243">
        <f ca="1">ROUND(IF('数据-取费表'!B22&lt;=1,C39*F22*'数据-取费表'!B21/2,C39*(POWER((1+F22),'数据-取费表'!B21/2)-1)),0)</f>
        <v>1</v>
      </c>
      <c r="D43" s="243"/>
      <c r="E43" s="243"/>
      <c r="F43" s="244"/>
      <c r="G43" s="3309"/>
    </row>
    <row r="44" spans="1:7" ht="13.5" customHeight="1">
      <c r="A44" s="887" t="s">
        <v>793</v>
      </c>
      <c r="B44" s="220" t="s">
        <v>1034</v>
      </c>
      <c r="C44" s="243">
        <f ca="1">ROUND(IF('数据-取费表'!B22&lt;=1,C40*F22*'数据-取费表'!B21/2,C40*(POWER((1+F22),'数据-取费表'!B21/2)-1)),4)</f>
        <v>1E-3</v>
      </c>
      <c r="D44" s="243"/>
      <c r="E44" s="243"/>
      <c r="F44" s="244"/>
      <c r="G44" s="3310"/>
    </row>
    <row r="45" spans="1:7" s="219" customFormat="1" ht="13.5" customHeight="1">
      <c r="A45" s="884" t="s">
        <v>786</v>
      </c>
      <c r="B45" s="249" t="s">
        <v>112</v>
      </c>
      <c r="C45" s="250">
        <f>C46</f>
        <v>117</v>
      </c>
      <c r="D45" s="240">
        <f>C47</f>
        <v>4.0000000000000001E-3</v>
      </c>
      <c r="E45" s="241" t="s">
        <v>129</v>
      </c>
      <c r="F45" s="251"/>
      <c r="G45" s="252" t="s">
        <v>1040</v>
      </c>
    </row>
    <row r="46" spans="1:7" s="219" customFormat="1" ht="13.5" customHeight="1">
      <c r="A46" s="887" t="s">
        <v>794</v>
      </c>
      <c r="B46" s="253" t="s">
        <v>1033</v>
      </c>
      <c r="C46" s="254">
        <f>ROUND((C33+C39)*F27,0)</f>
        <v>117</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794</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675</v>
      </c>
      <c r="D51" s="237"/>
      <c r="E51" s="237"/>
      <c r="F51" s="269"/>
      <c r="G51" s="239" t="s">
        <v>64</v>
      </c>
    </row>
    <row r="52" spans="1:7" s="213" customFormat="1" ht="16.5" thickBot="1">
      <c r="A52" s="270" t="s">
        <v>65</v>
      </c>
      <c r="B52" s="271"/>
      <c r="C52" s="272">
        <f ca="1">C31+C51</f>
        <v>30570</v>
      </c>
      <c r="D52" s="271"/>
      <c r="E52" s="271"/>
      <c r="F52" s="271"/>
      <c r="G52" s="273"/>
    </row>
    <row r="55" spans="1:7" ht="15">
      <c r="B55" s="275" t="s">
        <v>66</v>
      </c>
      <c r="C55" s="276"/>
    </row>
    <row r="56" spans="1:7">
      <c r="B56" s="278" t="s">
        <v>67</v>
      </c>
      <c r="C56" s="279">
        <f ca="1">ROUND(C51/C52,3)</f>
        <v>2.1999999999999999E-2</v>
      </c>
    </row>
    <row r="57" spans="1:7">
      <c r="B57" s="278" t="s">
        <v>68</v>
      </c>
      <c r="C57" s="280">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8" t="s">
        <v>156</v>
      </c>
      <c r="B1" s="3428"/>
      <c r="C1" s="3428"/>
      <c r="D1" s="3428"/>
      <c r="E1" s="3428"/>
      <c r="F1" s="342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9" t="s">
        <v>169</v>
      </c>
      <c r="B2" s="3429"/>
      <c r="C2" s="3429"/>
      <c r="D2" s="3429"/>
      <c r="E2" s="3429"/>
      <c r="F2" s="342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8" t="s">
        <v>839</v>
      </c>
      <c r="B1" s="342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44088</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D10" sqref="D10"/>
    </sheetView>
  </sheetViews>
  <sheetFormatPr defaultRowHeight="13.5"/>
  <cols>
    <col min="1" max="8" width="12.375" customWidth="1"/>
  </cols>
  <sheetData>
    <row r="1" spans="1:9">
      <c r="A1" s="3432" t="s">
        <v>3106</v>
      </c>
      <c r="B1" s="3432" t="s">
        <v>3107</v>
      </c>
      <c r="C1" s="3432" t="s">
        <v>3108</v>
      </c>
      <c r="D1" s="3432" t="s">
        <v>3109</v>
      </c>
      <c r="E1" s="3064" t="s">
        <v>3110</v>
      </c>
      <c r="F1" s="3432" t="s">
        <v>3112</v>
      </c>
      <c r="G1" s="3432" t="s">
        <v>3113</v>
      </c>
      <c r="H1" s="3432" t="s">
        <v>3114</v>
      </c>
    </row>
    <row r="2" spans="1:9" ht="14.25" thickBot="1">
      <c r="A2" s="3433"/>
      <c r="B2" s="3433"/>
      <c r="C2" s="3433"/>
      <c r="D2" s="3433"/>
      <c r="E2" s="3065" t="s">
        <v>3111</v>
      </c>
      <c r="F2" s="3433"/>
      <c r="G2" s="3433"/>
      <c r="H2" s="3433"/>
    </row>
    <row r="3" spans="1:9" ht="14.25" thickBot="1">
      <c r="A3" s="3066" t="s">
        <v>3115</v>
      </c>
      <c r="B3" s="3067" t="s">
        <v>3116</v>
      </c>
      <c r="C3" s="3068">
        <v>42125</v>
      </c>
      <c r="D3" s="3068">
        <v>45046</v>
      </c>
      <c r="E3" s="3069">
        <v>933.29</v>
      </c>
      <c r="F3" s="3069">
        <v>531.49</v>
      </c>
      <c r="G3" s="3069">
        <v>560.08000000000004</v>
      </c>
      <c r="H3" s="3069">
        <v>37.299999999999997</v>
      </c>
      <c r="I3">
        <f>ROUND(F3/30,1)</f>
        <v>17.7</v>
      </c>
    </row>
    <row r="4" spans="1:9" ht="14.25" thickBot="1">
      <c r="A4" s="3066" t="s">
        <v>3117</v>
      </c>
      <c r="B4" s="3067" t="s">
        <v>3118</v>
      </c>
      <c r="C4" s="3068">
        <v>43460</v>
      </c>
      <c r="D4" s="3068">
        <v>45285</v>
      </c>
      <c r="E4" s="3069">
        <v>145.61000000000001</v>
      </c>
      <c r="F4" s="3069">
        <v>432</v>
      </c>
      <c r="G4" s="3069">
        <v>432</v>
      </c>
      <c r="H4" s="3069">
        <v>37.299999999999997</v>
      </c>
      <c r="I4">
        <f t="shared" ref="I4:I16" si="0">ROUND(F4/30,1)</f>
        <v>14.4</v>
      </c>
    </row>
    <row r="5" spans="1:9" ht="14.25" thickBot="1">
      <c r="A5" s="3066" t="s">
        <v>3119</v>
      </c>
      <c r="B5" s="3067" t="s">
        <v>3120</v>
      </c>
      <c r="C5" s="3068">
        <v>43983</v>
      </c>
      <c r="D5" s="3068">
        <v>45077</v>
      </c>
      <c r="E5" s="3069">
        <v>156</v>
      </c>
      <c r="F5" s="3069">
        <v>358.28</v>
      </c>
      <c r="G5" s="3069">
        <v>358.28</v>
      </c>
      <c r="H5" s="3069">
        <v>37.299999999999997</v>
      </c>
      <c r="I5">
        <f t="shared" si="0"/>
        <v>11.9</v>
      </c>
    </row>
    <row r="6" spans="1:9" ht="14.25" thickBot="1">
      <c r="A6" s="3066" t="s">
        <v>3121</v>
      </c>
      <c r="B6" s="3067" t="s">
        <v>3122</v>
      </c>
      <c r="C6" s="3070">
        <v>42934</v>
      </c>
      <c r="D6" s="3068">
        <v>46904</v>
      </c>
      <c r="E6" s="3069">
        <v>137.94999999999999</v>
      </c>
      <c r="F6" s="3074">
        <v>18000</v>
      </c>
      <c r="G6" s="3069" t="s">
        <v>3123</v>
      </c>
      <c r="H6" s="3069">
        <v>37.299999999999997</v>
      </c>
      <c r="I6" s="3089">
        <v>10</v>
      </c>
    </row>
    <row r="7" spans="1:9" ht="14.25" thickBot="1">
      <c r="A7" s="3066" t="s">
        <v>3124</v>
      </c>
      <c r="B7" s="3067" t="s">
        <v>3125</v>
      </c>
      <c r="C7" s="3068">
        <v>43252</v>
      </c>
      <c r="D7" s="3068">
        <v>46904</v>
      </c>
      <c r="E7" s="3069">
        <v>1003.19</v>
      </c>
      <c r="F7" s="3069">
        <v>544.15</v>
      </c>
      <c r="G7" s="3069">
        <v>544.15</v>
      </c>
      <c r="H7" s="3069">
        <v>37.299999999999997</v>
      </c>
      <c r="I7">
        <f t="shared" si="0"/>
        <v>18.100000000000001</v>
      </c>
    </row>
    <row r="8" spans="1:9" ht="14.25" thickBot="1">
      <c r="A8" s="3066" t="s">
        <v>3126</v>
      </c>
      <c r="B8" s="3067" t="s">
        <v>3127</v>
      </c>
      <c r="C8" s="3068">
        <v>42644</v>
      </c>
      <c r="D8" s="3068">
        <v>46295</v>
      </c>
      <c r="E8" s="3069">
        <v>1311.1</v>
      </c>
      <c r="F8" s="3069">
        <v>500</v>
      </c>
      <c r="G8" s="3069">
        <v>550</v>
      </c>
      <c r="H8" s="3069">
        <v>37.299999999999997</v>
      </c>
      <c r="I8">
        <f t="shared" si="0"/>
        <v>16.7</v>
      </c>
    </row>
    <row r="9" spans="1:9" ht="14.25" thickBot="1">
      <c r="A9" s="3066" t="s">
        <v>3128</v>
      </c>
      <c r="B9" s="3067" t="s">
        <v>3127</v>
      </c>
      <c r="C9" s="3068">
        <v>42644</v>
      </c>
      <c r="D9" s="3068">
        <v>46295</v>
      </c>
      <c r="E9" s="3069">
        <v>2078.08</v>
      </c>
      <c r="F9" s="3069">
        <v>370</v>
      </c>
      <c r="G9" s="3069">
        <v>407</v>
      </c>
      <c r="H9" s="3069">
        <v>28.16</v>
      </c>
      <c r="I9">
        <f t="shared" si="0"/>
        <v>12.3</v>
      </c>
    </row>
    <row r="10" spans="1:9" ht="14.25" thickBot="1">
      <c r="A10" s="3066" t="s">
        <v>3129</v>
      </c>
      <c r="B10" s="3067" t="s">
        <v>3127</v>
      </c>
      <c r="C10" s="3068">
        <v>43081</v>
      </c>
      <c r="D10" s="3068">
        <v>47098</v>
      </c>
      <c r="E10" s="3069">
        <v>222.94</v>
      </c>
      <c r="F10" s="3069">
        <v>370</v>
      </c>
      <c r="G10" s="3069">
        <v>407</v>
      </c>
      <c r="H10" s="3069">
        <v>28.16</v>
      </c>
      <c r="I10">
        <f t="shared" si="0"/>
        <v>12.3</v>
      </c>
    </row>
    <row r="11" spans="1:9">
      <c r="A11" s="3434" t="s">
        <v>3130</v>
      </c>
      <c r="B11" s="3437" t="s">
        <v>3131</v>
      </c>
      <c r="C11" s="3440">
        <v>43951</v>
      </c>
      <c r="D11" s="3440">
        <v>45046</v>
      </c>
      <c r="E11" s="3072">
        <v>2364.0500000000002</v>
      </c>
      <c r="F11" s="3434">
        <v>243.33</v>
      </c>
      <c r="G11" s="3434">
        <v>243.33</v>
      </c>
      <c r="H11" s="3434">
        <v>28.16</v>
      </c>
      <c r="I11">
        <f t="shared" si="0"/>
        <v>8.1</v>
      </c>
    </row>
    <row r="12" spans="1:9">
      <c r="A12" s="3435"/>
      <c r="B12" s="3438"/>
      <c r="C12" s="3441"/>
      <c r="D12" s="3441"/>
      <c r="E12" s="3071" t="s">
        <v>3164</v>
      </c>
      <c r="F12" s="3435"/>
      <c r="G12" s="3435"/>
      <c r="H12" s="3435"/>
      <c r="I12">
        <f t="shared" si="0"/>
        <v>0</v>
      </c>
    </row>
    <row r="13" spans="1:9" ht="14.25" thickBot="1">
      <c r="A13" s="3436"/>
      <c r="B13" s="3439"/>
      <c r="C13" s="3442"/>
      <c r="D13" s="3442"/>
      <c r="E13" s="3067" t="s">
        <v>3132</v>
      </c>
      <c r="F13" s="3436"/>
      <c r="G13" s="3436"/>
      <c r="H13" s="3436"/>
      <c r="I13">
        <f t="shared" si="0"/>
        <v>0</v>
      </c>
    </row>
    <row r="14" spans="1:9" ht="14.25" thickBot="1">
      <c r="A14" s="3066" t="s">
        <v>3133</v>
      </c>
      <c r="B14" s="3067" t="s">
        <v>3127</v>
      </c>
      <c r="C14" s="3068">
        <v>43556</v>
      </c>
      <c r="D14" s="3068">
        <v>44651</v>
      </c>
      <c r="E14" s="3069">
        <v>2364.0500000000002</v>
      </c>
      <c r="F14" s="3069">
        <v>240</v>
      </c>
      <c r="G14" s="3069">
        <v>264</v>
      </c>
      <c r="H14" s="3069">
        <v>28.16</v>
      </c>
      <c r="I14">
        <f t="shared" si="0"/>
        <v>8</v>
      </c>
    </row>
    <row r="15" spans="1:9" ht="14.25" thickBot="1">
      <c r="A15" s="3066" t="s">
        <v>3134</v>
      </c>
      <c r="B15" s="3067" t="s">
        <v>3135</v>
      </c>
      <c r="C15" s="3070">
        <v>39814</v>
      </c>
      <c r="D15" s="3070">
        <v>44043</v>
      </c>
      <c r="E15" s="3073">
        <v>2364.0500000000002</v>
      </c>
      <c r="F15" s="3073">
        <v>158.19999999999999</v>
      </c>
      <c r="G15" s="3073">
        <v>304.16000000000003</v>
      </c>
      <c r="H15" s="3073">
        <v>28.16</v>
      </c>
      <c r="I15">
        <f t="shared" si="0"/>
        <v>5.3</v>
      </c>
    </row>
    <row r="16" spans="1:9" ht="14.25" thickBot="1">
      <c r="A16" s="3066" t="s">
        <v>3136</v>
      </c>
      <c r="B16" s="3067" t="s">
        <v>3127</v>
      </c>
      <c r="C16" s="3068">
        <v>42644</v>
      </c>
      <c r="D16" s="3068">
        <v>46295</v>
      </c>
      <c r="E16" s="3069">
        <v>2351.31</v>
      </c>
      <c r="F16" s="3069">
        <v>370</v>
      </c>
      <c r="G16" s="3069">
        <v>407</v>
      </c>
      <c r="H16" s="3069">
        <v>28.16</v>
      </c>
      <c r="I16">
        <f t="shared" si="0"/>
        <v>12.3</v>
      </c>
    </row>
    <row r="17" spans="1:9">
      <c r="E17">
        <f>SUM(E3:E10)+SUM(E14:E16)+2364.05</f>
        <v>15431.619999999999</v>
      </c>
      <c r="I17">
        <f>ROUND(I3*E3/E17+I4*E4/E17+I5*E5/E17+I6*E6/E17+I7*E7/E17+I8*E8/E17+I9*E9/E17+E10*I10/E17+2364.05*I11/E17+E14*I14/E17+E15*I15/E17+I16*E16/E17,1)</f>
        <v>11</v>
      </c>
    </row>
    <row r="24" spans="1:9" ht="14.25" thickBot="1"/>
    <row r="25" spans="1:9" ht="14.25" thickBot="1">
      <c r="A25" s="3075" t="s">
        <v>3106</v>
      </c>
      <c r="B25" s="3076" t="s">
        <v>3107</v>
      </c>
      <c r="C25" s="3076" t="s">
        <v>3108</v>
      </c>
      <c r="D25" s="3076" t="s">
        <v>3109</v>
      </c>
      <c r="E25" s="3077" t="s">
        <v>3137</v>
      </c>
      <c r="F25" s="3076" t="s">
        <v>3112</v>
      </c>
      <c r="G25" s="3076" t="s">
        <v>3113</v>
      </c>
      <c r="H25" s="3076" t="s">
        <v>3114</v>
      </c>
    </row>
    <row r="26" spans="1:9" ht="14.25" thickBot="1">
      <c r="A26" s="3066" t="s">
        <v>3138</v>
      </c>
      <c r="B26" s="3067" t="s">
        <v>3127</v>
      </c>
      <c r="C26" s="3068">
        <v>43101</v>
      </c>
      <c r="D26" s="3068">
        <v>44196</v>
      </c>
      <c r="E26" s="3069">
        <v>1800</v>
      </c>
      <c r="F26" s="3069">
        <v>300</v>
      </c>
      <c r="G26" s="3069">
        <v>300</v>
      </c>
      <c r="H26" s="3069">
        <v>30</v>
      </c>
      <c r="I26">
        <f>ROUND(F26/30,1)</f>
        <v>10</v>
      </c>
    </row>
    <row r="27" spans="1:9" ht="14.25" thickBot="1">
      <c r="A27" s="3066" t="s">
        <v>3139</v>
      </c>
      <c r="B27" s="3067" t="s">
        <v>3127</v>
      </c>
      <c r="C27" s="3068">
        <v>42745</v>
      </c>
      <c r="D27" s="3068">
        <v>46396</v>
      </c>
      <c r="E27" s="3069">
        <v>207.33</v>
      </c>
      <c r="F27" s="3069">
        <v>300</v>
      </c>
      <c r="G27" s="3069">
        <v>330</v>
      </c>
      <c r="H27" s="3069">
        <v>30</v>
      </c>
      <c r="I27">
        <f t="shared" ref="I27:I32" si="1">ROUND(F27/30,1)</f>
        <v>10</v>
      </c>
    </row>
    <row r="28" spans="1:9" ht="14.25" thickBot="1">
      <c r="A28" s="3066" t="s">
        <v>3140</v>
      </c>
      <c r="B28" s="3067" t="s">
        <v>3127</v>
      </c>
      <c r="C28" s="3068">
        <v>42745</v>
      </c>
      <c r="D28" s="3068">
        <v>46396</v>
      </c>
      <c r="E28" s="3069">
        <v>3534.98</v>
      </c>
      <c r="F28" s="3069">
        <v>300</v>
      </c>
      <c r="G28" s="3069">
        <v>330</v>
      </c>
      <c r="H28" s="3069">
        <v>30</v>
      </c>
      <c r="I28">
        <f t="shared" si="1"/>
        <v>10</v>
      </c>
    </row>
    <row r="29" spans="1:9" ht="14.25" thickBot="1">
      <c r="A29" s="3066" t="s">
        <v>3141</v>
      </c>
      <c r="B29" s="3067" t="s">
        <v>3127</v>
      </c>
      <c r="C29" s="3070">
        <v>42745</v>
      </c>
      <c r="D29" s="3068">
        <v>46396</v>
      </c>
      <c r="E29" s="3069">
        <v>3631.02</v>
      </c>
      <c r="F29" s="3069">
        <v>300</v>
      </c>
      <c r="G29" s="3069">
        <v>330</v>
      </c>
      <c r="H29" s="3069">
        <v>30</v>
      </c>
      <c r="I29">
        <f t="shared" si="1"/>
        <v>10</v>
      </c>
    </row>
    <row r="30" spans="1:9" ht="14.25" thickBot="1">
      <c r="A30" s="3066" t="s">
        <v>3142</v>
      </c>
      <c r="B30" s="3067" t="s">
        <v>3143</v>
      </c>
      <c r="C30" s="3068">
        <v>42614</v>
      </c>
      <c r="D30" s="3068">
        <v>45199</v>
      </c>
      <c r="E30" s="3074">
        <v>3747.44</v>
      </c>
      <c r="F30" s="3069">
        <v>96</v>
      </c>
      <c r="G30" s="3069">
        <v>98</v>
      </c>
      <c r="H30" s="3069">
        <v>0</v>
      </c>
      <c r="I30">
        <f t="shared" si="1"/>
        <v>3.2</v>
      </c>
    </row>
    <row r="31" spans="1:9" ht="14.25" thickBot="1">
      <c r="A31" s="3066" t="s">
        <v>3144</v>
      </c>
      <c r="B31" s="3067" t="s">
        <v>3145</v>
      </c>
      <c r="C31" s="3068">
        <v>43617</v>
      </c>
      <c r="D31" s="3068">
        <v>47269</v>
      </c>
      <c r="E31" s="3074">
        <v>2009</v>
      </c>
      <c r="F31" s="3069">
        <v>88</v>
      </c>
      <c r="G31" s="3069">
        <v>88</v>
      </c>
      <c r="H31" s="3069">
        <v>30</v>
      </c>
      <c r="I31">
        <f t="shared" si="1"/>
        <v>2.9</v>
      </c>
    </row>
    <row r="32" spans="1:9" ht="14.25" thickBot="1">
      <c r="A32" s="3066" t="s">
        <v>3146</v>
      </c>
      <c r="B32" s="3067" t="s">
        <v>3127</v>
      </c>
      <c r="C32" s="3068">
        <v>43556</v>
      </c>
      <c r="D32" s="3068">
        <v>47208</v>
      </c>
      <c r="E32" s="3069">
        <v>1180.24</v>
      </c>
      <c r="F32" s="3069">
        <v>90</v>
      </c>
      <c r="G32" s="3069">
        <v>90</v>
      </c>
      <c r="H32" s="3069">
        <v>0</v>
      </c>
      <c r="I32">
        <f t="shared" si="1"/>
        <v>3</v>
      </c>
    </row>
    <row r="33" spans="5:9">
      <c r="E33">
        <f>SUM(E26:E32)</f>
        <v>16110.01</v>
      </c>
      <c r="I33">
        <f>ROUND(I26*E26/E33+I27*E27/E33+I28*E28/E33+I29*E29/E33+I30*E30/E33+I31*E31/E33+I32*E32/E33,1)</f>
        <v>7</v>
      </c>
    </row>
  </sheetData>
  <mergeCells count="14">
    <mergeCell ref="H1:H2"/>
    <mergeCell ref="A11:A13"/>
    <mergeCell ref="B11:B13"/>
    <mergeCell ref="C11:C13"/>
    <mergeCell ref="D11:D13"/>
    <mergeCell ref="F11:F13"/>
    <mergeCell ref="G11:G13"/>
    <mergeCell ref="H11:H13"/>
    <mergeCell ref="A1:A2"/>
    <mergeCell ref="B1:B2"/>
    <mergeCell ref="C1:C2"/>
    <mergeCell ref="D1:D2"/>
    <mergeCell ref="F1:F2"/>
    <mergeCell ref="G1:G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1606</v>
      </c>
      <c r="B2" s="3105" t="s">
        <v>1607</v>
      </c>
      <c r="C2" s="3105" t="s">
        <v>1608</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962" t="s">
        <v>1603</v>
      </c>
      <c r="E3" s="962" t="s">
        <v>1609</v>
      </c>
      <c r="F3" s="962" t="s">
        <v>1603</v>
      </c>
      <c r="G3" s="962" t="s">
        <v>1604</v>
      </c>
      <c r="H3" s="962" t="s">
        <v>1603</v>
      </c>
      <c r="I3" s="962" t="s">
        <v>1604</v>
      </c>
    </row>
    <row r="4" spans="1:9" ht="15">
      <c r="A4" s="1691" t="str">
        <f>项目基本情况!S2</f>
        <v>北京市亿利生态广场房地产</v>
      </c>
      <c r="B4" s="962">
        <f>项目基本情况!C17</f>
        <v>15279.68</v>
      </c>
      <c r="C4" s="962">
        <f>项目基本情况!C18</f>
        <v>4399.12</v>
      </c>
      <c r="D4" s="962" t="e">
        <f ca="1">结果表!D118</f>
        <v>#DIV/0!</v>
      </c>
      <c r="E4" s="962" t="e">
        <f ca="1">结果表!E118</f>
        <v>#DIV/0!</v>
      </c>
      <c r="F4" s="962" t="e">
        <f ca="1">结果表!F118</f>
        <v>#DIV/0!</v>
      </c>
      <c r="G4" s="962" t="e">
        <f ca="1">结果表!G118</f>
        <v>#DIV/0!</v>
      </c>
      <c r="H4" s="962">
        <f ca="1">结果表!H118</f>
        <v>5321</v>
      </c>
      <c r="I4" s="962" t="e">
        <f ca="1">结果表!I118</f>
        <v>#DIV/0!</v>
      </c>
    </row>
    <row r="5" spans="1:9" ht="30" customHeight="1">
      <c r="A5" s="3106" t="s">
        <v>1605</v>
      </c>
      <c r="B5" s="3106"/>
      <c r="C5" s="3106"/>
      <c r="D5" s="3107" t="e">
        <f ca="1">结果表!D119</f>
        <v>#DIV/0!</v>
      </c>
      <c r="E5" s="3107"/>
      <c r="F5" s="3107" t="e">
        <f ca="1">结果表!F119</f>
        <v>#DIV/0!</v>
      </c>
      <c r="G5" s="3107"/>
      <c r="H5" s="3107" t="str">
        <f ca="1">结果表!H119</f>
        <v>伍仟叁佰贰拾壹万元整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1605</v>
      </c>
      <c r="B7" s="3106"/>
      <c r="C7" s="3106"/>
      <c r="D7" s="3109" t="str">
        <f>结果表!D121</f>
        <v>零元整</v>
      </c>
      <c r="E7" s="3110"/>
      <c r="F7" s="3110"/>
      <c r="G7" s="3110"/>
      <c r="H7" s="3110"/>
      <c r="I7" s="3111"/>
    </row>
    <row r="8" spans="1:9" ht="15.75">
      <c r="A8" s="3108" t="str">
        <f>结果表!A122</f>
        <v>房地产抵押价值</v>
      </c>
      <c r="B8" s="3108"/>
      <c r="C8" s="3108"/>
      <c r="D8" s="3108">
        <f ca="1">结果表!D122</f>
        <v>5321</v>
      </c>
      <c r="E8" s="3108"/>
      <c r="F8" s="3108"/>
      <c r="G8" s="3108"/>
      <c r="H8" s="3108"/>
      <c r="I8" s="3108"/>
    </row>
    <row r="9" spans="1:9" ht="15">
      <c r="A9" s="3106" t="s">
        <v>1605</v>
      </c>
      <c r="B9" s="3106"/>
      <c r="C9" s="3106"/>
      <c r="D9" s="3107" t="str">
        <f ca="1">结果表!D123</f>
        <v>伍仟叁佰贰拾壹万元整</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1605</v>
      </c>
      <c r="B11" s="3106"/>
      <c r="C11" s="3106"/>
      <c r="D11" s="3107" t="e">
        <f>结果表!D125</f>
        <v>#VALUE!</v>
      </c>
      <c r="E11" s="3107"/>
      <c r="F11" s="3107"/>
      <c r="G11" s="3107"/>
      <c r="H11" s="3107"/>
      <c r="I11" s="3107"/>
    </row>
    <row r="12" spans="1:9" ht="15.75">
      <c r="A12" s="3108" t="str">
        <f>结果表!A126</f>
        <v>抵押净值</v>
      </c>
      <c r="B12" s="3108"/>
      <c r="C12" s="3108"/>
      <c r="D12" s="3108">
        <f ca="1">结果表!D126</f>
        <v>104937</v>
      </c>
      <c r="E12" s="3108"/>
      <c r="F12" s="3108"/>
      <c r="G12" s="3108"/>
      <c r="H12" s="3108"/>
      <c r="I12" s="3108"/>
    </row>
    <row r="13" spans="1:9" ht="15.75" thickBot="1">
      <c r="A13" s="3112" t="s">
        <v>1605</v>
      </c>
      <c r="B13" s="3112"/>
      <c r="C13" s="3112"/>
      <c r="D13" s="3113" t="str">
        <f ca="1">结果表!D127</f>
        <v>壹拾亿肆仟玖佰叁拾柒万元整</v>
      </c>
      <c r="E13" s="3113"/>
      <c r="F13" s="3113"/>
      <c r="G13" s="3113"/>
      <c r="H13" s="3113"/>
      <c r="I13" s="3113"/>
    </row>
    <row r="14" spans="1:9" ht="15" thickTop="1">
      <c r="A14" s="3114" t="s">
        <v>1610</v>
      </c>
      <c r="B14" s="3114"/>
      <c r="C14" s="3114"/>
      <c r="D14" s="3114"/>
      <c r="E14" s="3114"/>
      <c r="F14" s="3114"/>
      <c r="G14" s="3114"/>
      <c r="H14" s="3114"/>
      <c r="I14" s="3114"/>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5" t="s">
        <v>1627</v>
      </c>
      <c r="B1" s="3115"/>
      <c r="C1" s="3115"/>
      <c r="D1" s="3115"/>
    </row>
    <row r="2" spans="1:4" ht="18">
      <c r="A2" s="3116" t="s">
        <v>1611</v>
      </c>
      <c r="B2" s="3116"/>
      <c r="C2" s="3116"/>
      <c r="D2" s="3116"/>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16" t="s">
        <v>1617</v>
      </c>
      <c r="B6" s="3116"/>
      <c r="C6" s="3116"/>
      <c r="D6" s="3116"/>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17" t="s">
        <v>1620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8" t="str">
        <f>IF(项目基本情况!B8="抵押","4.本次评估估价师所知悉的法定优先受偿款情况说明如下：","——")</f>
        <v>4.本次评估估价师所知悉的法定优先受偿款情况说明如下：</v>
      </c>
      <c r="B14" s="3119"/>
      <c r="C14" s="3119"/>
      <c r="D14" s="3119"/>
    </row>
    <row r="15" spans="1:4" ht="42" customHeight="1">
      <c r="A15" s="31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1" t="s">
        <v>1621</v>
      </c>
      <c r="B16" s="3121"/>
      <c r="C16" s="3121"/>
      <c r="D16" s="3121"/>
    </row>
    <row r="17" spans="1:4" ht="144" customHeight="1">
      <c r="A17" s="3121" t="s">
        <v>1622</v>
      </c>
      <c r="B17" s="3121"/>
      <c r="C17" s="3121"/>
      <c r="D17" s="3121"/>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1623</v>
      </c>
      <c r="B22" s="3123"/>
      <c r="C22" s="3123"/>
      <c r="D22" s="3123"/>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9" t="s">
        <v>1634</v>
      </c>
      <c r="B15" s="3124" t="s">
        <v>136</v>
      </c>
      <c r="C15" s="3125"/>
    </row>
    <row r="16" spans="1:7" ht="13.5">
      <c r="A16" s="3130"/>
      <c r="B16" s="3124" t="s">
        <v>69</v>
      </c>
      <c r="C16" s="3125"/>
    </row>
    <row r="17" spans="1:3" ht="13.5">
      <c r="A17" s="3130"/>
      <c r="B17" s="3127" t="s">
        <v>1635</v>
      </c>
      <c r="C17" s="1718" t="s">
        <v>1634</v>
      </c>
    </row>
    <row r="18" spans="1:3" ht="13.5">
      <c r="A18" s="3130"/>
      <c r="B18" s="3127"/>
      <c r="C18" s="1718" t="s">
        <v>1636</v>
      </c>
    </row>
    <row r="19" spans="1:3" ht="13.5">
      <c r="A19" s="3130"/>
      <c r="B19" s="3127"/>
      <c r="C19" s="1718" t="s">
        <v>1637</v>
      </c>
    </row>
    <row r="20" spans="1:3" ht="13.5">
      <c r="A20" s="3131"/>
      <c r="B20" s="3126" t="s">
        <v>1638</v>
      </c>
      <c r="C20" s="3125"/>
    </row>
    <row r="21" spans="1:3" ht="13.5">
      <c r="A21" s="1719" t="s">
        <v>1639</v>
      </c>
      <c r="B21" s="1720"/>
      <c r="C21" s="1721"/>
    </row>
    <row r="22" spans="1:3" ht="13.5">
      <c r="A22" s="3128" t="s">
        <v>1640</v>
      </c>
      <c r="B22" s="3126" t="s">
        <v>1641</v>
      </c>
      <c r="C22" s="3125"/>
    </row>
    <row r="23" spans="1:3" ht="13.5">
      <c r="A23" s="3128"/>
      <c r="B23" s="3126" t="s">
        <v>1642</v>
      </c>
      <c r="C23" s="3125"/>
    </row>
    <row r="24" spans="1:3" ht="13.5">
      <c r="A24" s="3128"/>
      <c r="B24" s="3126" t="s">
        <v>1643</v>
      </c>
      <c r="C24" s="3125"/>
    </row>
    <row r="25" spans="1:3" ht="13.5">
      <c r="A25" s="3128"/>
      <c r="B25" s="3127" t="s">
        <v>1644</v>
      </c>
      <c r="C25" s="1718" t="s">
        <v>1645</v>
      </c>
    </row>
    <row r="26" spans="1:3" ht="13.5">
      <c r="A26" s="3128"/>
      <c r="B26" s="3127"/>
      <c r="C26" s="1718" t="s">
        <v>1646</v>
      </c>
    </row>
    <row r="27" spans="1:3" ht="13.5">
      <c r="A27" s="3128"/>
      <c r="B27" s="3127"/>
      <c r="C27" s="1718" t="s">
        <v>1647</v>
      </c>
    </row>
    <row r="28" spans="1:3" ht="13.5">
      <c r="A28" s="3128"/>
      <c r="B28" s="3127"/>
      <c r="C28" s="1718" t="s">
        <v>1648</v>
      </c>
    </row>
    <row r="29" spans="1:3" ht="13.5">
      <c r="A29" s="3128"/>
      <c r="B29" s="3127"/>
      <c r="C29" s="1718" t="s">
        <v>1649</v>
      </c>
    </row>
    <row r="30" spans="1:3" ht="13.5">
      <c r="A30" s="3128"/>
      <c r="B30" s="3127"/>
      <c r="C30" s="1718" t="s">
        <v>1650</v>
      </c>
    </row>
    <row r="31" spans="1:3" ht="13.5">
      <c r="A31" s="3128"/>
      <c r="B31" s="3127"/>
      <c r="C31" s="1718" t="s">
        <v>1651</v>
      </c>
    </row>
    <row r="32" spans="1:3" ht="13.5">
      <c r="A32" s="3128"/>
      <c r="B32" s="3127"/>
      <c r="C32" s="1718" t="s">
        <v>1652</v>
      </c>
    </row>
    <row r="33" spans="1:3" ht="13.5">
      <c r="A33" s="3128"/>
      <c r="B33" s="312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44088</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32" t="s">
        <v>2902</v>
      </c>
      <c r="B17" s="3132"/>
      <c r="C17" s="3132"/>
      <c r="D17" s="3132"/>
      <c r="E17" s="3132"/>
      <c r="F17" s="3132"/>
      <c r="G17" s="3132"/>
      <c r="H17" s="3132"/>
    </row>
    <row r="18" spans="1:8" ht="24" customHeight="1">
      <c r="A18" s="3133" t="s">
        <v>2903</v>
      </c>
      <c r="B18" s="3133"/>
      <c r="C18" s="3133"/>
      <c r="D18" s="2567"/>
      <c r="E18" s="3134" t="s">
        <v>2904</v>
      </c>
      <c r="F18" s="3133"/>
      <c r="G18" s="3133"/>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基准地价（汇总）</vt:lpstr>
      <vt:lpstr>基准地价修正-商业</vt:lpstr>
      <vt:lpstr>基准地价修正-办公</vt:lpstr>
      <vt:lpstr>成本法</vt:lpstr>
      <vt:lpstr>成本法 (元)</vt:lpstr>
      <vt:lpstr>假设开发法</vt:lpstr>
      <vt:lpstr>收益法（汇总）</vt:lpstr>
      <vt:lpstr>比较法-办公</vt:lpstr>
      <vt:lpstr>收益法-办公</vt:lpstr>
      <vt:lpstr>典型户型修正</vt:lpstr>
      <vt:lpstr>收益法-商业</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2020-09-14T05:26:35Z</dcterms:modified>
</cp:coreProperties>
</file>