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mc:AlternateContent xmlns:mc="http://schemas.openxmlformats.org/markup-compatibility/2006">
    <mc:Choice Requires="x15">
      <x15ac:absPath xmlns:x15ac="http://schemas.microsoft.com/office/spreadsheetml/2010/11/ac" url="G:\高鹏\项目\广华新城租金\测算\"/>
    </mc:Choice>
  </mc:AlternateContent>
  <xr:revisionPtr revIDLastSave="0" documentId="13_ncr:1_{2C94BCEC-C05C-4390-B71A-AD7933061C98}" xr6:coauthVersionLast="47" xr6:coauthVersionMax="47" xr10:uidLastSave="{00000000-0000-0000-0000-000000000000}"/>
  <bookViews>
    <workbookView xWindow="-120" yWindow="-120" windowWidth="19440" windowHeight="15000" tabRatio="842"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租金案例" sheetId="88" r:id="rId45"/>
    <sheet name="楼层比例、案例" sheetId="94"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4" i="31" l="1"/>
  <c r="F4" i="31"/>
  <c r="G4" i="31"/>
  <c r="H4" i="31"/>
  <c r="I4" i="31"/>
  <c r="J4" i="31"/>
  <c r="K4" i="31"/>
  <c r="L4" i="31"/>
  <c r="M4" i="31"/>
  <c r="D4" i="31"/>
  <c r="C4" i="31"/>
  <c r="H89" i="88" l="1"/>
  <c r="E104" i="33" l="1"/>
  <c r="F104" i="33"/>
  <c r="G104" i="33"/>
  <c r="H104" i="33"/>
  <c r="I104" i="33" s="1"/>
  <c r="J104" i="33" s="1"/>
  <c r="K104" i="33" s="1"/>
  <c r="L104" i="33" s="1"/>
  <c r="M104" i="33" s="1"/>
  <c r="D104" i="33"/>
  <c r="D97" i="33" l="1"/>
  <c r="E97" i="33" s="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C26" i="31"/>
  <c r="I47" i="33" l="1"/>
  <c r="I51" i="33"/>
  <c r="G51" i="33"/>
  <c r="E51" i="33"/>
  <c r="I33" i="33"/>
  <c r="I5" i="33"/>
  <c r="G47" i="33"/>
  <c r="G33" i="33"/>
  <c r="G5" i="33"/>
  <c r="D10" i="88"/>
  <c r="B10" i="88"/>
  <c r="D3" i="4"/>
  <c r="B8" i="88"/>
  <c r="B7" i="88"/>
  <c r="B6" i="88"/>
  <c r="I5" i="88"/>
  <c r="D5" i="88"/>
  <c r="B5" i="88"/>
  <c r="I4" i="88"/>
  <c r="D4" i="88"/>
  <c r="B4" i="88"/>
  <c r="D2" i="88"/>
  <c r="D3" i="88"/>
  <c r="I3" i="88"/>
  <c r="B3" i="88"/>
  <c r="I2" i="88"/>
  <c r="D111" i="33" l="1"/>
  <c r="E111" i="33"/>
  <c r="F111" i="33"/>
  <c r="G111" i="33" s="1"/>
  <c r="F28" i="33"/>
  <c r="AA28" i="33" s="1"/>
  <c r="D87" i="33"/>
  <c r="E87" i="33" s="1"/>
  <c r="H28" i="33"/>
  <c r="AB28" i="33" s="1"/>
  <c r="J28" i="33"/>
  <c r="AC28" i="33" s="1"/>
  <c r="I25" i="31"/>
  <c r="K25" i="31"/>
  <c r="E25" i="31"/>
  <c r="I26" i="31"/>
  <c r="K26" i="31"/>
  <c r="E26" i="31"/>
  <c r="I29" i="94"/>
  <c r="E29" i="94"/>
  <c r="E28" i="94"/>
  <c r="I28" i="94"/>
  <c r="J29" i="94"/>
  <c r="V30" i="94"/>
  <c r="V29" i="94"/>
  <c r="V28" i="94"/>
  <c r="E10" i="94"/>
  <c r="D123" i="33"/>
  <c r="E123" i="33" s="1"/>
  <c r="D77" i="33"/>
  <c r="E77" i="33" s="1"/>
  <c r="E47" i="33"/>
  <c r="R47" i="33"/>
  <c r="E33" i="33"/>
  <c r="F33" i="33"/>
  <c r="AA33" i="33" s="1"/>
  <c r="T47" i="33"/>
  <c r="V47" i="33"/>
  <c r="J33" i="33"/>
  <c r="AC33" i="33" s="1"/>
  <c r="U30" i="31"/>
  <c r="C33" i="33"/>
  <c r="H33" i="33" s="1"/>
  <c r="B96" i="33"/>
  <c r="F30" i="33"/>
  <c r="AA30" i="33" s="1"/>
  <c r="F29" i="33"/>
  <c r="AA29" i="33"/>
  <c r="D91" i="33"/>
  <c r="E91" i="33" s="1"/>
  <c r="H30" i="33"/>
  <c r="AB30" i="33" s="1"/>
  <c r="H29" i="33"/>
  <c r="AB29" i="33"/>
  <c r="J30" i="33"/>
  <c r="AC30" i="33" s="1"/>
  <c r="J29" i="33"/>
  <c r="AC29" i="33"/>
  <c r="Q25" i="31"/>
  <c r="G25" i="31"/>
  <c r="Q26" i="31"/>
  <c r="G26" i="31"/>
  <c r="D12" i="31"/>
  <c r="B25" i="31"/>
  <c r="U26" i="31" s="1"/>
  <c r="B26" i="31"/>
  <c r="U27" i="31" s="1"/>
  <c r="U29" i="31"/>
  <c r="B24" i="31"/>
  <c r="A25" i="31"/>
  <c r="A26" i="31"/>
  <c r="A24" i="31"/>
  <c r="N18" i="1"/>
  <c r="E5" i="33"/>
  <c r="Q11" i="94"/>
  <c r="Q10" i="94"/>
  <c r="Q9" i="94"/>
  <c r="E33" i="94"/>
  <c r="H10" i="94"/>
  <c r="F33" i="94"/>
  <c r="G28" i="94"/>
  <c r="G29" i="94"/>
  <c r="F29" i="94"/>
  <c r="F28" i="94"/>
  <c r="F23" i="94"/>
  <c r="F22" i="94"/>
  <c r="F10" i="94"/>
  <c r="F18" i="94"/>
  <c r="F14" i="94"/>
  <c r="H9" i="94"/>
  <c r="G6" i="94"/>
  <c r="F6" i="94"/>
  <c r="G5" i="94"/>
  <c r="F5" i="94"/>
  <c r="G4" i="94"/>
  <c r="F4" i="94"/>
  <c r="B94" i="33"/>
  <c r="E9" i="90"/>
  <c r="M25" i="31"/>
  <c r="O25" i="31"/>
  <c r="M42" i="33"/>
  <c r="B2" i="1"/>
  <c r="C7" i="33" s="1"/>
  <c r="E7" i="33" s="1"/>
  <c r="B90" i="33"/>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AZ14" i="3" s="1"/>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B16" i="3"/>
  <c r="BA16" i="3" s="1"/>
  <c r="AZ16" i="3" s="1"/>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O17" i="3"/>
  <c r="BP17" i="3"/>
  <c r="BQ17" i="3"/>
  <c r="BR17" i="3"/>
  <c r="BS17" i="3"/>
  <c r="BT17" i="3"/>
  <c r="BL17" i="3"/>
  <c r="BB18" i="3"/>
  <c r="BC18" i="3"/>
  <c r="BD18" i="3"/>
  <c r="BE18" i="3"/>
  <c r="BF18" i="3"/>
  <c r="BG18" i="3"/>
  <c r="BH18" i="3"/>
  <c r="BI18" i="3"/>
  <c r="BJ18" i="3"/>
  <c r="BK18" i="3"/>
  <c r="BA18" i="3"/>
  <c r="AZ18" i="3" s="1"/>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c r="BB20" i="3"/>
  <c r="BA20" i="3" s="1"/>
  <c r="AZ20" i="3" s="1"/>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Q72" i="15"/>
  <c r="Q59" i="15"/>
  <c r="K59" i="15"/>
  <c r="P74" i="15"/>
  <c r="F59" i="15"/>
  <c r="Q58" i="15"/>
  <c r="Q51" i="15"/>
  <c r="J50" i="15"/>
  <c r="M47" i="15"/>
  <c r="D46" i="15"/>
  <c r="F33" i="15"/>
  <c r="F61" i="15"/>
  <c r="F31" i="15"/>
  <c r="F23" i="15"/>
  <c r="F21" i="15"/>
  <c r="F20" i="15"/>
  <c r="M19" i="15"/>
  <c r="F18" i="15"/>
  <c r="M17" i="15"/>
  <c r="F17" i="15"/>
  <c r="F15" i="15"/>
  <c r="C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C32"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s="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3" i="43" s="1"/>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s="1"/>
  <c r="B130" i="33"/>
  <c r="B128" i="33"/>
  <c r="B126" i="33"/>
  <c r="D125" i="33"/>
  <c r="E125" i="33"/>
  <c r="F125" i="33"/>
  <c r="G125"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B88" i="33"/>
  <c r="H26" i="33" s="1"/>
  <c r="D85" i="33"/>
  <c r="E85" i="33" s="1"/>
  <c r="D83" i="33"/>
  <c r="E83" i="33"/>
  <c r="F83" i="33"/>
  <c r="G83" i="33"/>
  <c r="D81" i="33"/>
  <c r="E81" i="33"/>
  <c r="F81" i="33"/>
  <c r="G81" i="33"/>
  <c r="D79" i="33"/>
  <c r="E79" i="33"/>
  <c r="F79" i="33"/>
  <c r="G79"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s="1"/>
  <c r="E54" i="33"/>
  <c r="F54" i="33" s="1"/>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Q28" i="33"/>
  <c r="Z28" i="33"/>
  <c r="Q27" i="33"/>
  <c r="Z27" i="33"/>
  <c r="Q26" i="33"/>
  <c r="Z26" i="33" s="1"/>
  <c r="J26" i="33"/>
  <c r="AC26" i="33" s="1"/>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s="1"/>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J36"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s="1"/>
  <c r="Q23" i="79"/>
  <c r="Z23" i="79"/>
  <c r="K23" i="79"/>
  <c r="D85" i="79"/>
  <c r="E85" i="79"/>
  <c r="J23" i="79" s="1"/>
  <c r="C23" i="79"/>
  <c r="H21" i="79"/>
  <c r="AB21" i="79"/>
  <c r="U21" i="79"/>
  <c r="Q21" i="79"/>
  <c r="Z21" i="79"/>
  <c r="J21" i="79"/>
  <c r="F21" i="79"/>
  <c r="C21" i="79"/>
  <c r="Q19" i="79"/>
  <c r="Z19" i="79"/>
  <c r="K19" i="79"/>
  <c r="D81" i="79"/>
  <c r="C19" i="79"/>
  <c r="Q17" i="79"/>
  <c r="Z17" i="79"/>
  <c r="J17" i="79"/>
  <c r="F17" i="79"/>
  <c r="C17" i="79"/>
  <c r="Q15" i="79"/>
  <c r="Z15" i="79"/>
  <c r="K15" i="79"/>
  <c r="D77" i="79" s="1"/>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c r="B43" i="1"/>
  <c r="D93" i="9"/>
  <c r="B41" i="1"/>
  <c r="B31" i="1"/>
  <c r="B24" i="1"/>
  <c r="B23" i="1"/>
  <c r="B22" i="1"/>
  <c r="P14" i="1"/>
  <c r="O14" i="1"/>
  <c r="AP13" i="1"/>
  <c r="AG13" i="1"/>
  <c r="AE13" i="1"/>
  <c r="A13" i="1"/>
  <c r="S13" i="1"/>
  <c r="AR13" i="1" s="1"/>
  <c r="P13" i="1"/>
  <c r="O13" i="1"/>
  <c r="D13" i="1"/>
  <c r="F13" i="1"/>
  <c r="G13" i="1" s="1"/>
  <c r="B13" i="1"/>
  <c r="E13" i="1"/>
  <c r="R13" i="1"/>
  <c r="AP12" i="1"/>
  <c r="AG12" i="1"/>
  <c r="AE12" i="1"/>
  <c r="A12" i="1"/>
  <c r="S12" i="1"/>
  <c r="AQ12" i="1" s="1"/>
  <c r="P12" i="1"/>
  <c r="O12" i="1"/>
  <c r="D12" i="1"/>
  <c r="F12" i="1"/>
  <c r="G12" i="1"/>
  <c r="B12" i="1"/>
  <c r="E12" i="1"/>
  <c r="R12" i="1"/>
  <c r="AP11" i="1"/>
  <c r="AG11" i="1"/>
  <c r="AE11" i="1"/>
  <c r="P11" i="1"/>
  <c r="O11" i="1"/>
  <c r="F11" i="1"/>
  <c r="G11" i="1" s="1"/>
  <c r="D11" i="1"/>
  <c r="A11" i="1"/>
  <c r="R11" i="1"/>
  <c r="AP10" i="1"/>
  <c r="AG10" i="1"/>
  <c r="AE10" i="1"/>
  <c r="A10" i="1"/>
  <c r="S10" i="1"/>
  <c r="AQ10" i="1" s="1"/>
  <c r="P10" i="1"/>
  <c r="O10" i="1"/>
  <c r="D10" i="1"/>
  <c r="F10" i="1"/>
  <c r="G10" i="1" s="1"/>
  <c r="B10" i="1"/>
  <c r="E10" i="1"/>
  <c r="R10" i="1"/>
  <c r="AP9" i="1"/>
  <c r="AG9" i="1"/>
  <c r="AE9" i="1"/>
  <c r="P9" i="1"/>
  <c r="O9" i="1"/>
  <c r="F9" i="1"/>
  <c r="G9" i="1" s="1"/>
  <c r="D9" i="1"/>
  <c r="A9" i="1"/>
  <c r="R9" i="1"/>
  <c r="AP8" i="1"/>
  <c r="AG8" i="1"/>
  <c r="AE8" i="1"/>
  <c r="Y8" i="1"/>
  <c r="A8" i="1"/>
  <c r="R8" i="1"/>
  <c r="P8" i="1"/>
  <c r="O8" i="1"/>
  <c r="K8" i="1"/>
  <c r="I3" i="83" s="1"/>
  <c r="D8" i="1"/>
  <c r="G8" i="1"/>
  <c r="B8" i="1"/>
  <c r="E8" i="1"/>
  <c r="S8" i="1"/>
  <c r="AQ8" i="1" s="1"/>
  <c r="AP7" i="1"/>
  <c r="AG7" i="1"/>
  <c r="AE7" i="1"/>
  <c r="A7" i="1"/>
  <c r="S7" i="1"/>
  <c r="AR7" i="1" s="1"/>
  <c r="P7" i="1"/>
  <c r="O7" i="1"/>
  <c r="D7" i="1"/>
  <c r="F7" i="1"/>
  <c r="G7" i="1"/>
  <c r="B7" i="1"/>
  <c r="E7" i="1"/>
  <c r="R7" i="1"/>
  <c r="AP6" i="1"/>
  <c r="AG6" i="1"/>
  <c r="Y6" i="1"/>
  <c r="Y7" i="1"/>
  <c r="P6" i="1"/>
  <c r="O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s="1"/>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s="1"/>
  <c r="AX16" i="3"/>
  <c r="AW16" i="3"/>
  <c r="AV16" i="3"/>
  <c r="AC16" i="3"/>
  <c r="H16" i="3"/>
  <c r="G16" i="3"/>
  <c r="AX15" i="3"/>
  <c r="AW15" i="3"/>
  <c r="AV15" i="3"/>
  <c r="AC15" i="3"/>
  <c r="H15" i="3"/>
  <c r="G15" i="3"/>
  <c r="AX14" i="3"/>
  <c r="AW14" i="3"/>
  <c r="AV14" i="3"/>
  <c r="AC14" i="3"/>
  <c r="AC13" i="3"/>
  <c r="AC5" i="3"/>
  <c r="H14" i="3"/>
  <c r="G14" i="3" s="1"/>
  <c r="BT5" i="3"/>
  <c r="BR5" i="3"/>
  <c r="G28" i="6"/>
  <c r="BP5" i="3"/>
  <c r="BN5" i="3"/>
  <c r="G29" i="6"/>
  <c r="BL5" i="3"/>
  <c r="BJ5" i="3"/>
  <c r="BH5" i="3"/>
  <c r="BF5" i="3"/>
  <c r="BD5" i="3"/>
  <c r="AX13" i="3"/>
  <c r="AW13" i="3"/>
  <c r="AV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s="1"/>
  <c r="C41" i="43" s="1"/>
  <c r="G15" i="4"/>
  <c r="F15" i="4"/>
  <c r="E15" i="4"/>
  <c r="F6" i="1" s="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B13" i="72" s="1"/>
  <c r="A15" i="51"/>
  <c r="B12" i="72" s="1"/>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1" i="72"/>
  <c r="B10" i="72"/>
  <c r="B8" i="72"/>
  <c r="B5" i="72"/>
  <c r="B3" i="72"/>
  <c r="T35" i="4"/>
  <c r="A19" i="51"/>
  <c r="B14" i="72"/>
  <c r="G30" i="6"/>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5" i="3"/>
  <c r="E5" i="6"/>
  <c r="D19" i="12" s="1"/>
  <c r="C19" i="12" s="1"/>
  <c r="G31" i="6"/>
  <c r="F62" i="67"/>
  <c r="C92" i="9"/>
  <c r="C94" i="9"/>
  <c r="I14" i="74"/>
  <c r="B8" i="74"/>
  <c r="D127" i="9"/>
  <c r="D13" i="52"/>
  <c r="K143" i="21"/>
  <c r="K141" i="21"/>
  <c r="AC33" i="79"/>
  <c r="W33" i="79"/>
  <c r="N56" i="9"/>
  <c r="K56" i="9"/>
  <c r="M56" i="9"/>
  <c r="J56" i="9"/>
  <c r="J57" i="9"/>
  <c r="J59" i="9"/>
  <c r="J61" i="9"/>
  <c r="I3" i="77"/>
  <c r="F19" i="6"/>
  <c r="E19" i="6" s="1"/>
  <c r="G87" i="84"/>
  <c r="H87" i="84"/>
  <c r="I87" i="84"/>
  <c r="J87" i="84"/>
  <c r="K87" i="84"/>
  <c r="L87" i="84"/>
  <c r="M87" i="84"/>
  <c r="H25" i="84"/>
  <c r="F25" i="84"/>
  <c r="J25" i="84"/>
  <c r="E81" i="79"/>
  <c r="F81" i="79"/>
  <c r="G81" i="79"/>
  <c r="J19" i="79"/>
  <c r="F19" i="79"/>
  <c r="H19" i="79"/>
  <c r="E113" i="79"/>
  <c r="F113" i="79"/>
  <c r="G113" i="79"/>
  <c r="H113" i="79"/>
  <c r="I113" i="79"/>
  <c r="J113" i="79"/>
  <c r="K113" i="79"/>
  <c r="L113" i="79"/>
  <c r="M113" i="79"/>
  <c r="J37" i="79"/>
  <c r="F37" i="79"/>
  <c r="H37" i="79"/>
  <c r="G19" i="43"/>
  <c r="C7" i="40"/>
  <c r="C63" i="40"/>
  <c r="D63" i="40" s="1"/>
  <c r="E63" i="40" s="1"/>
  <c r="E65" i="40" s="1"/>
  <c r="C7" i="39"/>
  <c r="C68" i="39" s="1"/>
  <c r="D68" i="39" s="1"/>
  <c r="D70" i="39" s="1"/>
  <c r="C7" i="35"/>
  <c r="C48" i="35"/>
  <c r="C7" i="37"/>
  <c r="C52" i="37" s="1"/>
  <c r="C7" i="34"/>
  <c r="C59" i="34"/>
  <c r="C7" i="79"/>
  <c r="C58" i="79" s="1"/>
  <c r="C7" i="21"/>
  <c r="C58" i="21"/>
  <c r="C7" i="85"/>
  <c r="G1" i="15"/>
  <c r="F3" i="35"/>
  <c r="G1" i="68"/>
  <c r="K1" i="12"/>
  <c r="K7" i="1"/>
  <c r="M7" i="1" s="1"/>
  <c r="T7" i="1"/>
  <c r="M8" i="1"/>
  <c r="B9" i="1"/>
  <c r="E9" i="1"/>
  <c r="S9" i="1"/>
  <c r="AQ9" i="1" s="1"/>
  <c r="K10" i="1"/>
  <c r="M10" i="1" s="1"/>
  <c r="B11" i="1"/>
  <c r="E11" i="1"/>
  <c r="S11" i="1"/>
  <c r="K12" i="1"/>
  <c r="M12" i="1" s="1"/>
  <c r="AR12" i="1"/>
  <c r="AQ13" i="1"/>
  <c r="E1" i="73"/>
  <c r="K1" i="73"/>
  <c r="G41" i="11"/>
  <c r="G22" i="11"/>
  <c r="G41" i="68"/>
  <c r="G22" i="68"/>
  <c r="F34" i="11"/>
  <c r="C36" i="11" s="1"/>
  <c r="F34" i="68"/>
  <c r="F11" i="12"/>
  <c r="C23" i="12" s="1"/>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s="1"/>
  <c r="K11" i="1"/>
  <c r="M11" i="1" s="1"/>
  <c r="K13" i="1"/>
  <c r="M13" i="1" s="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C43" i="79"/>
  <c r="W43" i="79"/>
  <c r="AB9" i="79"/>
  <c r="U9" i="79"/>
  <c r="J26" i="79"/>
  <c r="F26"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7" i="33"/>
  <c r="W17" i="33"/>
  <c r="S19" i="33"/>
  <c r="W19" i="33"/>
  <c r="S21" i="33"/>
  <c r="W21"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7" i="33"/>
  <c r="U19" i="33"/>
  <c r="U21" i="33"/>
  <c r="S28" i="33"/>
  <c r="W30" i="33"/>
  <c r="S32" i="33"/>
  <c r="S34" i="33"/>
  <c r="U35" i="33"/>
  <c r="W37" i="33"/>
  <c r="S39" i="33"/>
  <c r="U40" i="33"/>
  <c r="W41"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s="1"/>
  <c r="AA11" i="43"/>
  <c r="AA13" i="43" s="1"/>
  <c r="AC11" i="43"/>
  <c r="AC13" i="43" s="1"/>
  <c r="AE11" i="43"/>
  <c r="AE13" i="43" s="1"/>
  <c r="AG11" i="43"/>
  <c r="AG13" i="43" s="1"/>
  <c r="AI11" i="43"/>
  <c r="AI13" i="43" s="1"/>
  <c r="N12" i="43"/>
  <c r="C17" i="43"/>
  <c r="E17" i="43"/>
  <c r="H17" i="43"/>
  <c r="J17" i="43"/>
  <c r="L17" i="43"/>
  <c r="N17" i="43"/>
  <c r="E22" i="43"/>
  <c r="U32" i="33"/>
  <c r="W33"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N109" i="43" s="1"/>
  <c r="L101" i="43"/>
  <c r="J101" i="43"/>
  <c r="J109" i="43" s="1"/>
  <c r="H101" i="43"/>
  <c r="H104" i="43" s="1"/>
  <c r="F101" i="43"/>
  <c r="F105" i="43" s="1"/>
  <c r="D101" i="43"/>
  <c r="N104" i="46"/>
  <c r="B113" i="43"/>
  <c r="I116" i="43" s="1"/>
  <c r="J116" i="43" s="1"/>
  <c r="K116" i="43" s="1"/>
  <c r="L116" i="43" s="1"/>
  <c r="M116" i="43" s="1"/>
  <c r="M101" i="43"/>
  <c r="M107" i="43" s="1"/>
  <c r="K101" i="43"/>
  <c r="I101" i="43"/>
  <c r="I103" i="43" s="1"/>
  <c r="G101" i="43"/>
  <c r="G109" i="43" s="1"/>
  <c r="E101" i="43"/>
  <c r="E104" i="43" s="1"/>
  <c r="C101" i="43"/>
  <c r="C103" i="43" s="1"/>
  <c r="H22" i="43"/>
  <c r="F22" i="43"/>
  <c r="N3" i="43"/>
  <c r="F48" i="43"/>
  <c r="M4" i="43"/>
  <c r="S4" i="43"/>
  <c r="N5" i="43"/>
  <c r="C6" i="43"/>
  <c r="N6" i="43"/>
  <c r="M7" i="43"/>
  <c r="S7" i="43"/>
  <c r="Z7" i="43"/>
  <c r="M8" i="43"/>
  <c r="M9" i="43"/>
  <c r="N10" i="43"/>
  <c r="N11" i="43"/>
  <c r="Z11" i="43"/>
  <c r="Z13" i="43" s="1"/>
  <c r="AB11" i="43"/>
  <c r="AB13" i="43" s="1"/>
  <c r="AD11" i="43"/>
  <c r="AD13" i="43" s="1"/>
  <c r="AF11" i="43"/>
  <c r="AF13" i="43" s="1"/>
  <c r="AH11" i="43"/>
  <c r="AH13" i="43" s="1"/>
  <c r="AJ11" i="43"/>
  <c r="AJ13" i="43" s="1"/>
  <c r="D17" i="43"/>
  <c r="I17" i="43"/>
  <c r="K17" i="43"/>
  <c r="M17" i="43"/>
  <c r="O17" i="43"/>
  <c r="O28" i="43"/>
  <c r="M28" i="43"/>
  <c r="G20" i="43"/>
  <c r="G22" i="43"/>
  <c r="C23" i="43"/>
  <c r="N28" i="43"/>
  <c r="F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2"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I106" i="43"/>
  <c r="M106" i="43"/>
  <c r="M102" i="43"/>
  <c r="F107" i="43"/>
  <c r="F103" i="43"/>
  <c r="F102" i="43"/>
  <c r="J102" i="43"/>
  <c r="N106" i="43"/>
  <c r="N104" i="43"/>
  <c r="AA36" i="39"/>
  <c r="S36" i="39"/>
  <c r="AC45" i="33"/>
  <c r="W45" i="33"/>
  <c r="AC31" i="33"/>
  <c r="W31" i="33"/>
  <c r="AA35" i="35"/>
  <c r="S35" i="35"/>
  <c r="AA24" i="35"/>
  <c r="S24" i="35"/>
  <c r="AC46" i="34"/>
  <c r="W46" i="34"/>
  <c r="AC32" i="34"/>
  <c r="W32" i="34"/>
  <c r="AC30" i="34"/>
  <c r="W30" i="34"/>
  <c r="AC28" i="34"/>
  <c r="W28" i="34"/>
  <c r="AC9" i="34"/>
  <c r="W9" i="34"/>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s="1"/>
  <c r="F58" i="84" s="1"/>
  <c r="G58" i="84"/>
  <c r="H58" i="84" s="1"/>
  <c r="I7" i="84"/>
  <c r="G7" i="84"/>
  <c r="E7" i="84"/>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G7" i="85"/>
  <c r="C58" i="85"/>
  <c r="D58" i="85"/>
  <c r="E58" i="85"/>
  <c r="F58" i="85" s="1"/>
  <c r="G58" i="85" s="1"/>
  <c r="H58" i="85" s="1"/>
  <c r="I7" i="85"/>
  <c r="E7" i="85"/>
  <c r="D58" i="79"/>
  <c r="E58" i="79" s="1"/>
  <c r="F58" i="79" s="1"/>
  <c r="G58" i="79" s="1"/>
  <c r="H58" i="79" s="1"/>
  <c r="I58" i="79" s="1"/>
  <c r="J58" i="79" s="1"/>
  <c r="K58" i="79" s="1"/>
  <c r="L58" i="79" s="1"/>
  <c r="M58" i="79" s="1"/>
  <c r="N58" i="79" s="1"/>
  <c r="O58" i="79" s="1"/>
  <c r="AB37" i="79"/>
  <c r="U37" i="79"/>
  <c r="AC37" i="79"/>
  <c r="W37" i="79"/>
  <c r="AB19" i="79"/>
  <c r="U19" i="79"/>
  <c r="AC19" i="79"/>
  <c r="W19" i="79"/>
  <c r="AC25" i="84"/>
  <c r="W25" i="84"/>
  <c r="AB25" i="84"/>
  <c r="U25" i="84"/>
  <c r="BB5" i="3"/>
  <c r="E15" i="6" s="1"/>
  <c r="C8" i="77"/>
  <c r="D9" i="11"/>
  <c r="C9" i="11" s="1"/>
  <c r="I4" i="6"/>
  <c r="D82" i="71"/>
  <c r="C81" i="71"/>
  <c r="D81" i="71"/>
  <c r="D78" i="71"/>
  <c r="C77" i="71"/>
  <c r="D77" i="71"/>
  <c r="D74" i="71"/>
  <c r="C73" i="71"/>
  <c r="D73" i="71"/>
  <c r="D70" i="71"/>
  <c r="C69" i="71"/>
  <c r="D69" i="71"/>
  <c r="S19" i="71"/>
  <c r="B18" i="71"/>
  <c r="B17" i="71"/>
  <c r="B16" i="71"/>
  <c r="B15" i="71"/>
  <c r="V15" i="71"/>
  <c r="E14" i="71"/>
  <c r="E13" i="71"/>
  <c r="E12" i="71"/>
  <c r="E11" i="71"/>
  <c r="D5" i="43"/>
  <c r="C5" i="43"/>
  <c r="C105" i="43"/>
  <c r="C102" i="43"/>
  <c r="G103" i="43"/>
  <c r="K105" i="43"/>
  <c r="D106" i="43"/>
  <c r="D102" i="43"/>
  <c r="L105" i="43"/>
  <c r="AA30" i="40"/>
  <c r="S30" i="40"/>
  <c r="AA44" i="39"/>
  <c r="S44" i="39"/>
  <c r="AA31" i="39"/>
  <c r="S31" i="39"/>
  <c r="M109" i="43"/>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s="1"/>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AR11" i="1"/>
  <c r="D58" i="21"/>
  <c r="E58" i="21" s="1"/>
  <c r="F58" i="21" s="1"/>
  <c r="G58" i="21"/>
  <c r="H58" i="21"/>
  <c r="I58" i="21" s="1"/>
  <c r="J58" i="21" s="1"/>
  <c r="K58" i="21"/>
  <c r="L58" i="21" s="1"/>
  <c r="M58" i="21" s="1"/>
  <c r="N58" i="21" s="1"/>
  <c r="O58" i="21" s="1"/>
  <c r="D59" i="34"/>
  <c r="E59" i="34" s="1"/>
  <c r="F59" i="34" s="1"/>
  <c r="G59" i="34" s="1"/>
  <c r="H59" i="34" s="1"/>
  <c r="I59" i="34" s="1"/>
  <c r="J59" i="34" s="1"/>
  <c r="K59" i="34" s="1"/>
  <c r="L59" i="34" s="1"/>
  <c r="M59" i="34" s="1"/>
  <c r="N59" i="34" s="1"/>
  <c r="O59" i="34" s="1"/>
  <c r="C70" i="39"/>
  <c r="P24" i="43"/>
  <c r="B66" i="40"/>
  <c r="P23" i="43"/>
  <c r="B71" i="39" s="1"/>
  <c r="P22" i="43"/>
  <c r="P25" i="43"/>
  <c r="P21" i="43"/>
  <c r="O19" i="43"/>
  <c r="AA37" i="79"/>
  <c r="S37" i="79"/>
  <c r="AA19" i="79"/>
  <c r="S19" i="79"/>
  <c r="AA25" i="84"/>
  <c r="S25" i="84"/>
  <c r="D3" i="33"/>
  <c r="D3" i="79"/>
  <c r="D3" i="85"/>
  <c r="K14" i="1"/>
  <c r="M14" i="1" s="1"/>
  <c r="E30" i="6"/>
  <c r="V11" i="71"/>
  <c r="E10" i="71"/>
  <c r="E9" i="71"/>
  <c r="E8" i="71"/>
  <c r="E7" i="71"/>
  <c r="E6" i="71"/>
  <c r="E5" i="71"/>
  <c r="S15" i="71"/>
  <c r="B14" i="71"/>
  <c r="B13" i="71"/>
  <c r="B12" i="71"/>
  <c r="B11" i="71"/>
  <c r="C12" i="77"/>
  <c r="C9" i="77"/>
  <c r="C10" i="77"/>
  <c r="E8" i="6"/>
  <c r="E56" i="39" s="1"/>
  <c r="D22" i="71"/>
  <c r="C21" i="71"/>
  <c r="O65" i="71"/>
  <c r="D65" i="71"/>
  <c r="O64" i="71"/>
  <c r="C23" i="93"/>
  <c r="E68" i="39"/>
  <c r="E70" i="39" s="1"/>
  <c r="T31" i="71"/>
  <c r="D31" i="71"/>
  <c r="T35" i="71"/>
  <c r="D35" i="71"/>
  <c r="T39" i="71"/>
  <c r="D39" i="71"/>
  <c r="M19" i="43"/>
  <c r="T43" i="71"/>
  <c r="D43" i="71"/>
  <c r="T51" i="71"/>
  <c r="D51" i="71"/>
  <c r="T55" i="71"/>
  <c r="D55" i="71"/>
  <c r="T59" i="71"/>
  <c r="D59" i="71"/>
  <c r="T63" i="71"/>
  <c r="D63" i="71"/>
  <c r="D26" i="71"/>
  <c r="C25" i="71"/>
  <c r="D25" i="71"/>
  <c r="F63" i="40"/>
  <c r="F65" i="40" s="1"/>
  <c r="F68" i="39"/>
  <c r="C27" i="93"/>
  <c r="C7" i="93"/>
  <c r="C28" i="93"/>
  <c r="D21" i="71"/>
  <c r="C20" i="71"/>
  <c r="S11" i="71"/>
  <c r="B10" i="71"/>
  <c r="B9" i="71"/>
  <c r="B8" i="71"/>
  <c r="B7" i="71"/>
  <c r="B6" i="71"/>
  <c r="B5" i="71"/>
  <c r="D20" i="71"/>
  <c r="C19" i="71"/>
  <c r="C24" i="93"/>
  <c r="C30" i="93"/>
  <c r="C31" i="93"/>
  <c r="F70" i="39"/>
  <c r="G68" i="39"/>
  <c r="H68" i="39" s="1"/>
  <c r="J34" i="93"/>
  <c r="D37" i="93"/>
  <c r="J35" i="93"/>
  <c r="T19" i="71"/>
  <c r="D19" i="71"/>
  <c r="U19" i="71"/>
  <c r="C18" i="71"/>
  <c r="D18" i="71"/>
  <c r="C17" i="71"/>
  <c r="G36" i="93"/>
  <c r="J9" i="93"/>
  <c r="D38" i="93"/>
  <c r="E39" i="93" s="1"/>
  <c r="E40" i="93" s="1"/>
  <c r="J10" i="93"/>
  <c r="D17" i="71"/>
  <c r="C16" i="71"/>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G111" i="79"/>
  <c r="H111" i="79" s="1"/>
  <c r="I111" i="79" s="1"/>
  <c r="J111" i="79" s="1"/>
  <c r="K111" i="79" s="1"/>
  <c r="L111" i="79" s="1"/>
  <c r="M111" i="79" s="1"/>
  <c r="F36" i="79"/>
  <c r="AA36" i="79" s="1"/>
  <c r="F23" i="79"/>
  <c r="S23" i="79" s="1"/>
  <c r="H23" i="79"/>
  <c r="AB23" i="79" s="1"/>
  <c r="W29" i="33"/>
  <c r="S36" i="79"/>
  <c r="U29" i="33"/>
  <c r="E10" i="90"/>
  <c r="R32" i="31"/>
  <c r="S32" i="31" s="1"/>
  <c r="F26" i="67"/>
  <c r="F38" i="15"/>
  <c r="D2" i="84"/>
  <c r="M27" i="67"/>
  <c r="D9" i="68"/>
  <c r="M6" i="67"/>
  <c r="F9" i="15"/>
  <c r="F42" i="15"/>
  <c r="M8" i="15"/>
  <c r="M6" i="15"/>
  <c r="F9" i="67"/>
  <c r="B12" i="76"/>
  <c r="E11" i="76"/>
  <c r="E8" i="76"/>
  <c r="F20" i="31"/>
  <c r="D20" i="9"/>
  <c r="B13" i="76"/>
  <c r="AO10" i="1"/>
  <c r="M26" i="67"/>
  <c r="AO12" i="1"/>
  <c r="M9" i="15"/>
  <c r="M9" i="67"/>
  <c r="F8" i="67"/>
  <c r="M21" i="67"/>
  <c r="L48" i="67"/>
  <c r="AO7" i="1"/>
  <c r="F38" i="67"/>
  <c r="M28" i="15"/>
  <c r="D2" i="21"/>
  <c r="C20" i="9"/>
  <c r="M27" i="15"/>
  <c r="AO11" i="1"/>
  <c r="F6" i="67"/>
  <c r="F13" i="67"/>
  <c r="F7" i="67"/>
  <c r="F13" i="15"/>
  <c r="B7" i="76"/>
  <c r="F40" i="15"/>
  <c r="F16" i="67"/>
  <c r="M29" i="67"/>
  <c r="D2" i="35"/>
  <c r="E12" i="76"/>
  <c r="D10" i="68"/>
  <c r="F26" i="15"/>
  <c r="M23" i="67"/>
  <c r="E13" i="76"/>
  <c r="J15" i="67"/>
  <c r="F6" i="15"/>
  <c r="F27" i="68"/>
  <c r="F8" i="15"/>
  <c r="D2" i="79"/>
  <c r="M22" i="67"/>
  <c r="B9" i="76"/>
  <c r="E2" i="68"/>
  <c r="D2" i="37"/>
  <c r="AO8" i="1"/>
  <c r="F43" i="67"/>
  <c r="AO13" i="1"/>
  <c r="D2" i="34"/>
  <c r="L47" i="15"/>
  <c r="D19" i="9"/>
  <c r="M26" i="15"/>
  <c r="M24" i="15"/>
  <c r="E9" i="76"/>
  <c r="F35" i="67"/>
  <c r="C34" i="68"/>
  <c r="F36" i="67"/>
  <c r="C76" i="67"/>
  <c r="F37" i="67"/>
  <c r="M22" i="15"/>
  <c r="B8" i="76"/>
  <c r="M28" i="67"/>
  <c r="C36" i="68"/>
  <c r="C19" i="9"/>
  <c r="L48" i="15"/>
  <c r="F37" i="15"/>
  <c r="L47" i="67"/>
  <c r="F42" i="67"/>
  <c r="M24" i="67"/>
  <c r="B10" i="76"/>
  <c r="J15" i="15"/>
  <c r="F16" i="15"/>
  <c r="E7" i="76"/>
  <c r="F41" i="67"/>
  <c r="F36" i="15"/>
  <c r="C76" i="15"/>
  <c r="B11" i="76"/>
  <c r="D35" i="9"/>
  <c r="AO9" i="1"/>
  <c r="D2" i="85"/>
  <c r="M8" i="67"/>
  <c r="D2" i="33"/>
  <c r="D34" i="9"/>
  <c r="M23" i="15"/>
  <c r="E10" i="76"/>
  <c r="F40" i="67"/>
  <c r="S33" i="33" l="1"/>
  <c r="F23" i="33"/>
  <c r="H23" i="33"/>
  <c r="J23" i="33"/>
  <c r="F85" i="33"/>
  <c r="G85" i="33" s="1"/>
  <c r="W23" i="79"/>
  <c r="AC23" i="79"/>
  <c r="U23" i="79"/>
  <c r="AA23" i="79"/>
  <c r="F85" i="79"/>
  <c r="G85" i="79" s="1"/>
  <c r="S30" i="33"/>
  <c r="C39" i="93"/>
  <c r="C40" i="93" s="1"/>
  <c r="U30" i="33"/>
  <c r="J42" i="79"/>
  <c r="W42" i="79" s="1"/>
  <c r="F42" i="79"/>
  <c r="AA42" i="79" s="1"/>
  <c r="E123" i="79"/>
  <c r="F123" i="79" s="1"/>
  <c r="G123" i="79" s="1"/>
  <c r="H123" i="79" s="1"/>
  <c r="I123" i="79" s="1"/>
  <c r="J123" i="79" s="1"/>
  <c r="K123" i="79" s="1"/>
  <c r="L123" i="79" s="1"/>
  <c r="M123" i="79" s="1"/>
  <c r="H42" i="79"/>
  <c r="U42" i="79" s="1"/>
  <c r="S42" i="79"/>
  <c r="F36" i="33"/>
  <c r="H111" i="33"/>
  <c r="I111" i="33" s="1"/>
  <c r="J111" i="33" s="1"/>
  <c r="K111" i="33" s="1"/>
  <c r="L111" i="33" s="1"/>
  <c r="M111" i="33" s="1"/>
  <c r="H36" i="33"/>
  <c r="W36" i="79"/>
  <c r="AC36" i="79"/>
  <c r="J36" i="33"/>
  <c r="H36" i="79"/>
  <c r="AB26" i="33"/>
  <c r="U26" i="33"/>
  <c r="F26" i="33"/>
  <c r="AA26" i="33" s="1"/>
  <c r="W26" i="33"/>
  <c r="C19" i="43"/>
  <c r="C38" i="43" s="1"/>
  <c r="W28" i="33"/>
  <c r="H70" i="39"/>
  <c r="I68" i="39"/>
  <c r="I58" i="84"/>
  <c r="J58" i="84" s="1"/>
  <c r="K58" i="84" s="1"/>
  <c r="L58" i="84" s="1"/>
  <c r="M58" i="84" s="1"/>
  <c r="N58" i="84" s="1"/>
  <c r="O58" i="84" s="1"/>
  <c r="J7" i="85"/>
  <c r="G70" i="39"/>
  <c r="I58" i="85"/>
  <c r="J58" i="85" s="1"/>
  <c r="K58" i="85" s="1"/>
  <c r="L58" i="85" s="1"/>
  <c r="M58" i="85" s="1"/>
  <c r="N58" i="85" s="1"/>
  <c r="O58" i="85" s="1"/>
  <c r="H7" i="85"/>
  <c r="J7" i="84"/>
  <c r="F7" i="34"/>
  <c r="H7" i="21"/>
  <c r="C65" i="40"/>
  <c r="F7" i="79"/>
  <c r="D48" i="35"/>
  <c r="L1" i="73"/>
  <c r="J1" i="73"/>
  <c r="D52" i="37"/>
  <c r="E52" i="37" s="1"/>
  <c r="F52" i="37" s="1"/>
  <c r="G52" i="37" s="1"/>
  <c r="H52" i="37" s="1"/>
  <c r="I52" i="37" s="1"/>
  <c r="J52" i="37" s="1"/>
  <c r="K52" i="37" s="1"/>
  <c r="L52" i="37" s="1"/>
  <c r="M52" i="37" s="1"/>
  <c r="N52" i="37" s="1"/>
  <c r="O52" i="37" s="1"/>
  <c r="I20" i="43"/>
  <c r="C20" i="43" s="1"/>
  <c r="G6" i="1"/>
  <c r="G63" i="40"/>
  <c r="D65" i="40"/>
  <c r="H7" i="34"/>
  <c r="J7" i="79"/>
  <c r="H7" i="79"/>
  <c r="J7" i="34"/>
  <c r="C58" i="33"/>
  <c r="D58" i="33" s="1"/>
  <c r="E58" i="33" s="1"/>
  <c r="F58" i="33" s="1"/>
  <c r="G58" i="33" s="1"/>
  <c r="H58" i="33" s="1"/>
  <c r="I58" i="33" s="1"/>
  <c r="J58" i="33" s="1"/>
  <c r="K58" i="33" s="1"/>
  <c r="L58" i="33" s="1"/>
  <c r="M58" i="33" s="1"/>
  <c r="N58" i="33" s="1"/>
  <c r="O58" i="33" s="1"/>
  <c r="F7" i="21"/>
  <c r="J7" i="21"/>
  <c r="F7" i="33"/>
  <c r="I7" i="33"/>
  <c r="J7" i="33" s="1"/>
  <c r="G7" i="33"/>
  <c r="H7" i="33" s="1"/>
  <c r="N102" i="43"/>
  <c r="F104" i="43"/>
  <c r="M104" i="43"/>
  <c r="AR10" i="1"/>
  <c r="N107" i="43"/>
  <c r="D117" i="43"/>
  <c r="E117" i="43" s="1"/>
  <c r="F117" i="43" s="1"/>
  <c r="G117" i="43" s="1"/>
  <c r="H117" i="43" s="1"/>
  <c r="N103" i="43"/>
  <c r="F106" i="43"/>
  <c r="M105" i="43"/>
  <c r="T10" i="1"/>
  <c r="D22" i="43"/>
  <c r="C21" i="43" s="1"/>
  <c r="AR8" i="1"/>
  <c r="T12" i="1"/>
  <c r="AQ7" i="1"/>
  <c r="I117" i="43"/>
  <c r="J117" i="43" s="1"/>
  <c r="K117" i="43" s="1"/>
  <c r="L117" i="43" s="1"/>
  <c r="M117" i="43" s="1"/>
  <c r="G106" i="43"/>
  <c r="E12" i="6"/>
  <c r="H105" i="43"/>
  <c r="B115" i="43"/>
  <c r="C115" i="43" s="1"/>
  <c r="G107" i="43"/>
  <c r="J106" i="43"/>
  <c r="G5" i="3"/>
  <c r="B3" i="3" s="1"/>
  <c r="E43" i="3" s="1"/>
  <c r="H106" i="43"/>
  <c r="B117" i="43"/>
  <c r="C117" i="43" s="1"/>
  <c r="G102" i="43"/>
  <c r="E14" i="6"/>
  <c r="E59" i="40" s="1"/>
  <c r="H102" i="43"/>
  <c r="H107" i="43"/>
  <c r="B116" i="43"/>
  <c r="C116" i="43" s="1"/>
  <c r="D118" i="43"/>
  <c r="E118" i="43" s="1"/>
  <c r="F118" i="43" s="1"/>
  <c r="I118" i="43"/>
  <c r="J118" i="43" s="1"/>
  <c r="K118" i="43" s="1"/>
  <c r="L118" i="43" s="1"/>
  <c r="M118" i="43" s="1"/>
  <c r="G104" i="43"/>
  <c r="N105" i="43"/>
  <c r="J103" i="43"/>
  <c r="J107" i="43"/>
  <c r="M103" i="43"/>
  <c r="I107" i="43"/>
  <c r="P16" i="1"/>
  <c r="C11" i="12" s="1"/>
  <c r="C15" i="12" s="1"/>
  <c r="H103" i="43"/>
  <c r="D116" i="43"/>
  <c r="E116" i="43" s="1"/>
  <c r="F116" i="43" s="1"/>
  <c r="G116" i="43" s="1"/>
  <c r="H116" i="43" s="1"/>
  <c r="G105" i="43"/>
  <c r="J104" i="43"/>
  <c r="I102" i="43"/>
  <c r="H109" i="43"/>
  <c r="BA5" i="3"/>
  <c r="E27" i="6" s="1"/>
  <c r="K25" i="6" s="1"/>
  <c r="M25" i="6" s="1"/>
  <c r="I25" i="6" s="1"/>
  <c r="S25" i="6" s="1"/>
  <c r="J105" i="43"/>
  <c r="I104" i="43"/>
  <c r="E65" i="39"/>
  <c r="E60" i="40"/>
  <c r="K109" i="43"/>
  <c r="K104" i="43"/>
  <c r="K107" i="43"/>
  <c r="K103" i="43"/>
  <c r="K106" i="43"/>
  <c r="K102" i="43"/>
  <c r="D105" i="43"/>
  <c r="D104" i="43"/>
  <c r="D109" i="43"/>
  <c r="D107" i="43"/>
  <c r="D103" i="43"/>
  <c r="L104" i="43"/>
  <c r="L109" i="43"/>
  <c r="L107" i="43"/>
  <c r="L103" i="43"/>
  <c r="L106" i="43"/>
  <c r="L102" i="43"/>
  <c r="E107" i="43"/>
  <c r="E102" i="43"/>
  <c r="E106" i="43"/>
  <c r="E105" i="43"/>
  <c r="E109" i="43"/>
  <c r="E13" i="6"/>
  <c r="E10" i="6"/>
  <c r="E11" i="6"/>
  <c r="E61" i="39" s="1"/>
  <c r="T11" i="1"/>
  <c r="AQ11" i="1"/>
  <c r="C25" i="31"/>
  <c r="F27" i="6"/>
  <c r="F31" i="6" s="1"/>
  <c r="E51" i="40"/>
  <c r="C106" i="43"/>
  <c r="C107" i="43"/>
  <c r="O16" i="1"/>
  <c r="J22" i="43"/>
  <c r="T8" i="1"/>
  <c r="S5" i="43"/>
  <c r="S6" i="43"/>
  <c r="AZ5" i="3"/>
  <c r="E63" i="39"/>
  <c r="E58" i="40"/>
  <c r="C13" i="77"/>
  <c r="I105" i="43"/>
  <c r="I109" i="43"/>
  <c r="G118" i="43"/>
  <c r="H118" i="43" s="1"/>
  <c r="I115" i="43"/>
  <c r="J115" i="43" s="1"/>
  <c r="K115" i="43" s="1"/>
  <c r="L115" i="43" s="1"/>
  <c r="M115" i="43" s="1"/>
  <c r="B118" i="43"/>
  <c r="C118" i="43" s="1"/>
  <c r="D115" i="43"/>
  <c r="K6" i="1"/>
  <c r="D3" i="84"/>
  <c r="C109" i="43"/>
  <c r="C104" i="43"/>
  <c r="AB33" i="33"/>
  <c r="U33" i="33"/>
  <c r="C8" i="83"/>
  <c r="C11" i="83"/>
  <c r="E103" i="43"/>
  <c r="U25" i="31"/>
  <c r="H5" i="3"/>
  <c r="E91" i="79"/>
  <c r="F91" i="79" s="1"/>
  <c r="G91" i="79" s="1"/>
  <c r="H91" i="79" s="1"/>
  <c r="I91" i="79" s="1"/>
  <c r="J91" i="79" s="1"/>
  <c r="K91" i="79" s="1"/>
  <c r="L91" i="79" s="1"/>
  <c r="M91" i="79" s="1"/>
  <c r="J27" i="79"/>
  <c r="W27" i="79" s="1"/>
  <c r="F27" i="79"/>
  <c r="H27" i="79"/>
  <c r="F15" i="33"/>
  <c r="H15" i="33"/>
  <c r="J15" i="33"/>
  <c r="F77" i="33"/>
  <c r="G77" i="33" s="1"/>
  <c r="F91" i="33"/>
  <c r="G91" i="33" s="1"/>
  <c r="H91" i="33" s="1"/>
  <c r="I91" i="33" s="1"/>
  <c r="J91" i="33" s="1"/>
  <c r="K91" i="33" s="1"/>
  <c r="L91" i="33" s="1"/>
  <c r="M91" i="33" s="1"/>
  <c r="F27" i="33"/>
  <c r="H27" i="33"/>
  <c r="J27" i="33"/>
  <c r="F123" i="33"/>
  <c r="H42" i="33" s="1"/>
  <c r="J25" i="79"/>
  <c r="F25" i="79"/>
  <c r="F87" i="79"/>
  <c r="G87" i="79" s="1"/>
  <c r="H87" i="79" s="1"/>
  <c r="I87" i="79" s="1"/>
  <c r="J87" i="79" s="1"/>
  <c r="K87" i="79" s="1"/>
  <c r="L87" i="79" s="1"/>
  <c r="M87" i="79" s="1"/>
  <c r="H25" i="79"/>
  <c r="F87" i="33"/>
  <c r="H9" i="90"/>
  <c r="G9" i="90"/>
  <c r="U28" i="33"/>
  <c r="J15" i="79"/>
  <c r="H15" i="79"/>
  <c r="E77" i="79"/>
  <c r="F77" i="79" s="1"/>
  <c r="G77" i="79" s="1"/>
  <c r="F15" i="79"/>
  <c r="E11" i="90"/>
  <c r="G10" i="90"/>
  <c r="H10" i="90"/>
  <c r="C27" i="15"/>
  <c r="D19" i="68"/>
  <c r="D37" i="68" s="1"/>
  <c r="C37" i="68" s="1"/>
  <c r="C9" i="68"/>
  <c r="B13" i="70"/>
  <c r="J20" i="67"/>
  <c r="L58" i="67"/>
  <c r="M59" i="67"/>
  <c r="N59" i="67"/>
  <c r="L59" i="67"/>
  <c r="C10" i="68"/>
  <c r="C8" i="68" s="1"/>
  <c r="C5" i="68" s="1"/>
  <c r="C27" i="67"/>
  <c r="B10" i="70"/>
  <c r="Q71" i="15"/>
  <c r="F63" i="67"/>
  <c r="C62" i="67" s="1"/>
  <c r="C34" i="67"/>
  <c r="F71" i="67"/>
  <c r="C38" i="68"/>
  <c r="C33" i="68"/>
  <c r="C35" i="68"/>
  <c r="F70" i="67"/>
  <c r="B11" i="70"/>
  <c r="Q71" i="67"/>
  <c r="M59" i="15"/>
  <c r="L58" i="15"/>
  <c r="L59" i="15"/>
  <c r="N59" i="15"/>
  <c r="F64" i="15"/>
  <c r="F66" i="67"/>
  <c r="D103" i="9"/>
  <c r="F66" i="15"/>
  <c r="F68" i="15"/>
  <c r="F65" i="15"/>
  <c r="D102" i="9"/>
  <c r="L60" i="15"/>
  <c r="L56" i="15"/>
  <c r="J60" i="15"/>
  <c r="Q48" i="15" s="1"/>
  <c r="I54" i="15"/>
  <c r="L57" i="15"/>
  <c r="J59" i="15"/>
  <c r="J57" i="15"/>
  <c r="J55" i="15" s="1"/>
  <c r="J58" i="15" s="1"/>
  <c r="Q50" i="15" s="1"/>
  <c r="J53" i="15"/>
  <c r="B7" i="70"/>
  <c r="F51" i="15"/>
  <c r="F65" i="67"/>
  <c r="C29" i="68"/>
  <c r="D27" i="68" s="1"/>
  <c r="C47" i="68"/>
  <c r="D45" i="68" s="1"/>
  <c r="F45" i="68"/>
  <c r="F69" i="67"/>
  <c r="B9" i="70"/>
  <c r="L56" i="67"/>
  <c r="J53" i="67"/>
  <c r="I54" i="67"/>
  <c r="J57" i="67"/>
  <c r="J55" i="67" s="1"/>
  <c r="J58" i="67" s="1"/>
  <c r="Q50" i="67" s="1"/>
  <c r="C6" i="67"/>
  <c r="C102" i="9"/>
  <c r="D22" i="9"/>
  <c r="G19" i="9"/>
  <c r="B12" i="70"/>
  <c r="F68" i="67"/>
  <c r="F50" i="67"/>
  <c r="M7" i="67"/>
  <c r="J6" i="67" s="1"/>
  <c r="F51" i="67"/>
  <c r="F64" i="67"/>
  <c r="G20" i="9"/>
  <c r="C32" i="9" s="1"/>
  <c r="C103" i="9"/>
  <c r="B8" i="70"/>
  <c r="F5" i="73"/>
  <c r="M29" i="15"/>
  <c r="C14" i="67"/>
  <c r="D4" i="73"/>
  <c r="F7" i="73"/>
  <c r="D6" i="73"/>
  <c r="F4" i="73"/>
  <c r="D5" i="73"/>
  <c r="F43" i="15"/>
  <c r="C17" i="67"/>
  <c r="F7" i="15"/>
  <c r="D7" i="73"/>
  <c r="D3" i="73"/>
  <c r="C16" i="67"/>
  <c r="F6" i="73"/>
  <c r="F3" i="73"/>
  <c r="AC27" i="79" l="1"/>
  <c r="T3" i="43"/>
  <c r="V3" i="43" s="1"/>
  <c r="AC23" i="33"/>
  <c r="W23" i="33"/>
  <c r="AB23" i="33"/>
  <c r="U23" i="33"/>
  <c r="AA23" i="33"/>
  <c r="S23" i="33"/>
  <c r="J42" i="33"/>
  <c r="W42" i="33" s="1"/>
  <c r="AB42" i="79"/>
  <c r="AC42" i="79"/>
  <c r="AB36" i="79"/>
  <c r="U36" i="79"/>
  <c r="U36" i="33"/>
  <c r="AB36" i="33"/>
  <c r="W36" i="33"/>
  <c r="AC36" i="33"/>
  <c r="S36" i="33"/>
  <c r="AA36" i="33"/>
  <c r="S26" i="33"/>
  <c r="C35" i="43"/>
  <c r="T15" i="43"/>
  <c r="V15" i="43" s="1"/>
  <c r="T2" i="43"/>
  <c r="V2" i="43" s="1"/>
  <c r="C34" i="43"/>
  <c r="E34" i="43" s="1"/>
  <c r="T4" i="43"/>
  <c r="V4" i="43" s="1"/>
  <c r="T9" i="43"/>
  <c r="V9" i="43" s="1"/>
  <c r="C39" i="43"/>
  <c r="G39" i="43" s="1"/>
  <c r="I39" i="43" s="1"/>
  <c r="C29" i="43"/>
  <c r="E29" i="43" s="1"/>
  <c r="T6" i="43"/>
  <c r="V6" i="43" s="1"/>
  <c r="C36" i="43"/>
  <c r="T11" i="43"/>
  <c r="V11" i="43" s="1"/>
  <c r="I1" i="73"/>
  <c r="B39" i="1" s="1"/>
  <c r="M11" i="15" s="1"/>
  <c r="AC7" i="34"/>
  <c r="V49" i="34" s="1"/>
  <c r="I49" i="34" s="1"/>
  <c r="W7" i="34"/>
  <c r="AA7" i="79"/>
  <c r="R48" i="79" s="1"/>
  <c r="S7" i="79"/>
  <c r="W7" i="21"/>
  <c r="AC7" i="21"/>
  <c r="V48" i="21" s="1"/>
  <c r="I48" i="21" s="1"/>
  <c r="H7" i="84"/>
  <c r="U7" i="34"/>
  <c r="AB7" i="34"/>
  <c r="T49" i="34" s="1"/>
  <c r="G49" i="34" s="1"/>
  <c r="T14" i="43"/>
  <c r="V14" i="43" s="1"/>
  <c r="T10" i="43"/>
  <c r="V10" i="43" s="1"/>
  <c r="T8" i="43"/>
  <c r="V8" i="43" s="1"/>
  <c r="C33" i="43"/>
  <c r="T16" i="43"/>
  <c r="V16" i="43" s="1"/>
  <c r="T12" i="43"/>
  <c r="V12" i="43" s="1"/>
  <c r="C37" i="43"/>
  <c r="U7" i="85"/>
  <c r="AB7" i="85"/>
  <c r="T48" i="85" s="1"/>
  <c r="G48" i="85" s="1"/>
  <c r="J68" i="39"/>
  <c r="I70" i="39"/>
  <c r="AC7" i="79"/>
  <c r="V48" i="79" s="1"/>
  <c r="I48" i="79" s="1"/>
  <c r="W7" i="79"/>
  <c r="AC7" i="84"/>
  <c r="V48" i="84" s="1"/>
  <c r="I48" i="84" s="1"/>
  <c r="W7" i="84"/>
  <c r="AB7" i="33"/>
  <c r="U7" i="33"/>
  <c r="S7" i="21"/>
  <c r="AA7" i="21"/>
  <c r="R48" i="21" s="1"/>
  <c r="AB7" i="79"/>
  <c r="T48" i="79" s="1"/>
  <c r="G48" i="79" s="1"/>
  <c r="U7" i="79"/>
  <c r="F7" i="37"/>
  <c r="E48" i="35"/>
  <c r="U7" i="21"/>
  <c r="AB7" i="21"/>
  <c r="T48" i="21" s="1"/>
  <c r="G48" i="21" s="1"/>
  <c r="S7" i="33"/>
  <c r="AA7" i="33"/>
  <c r="AC7" i="85"/>
  <c r="V48" i="85" s="1"/>
  <c r="I48" i="85" s="1"/>
  <c r="W7" i="85"/>
  <c r="T13" i="43"/>
  <c r="V13" i="43" s="1"/>
  <c r="T7" i="43"/>
  <c r="V7" i="43" s="1"/>
  <c r="T5" i="43"/>
  <c r="V5" i="43" s="1"/>
  <c r="AC7" i="33"/>
  <c r="W7" i="33"/>
  <c r="H7" i="37"/>
  <c r="H63" i="40"/>
  <c r="G65" i="40"/>
  <c r="J7" i="37"/>
  <c r="F7" i="85"/>
  <c r="AA7" i="34"/>
  <c r="R49" i="34" s="1"/>
  <c r="S7" i="34"/>
  <c r="F7" i="84"/>
  <c r="C12" i="12"/>
  <c r="E64" i="39"/>
  <c r="E475" i="3"/>
  <c r="E411" i="3"/>
  <c r="E347" i="3"/>
  <c r="E283" i="3"/>
  <c r="E219" i="3"/>
  <c r="E155" i="3"/>
  <c r="E50" i="3"/>
  <c r="E130" i="3"/>
  <c r="W6" i="3"/>
  <c r="E278" i="3"/>
  <c r="E140" i="3"/>
  <c r="E88" i="3"/>
  <c r="E529" i="3"/>
  <c r="E356" i="3"/>
  <c r="E185" i="3"/>
  <c r="E515" i="3"/>
  <c r="E295" i="3"/>
  <c r="E26" i="3"/>
  <c r="E98" i="3"/>
  <c r="E523" i="3"/>
  <c r="E311" i="3"/>
  <c r="E42" i="3"/>
  <c r="E92" i="3"/>
  <c r="E335" i="3"/>
  <c r="E62" i="3"/>
  <c r="AK6" i="3"/>
  <c r="E540" i="3"/>
  <c r="E412" i="3"/>
  <c r="E252" i="3"/>
  <c r="E511" i="3"/>
  <c r="E179" i="3"/>
  <c r="E100" i="3"/>
  <c r="E329" i="3"/>
  <c r="E146" i="3"/>
  <c r="E393" i="3"/>
  <c r="E90" i="3"/>
  <c r="E450" i="3"/>
  <c r="E208" i="3"/>
  <c r="E149" i="3"/>
  <c r="E282" i="3"/>
  <c r="E297" i="3"/>
  <c r="E456" i="3"/>
  <c r="E165" i="3"/>
  <c r="E302" i="3"/>
  <c r="E345" i="3"/>
  <c r="E469" i="3"/>
  <c r="E181" i="3"/>
  <c r="E322" i="3"/>
  <c r="E385" i="3"/>
  <c r="K19" i="6"/>
  <c r="E31" i="6"/>
  <c r="K26" i="6"/>
  <c r="M26" i="6" s="1"/>
  <c r="I26" i="6" s="1"/>
  <c r="S26" i="6" s="1"/>
  <c r="E459" i="3"/>
  <c r="E395" i="3"/>
  <c r="E331" i="3"/>
  <c r="E267" i="3"/>
  <c r="E203" i="3"/>
  <c r="E128" i="3"/>
  <c r="E34" i="3"/>
  <c r="E79" i="3"/>
  <c r="AG6" i="3"/>
  <c r="E262" i="3"/>
  <c r="E72" i="3"/>
  <c r="E164" i="3"/>
  <c r="E271" i="3"/>
  <c r="E114" i="3"/>
  <c r="E279" i="3"/>
  <c r="AR6" i="3"/>
  <c r="E303" i="3"/>
  <c r="E96" i="3"/>
  <c r="E396" i="3"/>
  <c r="E495" i="3"/>
  <c r="E112" i="3"/>
  <c r="E144" i="3"/>
  <c r="E158" i="3"/>
  <c r="E224" i="3"/>
  <c r="E124" i="3"/>
  <c r="E376" i="3"/>
  <c r="E162" i="3"/>
  <c r="E389" i="3"/>
  <c r="E186" i="3"/>
  <c r="E62" i="39"/>
  <c r="E57" i="40"/>
  <c r="E443" i="3"/>
  <c r="E379" i="3"/>
  <c r="E315" i="3"/>
  <c r="E251" i="3"/>
  <c r="E187" i="3"/>
  <c r="E81" i="3"/>
  <c r="E18" i="3"/>
  <c r="E32" i="3"/>
  <c r="E102" i="3"/>
  <c r="E342" i="3"/>
  <c r="E214" i="3"/>
  <c r="E38" i="3"/>
  <c r="E20" i="3"/>
  <c r="E441" i="3"/>
  <c r="E273" i="3"/>
  <c r="E99" i="3"/>
  <c r="E407" i="3"/>
  <c r="E183" i="3"/>
  <c r="E24" i="3"/>
  <c r="E111" i="3"/>
  <c r="E423" i="3"/>
  <c r="E195" i="3"/>
  <c r="E40" i="3"/>
  <c r="E447" i="3"/>
  <c r="E215" i="3"/>
  <c r="E59" i="3"/>
  <c r="AB6" i="3"/>
  <c r="E476" i="3"/>
  <c r="E332" i="3"/>
  <c r="E139" i="3"/>
  <c r="E351" i="3"/>
  <c r="E76" i="3"/>
  <c r="E571" i="3"/>
  <c r="E561" i="3"/>
  <c r="E169" i="3"/>
  <c r="E31" i="3"/>
  <c r="E306" i="3"/>
  <c r="E578" i="3"/>
  <c r="E317" i="3"/>
  <c r="E474" i="3"/>
  <c r="AP6" i="3"/>
  <c r="E584" i="3"/>
  <c r="E328" i="3"/>
  <c r="E490" i="3"/>
  <c r="E30" i="3"/>
  <c r="E104" i="3"/>
  <c r="E341" i="3"/>
  <c r="E506" i="3"/>
  <c r="E49" i="3"/>
  <c r="E551" i="3"/>
  <c r="E321" i="3"/>
  <c r="E545" i="3"/>
  <c r="E14" i="3"/>
  <c r="E174" i="3"/>
  <c r="E290" i="3"/>
  <c r="E394" i="3"/>
  <c r="E478" i="3"/>
  <c r="E566" i="3"/>
  <c r="E153" i="3"/>
  <c r="E237" i="3"/>
  <c r="E320" i="3"/>
  <c r="E381" i="3"/>
  <c r="E413" i="3"/>
  <c r="E445" i="3"/>
  <c r="E477" i="3"/>
  <c r="E509" i="3"/>
  <c r="E541" i="3"/>
  <c r="E573" i="3"/>
  <c r="E19" i="3"/>
  <c r="E135" i="3"/>
  <c r="E372" i="3"/>
  <c r="X6" i="3"/>
  <c r="E41" i="3"/>
  <c r="E206" i="3"/>
  <c r="E318" i="3"/>
  <c r="E414" i="3"/>
  <c r="E502" i="3"/>
  <c r="E586" i="3"/>
  <c r="E173" i="3"/>
  <c r="E261" i="3"/>
  <c r="E336" i="3"/>
  <c r="E384" i="3"/>
  <c r="E416" i="3"/>
  <c r="E448" i="3"/>
  <c r="E480" i="3"/>
  <c r="E512" i="3"/>
  <c r="E544" i="3"/>
  <c r="E576" i="3"/>
  <c r="E175" i="3"/>
  <c r="E201" i="3"/>
  <c r="E433" i="3"/>
  <c r="E60" i="3"/>
  <c r="E74" i="3"/>
  <c r="E234" i="3"/>
  <c r="E346" i="3"/>
  <c r="E438" i="3"/>
  <c r="E522" i="3"/>
  <c r="E109" i="3"/>
  <c r="E197" i="3"/>
  <c r="E280" i="3"/>
  <c r="E352" i="3"/>
  <c r="E397" i="3"/>
  <c r="E429" i="3"/>
  <c r="E461" i="3"/>
  <c r="E493" i="3"/>
  <c r="E525" i="3"/>
  <c r="E557" i="3"/>
  <c r="I6" i="3"/>
  <c r="E403" i="3"/>
  <c r="E260" i="3"/>
  <c r="E489" i="3"/>
  <c r="E134" i="3"/>
  <c r="E132" i="3"/>
  <c r="E258" i="3"/>
  <c r="E374" i="3"/>
  <c r="E458" i="3"/>
  <c r="E542" i="3"/>
  <c r="E133" i="3"/>
  <c r="E216" i="3"/>
  <c r="E301" i="3"/>
  <c r="E368" i="3"/>
  <c r="E400" i="3"/>
  <c r="E432" i="3"/>
  <c r="E464" i="3"/>
  <c r="E496" i="3"/>
  <c r="E528" i="3"/>
  <c r="E560" i="3"/>
  <c r="E207" i="3"/>
  <c r="E212" i="3"/>
  <c r="E436" i="3"/>
  <c r="E64" i="3"/>
  <c r="E77" i="3"/>
  <c r="E238" i="3"/>
  <c r="E354" i="3"/>
  <c r="E442" i="3"/>
  <c r="E526" i="3"/>
  <c r="E117" i="3"/>
  <c r="E200" i="3"/>
  <c r="E285" i="3"/>
  <c r="E357" i="3"/>
  <c r="E421" i="3"/>
  <c r="E485" i="3"/>
  <c r="E549" i="3"/>
  <c r="E21" i="3"/>
  <c r="E177" i="3"/>
  <c r="E404" i="3"/>
  <c r="E36" i="3"/>
  <c r="E58" i="3"/>
  <c r="E218" i="3"/>
  <c r="E334" i="3"/>
  <c r="E426" i="3"/>
  <c r="E510" i="3"/>
  <c r="E101" i="3"/>
  <c r="E184" i="3"/>
  <c r="E269" i="3"/>
  <c r="E344" i="3"/>
  <c r="E408" i="3"/>
  <c r="E472" i="3"/>
  <c r="E536" i="3"/>
  <c r="AQ6" i="3"/>
  <c r="E103" i="3"/>
  <c r="E353" i="3"/>
  <c r="E580" i="3"/>
  <c r="E33" i="3"/>
  <c r="E194" i="3"/>
  <c r="E314" i="3"/>
  <c r="E410" i="3"/>
  <c r="E494" i="3"/>
  <c r="E582" i="3"/>
  <c r="E168" i="3"/>
  <c r="E253" i="3"/>
  <c r="E333" i="3"/>
  <c r="E256" i="3"/>
  <c r="E192" i="3"/>
  <c r="E129" i="3"/>
  <c r="E562" i="3"/>
  <c r="E498" i="3"/>
  <c r="E434" i="3"/>
  <c r="E370" i="3"/>
  <c r="E286" i="3"/>
  <c r="E202" i="3"/>
  <c r="E66" i="3"/>
  <c r="E126" i="3"/>
  <c r="T6" i="3"/>
  <c r="E481" i="3"/>
  <c r="E369" i="3"/>
  <c r="E257" i="3"/>
  <c r="E127" i="3"/>
  <c r="E375" i="3"/>
  <c r="M6" i="3"/>
  <c r="E47" i="3"/>
  <c r="E532" i="3"/>
  <c r="E417" i="3"/>
  <c r="E305" i="3"/>
  <c r="E193" i="3"/>
  <c r="E531" i="3"/>
  <c r="E78" i="3"/>
  <c r="AS6" i="3"/>
  <c r="Z6" i="3"/>
  <c r="E138" i="3"/>
  <c r="E73" i="3"/>
  <c r="E199" i="3"/>
  <c r="E287" i="3"/>
  <c r="E371" i="3"/>
  <c r="E455" i="3"/>
  <c r="E527" i="3"/>
  <c r="E91" i="3"/>
  <c r="E156" i="3"/>
  <c r="E431" i="3"/>
  <c r="E265" i="3"/>
  <c r="E497" i="3"/>
  <c r="E150" i="3"/>
  <c r="E148" i="3"/>
  <c r="E270" i="3"/>
  <c r="E378" i="3"/>
  <c r="E462" i="3"/>
  <c r="E550" i="3"/>
  <c r="E137" i="3"/>
  <c r="E221" i="3"/>
  <c r="E309" i="3"/>
  <c r="E373" i="3"/>
  <c r="E437" i="3"/>
  <c r="E501" i="3"/>
  <c r="E565" i="3"/>
  <c r="E291" i="3"/>
  <c r="E233" i="3"/>
  <c r="E457" i="3"/>
  <c r="E80" i="3"/>
  <c r="E82" i="3"/>
  <c r="E250" i="3"/>
  <c r="E362" i="3"/>
  <c r="E446" i="3"/>
  <c r="E534" i="3"/>
  <c r="E121" i="3"/>
  <c r="E205" i="3"/>
  <c r="E293" i="3"/>
  <c r="E360" i="3"/>
  <c r="E424" i="3"/>
  <c r="E488" i="3"/>
  <c r="E552" i="3"/>
  <c r="E45" i="3"/>
  <c r="E180" i="3"/>
  <c r="E409" i="3"/>
  <c r="E44" i="3"/>
  <c r="E61" i="3"/>
  <c r="E226" i="3"/>
  <c r="E338" i="3"/>
  <c r="E430" i="3"/>
  <c r="E518" i="3"/>
  <c r="E105" i="3"/>
  <c r="E189" i="3"/>
  <c r="E277" i="3"/>
  <c r="E349" i="3"/>
  <c r="E304" i="3"/>
  <c r="E240" i="3"/>
  <c r="E176" i="3"/>
  <c r="E113" i="3"/>
  <c r="E546" i="3"/>
  <c r="E482" i="3"/>
  <c r="E418" i="3"/>
  <c r="E350" i="3"/>
  <c r="E266" i="3"/>
  <c r="E178" i="3"/>
  <c r="E46" i="3"/>
  <c r="E75" i="3"/>
  <c r="E564" i="3"/>
  <c r="E452" i="3"/>
  <c r="E340" i="3"/>
  <c r="E225" i="3"/>
  <c r="E583" i="3"/>
  <c r="E259" i="3"/>
  <c r="E116" i="3"/>
  <c r="E23" i="3"/>
  <c r="E500" i="3"/>
  <c r="E388" i="3"/>
  <c r="E276" i="3"/>
  <c r="E161" i="3"/>
  <c r="E463" i="3"/>
  <c r="E71" i="3"/>
  <c r="AI6" i="3"/>
  <c r="E35" i="3"/>
  <c r="AN6" i="3"/>
  <c r="E120" i="3"/>
  <c r="E223" i="3"/>
  <c r="E307" i="3"/>
  <c r="E391" i="3"/>
  <c r="E479" i="3"/>
  <c r="E543" i="3"/>
  <c r="E107" i="3"/>
  <c r="E172" i="3"/>
  <c r="E236" i="3"/>
  <c r="E300" i="3"/>
  <c r="E364" i="3"/>
  <c r="E147" i="3"/>
  <c r="E15" i="3"/>
  <c r="E210" i="3"/>
  <c r="E422" i="3"/>
  <c r="E93" i="3"/>
  <c r="E264" i="3"/>
  <c r="E405" i="3"/>
  <c r="E533" i="3"/>
  <c r="E95" i="3"/>
  <c r="E577" i="3"/>
  <c r="E190" i="3"/>
  <c r="E406" i="3"/>
  <c r="E574" i="3"/>
  <c r="E248" i="3"/>
  <c r="E392" i="3"/>
  <c r="E520" i="3"/>
  <c r="E519" i="3"/>
  <c r="E521" i="3"/>
  <c r="E170" i="3"/>
  <c r="E390" i="3"/>
  <c r="E558" i="3"/>
  <c r="E232" i="3"/>
  <c r="E288" i="3"/>
  <c r="E160" i="3"/>
  <c r="E530" i="3"/>
  <c r="E402" i="3"/>
  <c r="E242" i="3"/>
  <c r="E25" i="3"/>
  <c r="E537" i="3"/>
  <c r="E308" i="3"/>
  <c r="E539" i="3"/>
  <c r="E118" i="3"/>
  <c r="E473" i="3"/>
  <c r="E244" i="3"/>
  <c r="E343" i="3"/>
  <c r="U6" i="3"/>
  <c r="E29" i="3"/>
  <c r="E243" i="3"/>
  <c r="E415" i="3"/>
  <c r="E559" i="3"/>
  <c r="E188" i="3"/>
  <c r="E268" i="3"/>
  <c r="E348" i="3"/>
  <c r="E428" i="3"/>
  <c r="E492" i="3"/>
  <c r="E556" i="3"/>
  <c r="E28" i="3"/>
  <c r="S6" i="3"/>
  <c r="E87" i="3"/>
  <c r="E89" i="3"/>
  <c r="E247" i="3"/>
  <c r="E359" i="3"/>
  <c r="E471" i="3"/>
  <c r="AE6" i="3"/>
  <c r="E68" i="3"/>
  <c r="E70" i="3"/>
  <c r="E227" i="3"/>
  <c r="E339" i="3"/>
  <c r="E451" i="3"/>
  <c r="E547" i="3"/>
  <c r="E131" i="3"/>
  <c r="AM6" i="3"/>
  <c r="E51" i="3"/>
  <c r="E57" i="3"/>
  <c r="E211" i="3"/>
  <c r="E323" i="3"/>
  <c r="E439" i="3"/>
  <c r="E535" i="3"/>
  <c r="E119" i="3"/>
  <c r="E209" i="3"/>
  <c r="E292" i="3"/>
  <c r="E377" i="3"/>
  <c r="E465" i="3"/>
  <c r="E548" i="3"/>
  <c r="E39" i="3"/>
  <c r="E142" i="3"/>
  <c r="E53" i="3"/>
  <c r="E166" i="3"/>
  <c r="E230" i="3"/>
  <c r="E294" i="3"/>
  <c r="E358" i="3"/>
  <c r="E94" i="3"/>
  <c r="O6" i="3"/>
  <c r="E48" i="3"/>
  <c r="AA6" i="3"/>
  <c r="E324" i="3"/>
  <c r="E17" i="3"/>
  <c r="E298" i="3"/>
  <c r="E486" i="3"/>
  <c r="E157" i="3"/>
  <c r="E325" i="3"/>
  <c r="E453" i="3"/>
  <c r="E581" i="3"/>
  <c r="E289" i="3"/>
  <c r="AD6" i="3"/>
  <c r="E274" i="3"/>
  <c r="E470" i="3"/>
  <c r="E141" i="3"/>
  <c r="E312" i="3"/>
  <c r="E440" i="3"/>
  <c r="E568" i="3"/>
  <c r="E241" i="3"/>
  <c r="E83" i="3"/>
  <c r="E254" i="3"/>
  <c r="E454" i="3"/>
  <c r="E125" i="3"/>
  <c r="E296" i="3"/>
  <c r="E272" i="3"/>
  <c r="E145" i="3"/>
  <c r="E514" i="3"/>
  <c r="E386" i="3"/>
  <c r="E222" i="3"/>
  <c r="AH6" i="3"/>
  <c r="E513" i="3"/>
  <c r="E281" i="3"/>
  <c r="E487" i="3"/>
  <c r="E67" i="3"/>
  <c r="E449" i="3"/>
  <c r="E217" i="3"/>
  <c r="E231" i="3"/>
  <c r="K6" i="3"/>
  <c r="E54" i="3"/>
  <c r="E263" i="3"/>
  <c r="E435" i="3"/>
  <c r="E575" i="3"/>
  <c r="E204" i="3"/>
  <c r="E284" i="3"/>
  <c r="E380" i="3"/>
  <c r="E444" i="3"/>
  <c r="E508" i="3"/>
  <c r="E572" i="3"/>
  <c r="E108" i="3"/>
  <c r="R6" i="3"/>
  <c r="AJ6" i="3"/>
  <c r="E163" i="3"/>
  <c r="E275" i="3"/>
  <c r="E387" i="3"/>
  <c r="E499" i="3"/>
  <c r="Q6" i="3"/>
  <c r="E122" i="3"/>
  <c r="E136" i="3"/>
  <c r="E255" i="3"/>
  <c r="E367" i="3"/>
  <c r="E483" i="3"/>
  <c r="E567" i="3"/>
  <c r="E151" i="3"/>
  <c r="Y6" i="3"/>
  <c r="E84" i="3"/>
  <c r="E86" i="3"/>
  <c r="E239" i="3"/>
  <c r="E355" i="3"/>
  <c r="E467" i="3"/>
  <c r="E555" i="3"/>
  <c r="E143" i="3"/>
  <c r="E228" i="3"/>
  <c r="E313" i="3"/>
  <c r="E401" i="3"/>
  <c r="E484" i="3"/>
  <c r="E569" i="3"/>
  <c r="E55" i="3"/>
  <c r="AL6" i="3"/>
  <c r="E69" i="3"/>
  <c r="E182" i="3"/>
  <c r="E246" i="3"/>
  <c r="E310" i="3"/>
  <c r="I3" i="6"/>
  <c r="AO6" i="3"/>
  <c r="N6" i="3"/>
  <c r="E63" i="3"/>
  <c r="E85" i="3"/>
  <c r="E505" i="3"/>
  <c r="E337" i="3"/>
  <c r="E491" i="3"/>
  <c r="E154" i="3"/>
  <c r="E503" i="3"/>
  <c r="E106" i="3"/>
  <c r="E37" i="3"/>
  <c r="E524" i="3"/>
  <c r="E220" i="3"/>
  <c r="E159" i="3"/>
  <c r="E361" i="3"/>
  <c r="E425" i="3"/>
  <c r="E466" i="3"/>
  <c r="E365" i="3"/>
  <c r="E538" i="3"/>
  <c r="E319" i="3"/>
  <c r="E554" i="3"/>
  <c r="E507" i="3"/>
  <c r="E570" i="3"/>
  <c r="E563" i="3"/>
  <c r="E13" i="3"/>
  <c r="E427" i="3"/>
  <c r="E363" i="3"/>
  <c r="E299" i="3"/>
  <c r="E235" i="3"/>
  <c r="E171" i="3"/>
  <c r="E65" i="3"/>
  <c r="AF6" i="3"/>
  <c r="E16" i="3"/>
  <c r="E110" i="3"/>
  <c r="E326" i="3"/>
  <c r="E198" i="3"/>
  <c r="E22" i="3"/>
  <c r="P6" i="3"/>
  <c r="E420" i="3"/>
  <c r="E249" i="3"/>
  <c r="E579" i="3"/>
  <c r="E383" i="3"/>
  <c r="E152" i="3"/>
  <c r="J6" i="3"/>
  <c r="E587" i="3"/>
  <c r="E399" i="3"/>
  <c r="E167" i="3"/>
  <c r="V6" i="3"/>
  <c r="E419" i="3"/>
  <c r="E191" i="3"/>
  <c r="E27" i="3"/>
  <c r="L6" i="3"/>
  <c r="E460" i="3"/>
  <c r="E316" i="3"/>
  <c r="E123" i="3"/>
  <c r="E327" i="3"/>
  <c r="E56" i="3"/>
  <c r="E115" i="3"/>
  <c r="E585" i="3"/>
  <c r="E196" i="3"/>
  <c r="E52" i="3"/>
  <c r="E330" i="3"/>
  <c r="E97" i="3"/>
  <c r="E213" i="3"/>
  <c r="E366" i="3"/>
  <c r="E468" i="3"/>
  <c r="E504" i="3"/>
  <c r="E229" i="3"/>
  <c r="E382" i="3"/>
  <c r="E516" i="3"/>
  <c r="E517" i="3"/>
  <c r="E245" i="3"/>
  <c r="E398" i="3"/>
  <c r="E553" i="3"/>
  <c r="S6" i="1"/>
  <c r="AQ6" i="1" s="1"/>
  <c r="M19" i="6"/>
  <c r="I19" i="6" s="1"/>
  <c r="K23" i="6"/>
  <c r="M23" i="6" s="1"/>
  <c r="I23" i="6" s="1"/>
  <c r="S23" i="6" s="1"/>
  <c r="K20" i="6"/>
  <c r="M20" i="6" s="1"/>
  <c r="I20" i="6" s="1"/>
  <c r="S20" i="6" s="1"/>
  <c r="K21" i="6"/>
  <c r="M21" i="6" s="1"/>
  <c r="I21" i="6" s="1"/>
  <c r="S21" i="6" s="1"/>
  <c r="K24" i="6"/>
  <c r="M24" i="6" s="1"/>
  <c r="I24" i="6" s="1"/>
  <c r="S24" i="6" s="1"/>
  <c r="H6" i="3"/>
  <c r="K22" i="6"/>
  <c r="M22" i="6" s="1"/>
  <c r="I22" i="6" s="1"/>
  <c r="S22" i="6" s="1"/>
  <c r="E56" i="40"/>
  <c r="C30" i="43"/>
  <c r="E30" i="43" s="1"/>
  <c r="E16" i="6"/>
  <c r="E66" i="39"/>
  <c r="E3" i="6"/>
  <c r="AY6" i="3"/>
  <c r="S19" i="6"/>
  <c r="F71" i="15"/>
  <c r="F50" i="15"/>
  <c r="C49" i="15" s="1"/>
  <c r="C6" i="15"/>
  <c r="C33" i="15" s="1"/>
  <c r="M7" i="15"/>
  <c r="J6" i="15" s="1"/>
  <c r="J18" i="15" s="1"/>
  <c r="C14" i="77"/>
  <c r="C20" i="77" s="1"/>
  <c r="C19" i="77" s="1"/>
  <c r="H16" i="1"/>
  <c r="G16" i="1"/>
  <c r="M6" i="1"/>
  <c r="K16" i="1"/>
  <c r="Q16" i="1"/>
  <c r="E115" i="43"/>
  <c r="F115" i="43" s="1"/>
  <c r="G115" i="43" s="1"/>
  <c r="H115" i="43" s="1"/>
  <c r="C12" i="83"/>
  <c r="C10" i="83"/>
  <c r="C9" i="83"/>
  <c r="E36" i="43"/>
  <c r="G36" i="43"/>
  <c r="I36" i="43" s="1"/>
  <c r="E38" i="43"/>
  <c r="G38" i="43"/>
  <c r="I38" i="43" s="1"/>
  <c r="E39" i="43"/>
  <c r="E35" i="43"/>
  <c r="G35" i="43"/>
  <c r="I35" i="43" s="1"/>
  <c r="L46" i="15"/>
  <c r="U27" i="79"/>
  <c r="AB27" i="79"/>
  <c r="S27" i="79"/>
  <c r="AA27" i="79"/>
  <c r="AB15" i="33"/>
  <c r="U15" i="33"/>
  <c r="AC15" i="33"/>
  <c r="W15" i="33"/>
  <c r="AA15" i="33"/>
  <c r="S15" i="33"/>
  <c r="AC27" i="33"/>
  <c r="W27" i="33"/>
  <c r="AA27" i="33"/>
  <c r="S27" i="33"/>
  <c r="AB27" i="33"/>
  <c r="U27" i="33"/>
  <c r="G123" i="33"/>
  <c r="H123" i="33" s="1"/>
  <c r="I123" i="33" s="1"/>
  <c r="J123" i="33" s="1"/>
  <c r="K123" i="33" s="1"/>
  <c r="L123" i="33" s="1"/>
  <c r="M123" i="33" s="1"/>
  <c r="F42" i="33"/>
  <c r="AC42" i="33"/>
  <c r="U42" i="33"/>
  <c r="AB42" i="33"/>
  <c r="AB25" i="79"/>
  <c r="U25" i="79"/>
  <c r="S25" i="79"/>
  <c r="AA25" i="79"/>
  <c r="G87" i="33"/>
  <c r="J25" i="33" s="1"/>
  <c r="AC25" i="79"/>
  <c r="W25" i="79"/>
  <c r="AC15" i="79"/>
  <c r="W15" i="79"/>
  <c r="S15" i="79"/>
  <c r="AA15" i="79"/>
  <c r="AB15" i="79"/>
  <c r="U15" i="79"/>
  <c r="G11" i="90"/>
  <c r="H11" i="90"/>
  <c r="C15" i="67"/>
  <c r="C18" i="67"/>
  <c r="J18" i="67"/>
  <c r="C49" i="67"/>
  <c r="C33" i="67"/>
  <c r="C32" i="67"/>
  <c r="Q52" i="67"/>
  <c r="F1" i="67"/>
  <c r="F1" i="15"/>
  <c r="Q52" i="15"/>
  <c r="Q57" i="15"/>
  <c r="Q66" i="15"/>
  <c r="Q61" i="15"/>
  <c r="Q74" i="15"/>
  <c r="Q61" i="67"/>
  <c r="Q74" i="67"/>
  <c r="C35" i="9"/>
  <c r="C34" i="9" s="1"/>
  <c r="Q73" i="15"/>
  <c r="Q60" i="15"/>
  <c r="C39" i="68"/>
  <c r="C46" i="68" s="1"/>
  <c r="C45" i="68" s="1"/>
  <c r="C20" i="68"/>
  <c r="C28" i="68" s="1"/>
  <c r="C27" i="68" s="1"/>
  <c r="Q73" i="67"/>
  <c r="Q60" i="67"/>
  <c r="G1" i="73"/>
  <c r="AE6" i="1"/>
  <c r="C16" i="15"/>
  <c r="C17" i="15"/>
  <c r="B40" i="1" l="1"/>
  <c r="F22" i="68" s="1"/>
  <c r="F41" i="68" s="1"/>
  <c r="G34" i="43"/>
  <c r="I34" i="43" s="1"/>
  <c r="F11" i="67"/>
  <c r="C53" i="67" s="1"/>
  <c r="C48" i="67" s="1"/>
  <c r="M11" i="67"/>
  <c r="J10" i="67" s="1"/>
  <c r="J5" i="67" s="1"/>
  <c r="J26" i="67" s="1"/>
  <c r="J29" i="67" s="1"/>
  <c r="F11" i="15"/>
  <c r="C53" i="15" s="1"/>
  <c r="C48" i="15" s="1"/>
  <c r="C60" i="15" s="1"/>
  <c r="AA7" i="85"/>
  <c r="R48" i="85" s="1"/>
  <c r="S7" i="85"/>
  <c r="AB7" i="37"/>
  <c r="T42" i="37" s="1"/>
  <c r="G42" i="37" s="1"/>
  <c r="U7" i="37"/>
  <c r="F48" i="35"/>
  <c r="G52" i="79"/>
  <c r="H52" i="79" s="1"/>
  <c r="G53" i="79"/>
  <c r="H53" i="79" s="1"/>
  <c r="G52" i="85"/>
  <c r="H52" i="85" s="1"/>
  <c r="G53" i="85"/>
  <c r="H53" i="85" s="1"/>
  <c r="E33" i="43"/>
  <c r="G33" i="43"/>
  <c r="I33" i="43" s="1"/>
  <c r="G54" i="34"/>
  <c r="H54" i="34" s="1"/>
  <c r="G53" i="34"/>
  <c r="H53" i="34" s="1"/>
  <c r="I53" i="34"/>
  <c r="J53" i="34" s="1"/>
  <c r="I54" i="34"/>
  <c r="J54" i="34" s="1"/>
  <c r="R50" i="34"/>
  <c r="E49" i="34"/>
  <c r="I52" i="85"/>
  <c r="J52" i="85" s="1"/>
  <c r="K68" i="39"/>
  <c r="J70" i="39"/>
  <c r="AA7" i="84"/>
  <c r="R48" i="84" s="1"/>
  <c r="S7" i="84"/>
  <c r="W7" i="37"/>
  <c r="AC7" i="37"/>
  <c r="V42" i="37" s="1"/>
  <c r="I42" i="37" s="1"/>
  <c r="R49" i="21"/>
  <c r="E48" i="21"/>
  <c r="I53" i="21" s="1"/>
  <c r="J53" i="21" s="1"/>
  <c r="I52" i="79"/>
  <c r="J52" i="79" s="1"/>
  <c r="E37" i="43"/>
  <c r="G37" i="43"/>
  <c r="I37" i="43" s="1"/>
  <c r="H65" i="40"/>
  <c r="I63" i="40"/>
  <c r="I52" i="84"/>
  <c r="J52" i="84" s="1"/>
  <c r="I52" i="21"/>
  <c r="J52" i="21" s="1"/>
  <c r="G53" i="21"/>
  <c r="H53" i="21" s="1"/>
  <c r="G52" i="21"/>
  <c r="H52" i="21" s="1"/>
  <c r="AA7" i="37"/>
  <c r="R42" i="37" s="1"/>
  <c r="S7" i="37"/>
  <c r="AB7" i="84"/>
  <c r="T48" i="84" s="1"/>
  <c r="G48" i="84" s="1"/>
  <c r="U7" i="84"/>
  <c r="E48" i="79"/>
  <c r="R49" i="79"/>
  <c r="I27" i="6"/>
  <c r="AR6" i="1"/>
  <c r="T6" i="1"/>
  <c r="E6" i="70"/>
  <c r="E2" i="70" s="1"/>
  <c r="AC6" i="3"/>
  <c r="E6" i="3" s="1"/>
  <c r="S16" i="1"/>
  <c r="M27" i="6"/>
  <c r="S27" i="6"/>
  <c r="K27" i="6"/>
  <c r="J10" i="15"/>
  <c r="J5" i="15" s="1"/>
  <c r="J26" i="15" s="1"/>
  <c r="C32" i="15"/>
  <c r="C13" i="83"/>
  <c r="D113" i="43"/>
  <c r="D3" i="6"/>
  <c r="AY569" i="3"/>
  <c r="AY451" i="3"/>
  <c r="AY345" i="3"/>
  <c r="AY173" i="3"/>
  <c r="AY512" i="3"/>
  <c r="AY424" i="3"/>
  <c r="AY342" i="3"/>
  <c r="AY258" i="3"/>
  <c r="AY200" i="3"/>
  <c r="AY144" i="3"/>
  <c r="AY153" i="3"/>
  <c r="AY579" i="3"/>
  <c r="AY525" i="3"/>
  <c r="AY473" i="3"/>
  <c r="AY409" i="3"/>
  <c r="AY355" i="3"/>
  <c r="AY301" i="3"/>
  <c r="AY237" i="3"/>
  <c r="AY185" i="3"/>
  <c r="AY566" i="3"/>
  <c r="AY536" i="3"/>
  <c r="AY518" i="3"/>
  <c r="AY496" i="3"/>
  <c r="AY472" i="3"/>
  <c r="AY454" i="3"/>
  <c r="AY432" i="3"/>
  <c r="AY408" i="3"/>
  <c r="AY390" i="3"/>
  <c r="AY368" i="3"/>
  <c r="AY344" i="3"/>
  <c r="AY326" i="3"/>
  <c r="AY304" i="3"/>
  <c r="AY280" i="3"/>
  <c r="AY262" i="3"/>
  <c r="AY248" i="3"/>
  <c r="AY232" i="3"/>
  <c r="AY218" i="3"/>
  <c r="AY206" i="3"/>
  <c r="AY190" i="3"/>
  <c r="AY176" i="3"/>
  <c r="AY162" i="3"/>
  <c r="AY146" i="3"/>
  <c r="AY134" i="3"/>
  <c r="AY120" i="3"/>
  <c r="AY104" i="3"/>
  <c r="AY90" i="3"/>
  <c r="AY143" i="3"/>
  <c r="AY127" i="3"/>
  <c r="AY113" i="3"/>
  <c r="AY99" i="3"/>
  <c r="AY82" i="3"/>
  <c r="AY70" i="3"/>
  <c r="AY56" i="3"/>
  <c r="AY40" i="3"/>
  <c r="AY26" i="3"/>
  <c r="AY14" i="3"/>
  <c r="BF6" i="3"/>
  <c r="AY81" i="3"/>
  <c r="AY67" i="3"/>
  <c r="AY51" i="3"/>
  <c r="AY39" i="3"/>
  <c r="AY25" i="3"/>
  <c r="BQ6" i="3"/>
  <c r="BC6" i="3"/>
  <c r="AY515" i="3"/>
  <c r="AY397" i="3"/>
  <c r="AY281" i="3"/>
  <c r="AY227" i="3"/>
  <c r="AY556" i="3"/>
  <c r="AY534" i="3"/>
  <c r="AY488" i="3"/>
  <c r="AY470" i="3"/>
  <c r="AY448" i="3"/>
  <c r="AY406" i="3"/>
  <c r="AY384" i="3"/>
  <c r="AY360" i="3"/>
  <c r="AY320" i="3"/>
  <c r="AY296" i="3"/>
  <c r="AY278" i="3"/>
  <c r="AY242" i="3"/>
  <c r="AY230" i="3"/>
  <c r="AY216" i="3"/>
  <c r="AY186" i="3"/>
  <c r="AY174" i="3"/>
  <c r="AY158" i="3"/>
  <c r="AY130" i="3"/>
  <c r="AY114" i="3"/>
  <c r="AY102" i="3"/>
  <c r="AY137" i="3"/>
  <c r="AY123" i="3"/>
  <c r="AY483" i="3"/>
  <c r="AY365" i="3"/>
  <c r="AY259" i="3"/>
  <c r="AY574" i="3"/>
  <c r="AY520" i="3"/>
  <c r="AY480" i="3"/>
  <c r="AY438" i="3"/>
  <c r="AY392" i="3"/>
  <c r="AY352" i="3"/>
  <c r="AY310" i="3"/>
  <c r="AY264" i="3"/>
  <c r="AY238" i="3"/>
  <c r="AY208" i="3"/>
  <c r="AY178" i="3"/>
  <c r="AY152" i="3"/>
  <c r="AY122" i="3"/>
  <c r="AY94" i="3"/>
  <c r="AY131" i="3"/>
  <c r="AY105" i="3"/>
  <c r="AY88" i="3"/>
  <c r="AY66" i="3"/>
  <c r="AY48" i="3"/>
  <c r="AY30" i="3"/>
  <c r="BP6" i="3"/>
  <c r="AY89" i="3"/>
  <c r="AY71" i="3"/>
  <c r="AY49" i="3"/>
  <c r="AY31" i="3"/>
  <c r="AY15" i="3"/>
  <c r="BA6" i="3"/>
  <c r="AY557" i="3"/>
  <c r="AY441" i="3"/>
  <c r="AY323" i="3"/>
  <c r="AY217" i="3"/>
  <c r="AY554" i="3"/>
  <c r="AY504" i="3"/>
  <c r="AY464" i="3"/>
  <c r="AY422" i="3"/>
  <c r="AY376" i="3"/>
  <c r="AY336" i="3"/>
  <c r="AY294" i="3"/>
  <c r="AY254" i="3"/>
  <c r="AY226" i="3"/>
  <c r="AY198" i="3"/>
  <c r="AY168" i="3"/>
  <c r="AY142" i="3"/>
  <c r="AY112" i="3"/>
  <c r="AY147" i="3"/>
  <c r="AY121" i="3"/>
  <c r="AY103" i="3"/>
  <c r="AY80" i="3"/>
  <c r="AY62" i="3"/>
  <c r="AY46" i="3"/>
  <c r="AY24" i="3"/>
  <c r="BN6" i="3"/>
  <c r="AY83" i="3"/>
  <c r="AY63" i="3"/>
  <c r="AY47" i="3"/>
  <c r="AY27" i="3"/>
  <c r="BO6" i="3"/>
  <c r="AY537" i="3"/>
  <c r="AY429" i="3"/>
  <c r="AY313" i="3"/>
  <c r="AY195" i="3"/>
  <c r="AY546" i="3"/>
  <c r="AY502" i="3"/>
  <c r="AY456" i="3"/>
  <c r="AY416" i="3"/>
  <c r="AY374" i="3"/>
  <c r="AY328" i="3"/>
  <c r="AY288" i="3"/>
  <c r="AY250" i="3"/>
  <c r="AY222" i="3"/>
  <c r="AY194" i="3"/>
  <c r="AY166" i="3"/>
  <c r="AY136" i="3"/>
  <c r="AY110" i="3"/>
  <c r="AY145" i="3"/>
  <c r="AY115" i="3"/>
  <c r="AY95" i="3"/>
  <c r="AY78" i="3"/>
  <c r="AY58" i="3"/>
  <c r="AY38" i="3"/>
  <c r="AY18" i="3"/>
  <c r="BJ6" i="3"/>
  <c r="AY79" i="3"/>
  <c r="AY59" i="3"/>
  <c r="AY41" i="3"/>
  <c r="AY19" i="3"/>
  <c r="BK6" i="3"/>
  <c r="AY493" i="3"/>
  <c r="AY387" i="3"/>
  <c r="AY269" i="3"/>
  <c r="AY586" i="3"/>
  <c r="AY528" i="3"/>
  <c r="AY486" i="3"/>
  <c r="AY440" i="3"/>
  <c r="AY400" i="3"/>
  <c r="AY358" i="3"/>
  <c r="AY312" i="3"/>
  <c r="AY272" i="3"/>
  <c r="AY240" i="3"/>
  <c r="AY210" i="3"/>
  <c r="AY184" i="3"/>
  <c r="AY154" i="3"/>
  <c r="AY126" i="3"/>
  <c r="AY98" i="3"/>
  <c r="AY135" i="3"/>
  <c r="AY111" i="3"/>
  <c r="AY91" i="3"/>
  <c r="AY72" i="3"/>
  <c r="AY50" i="3"/>
  <c r="AY34" i="3"/>
  <c r="AY16" i="3"/>
  <c r="BB6" i="3"/>
  <c r="AY73" i="3"/>
  <c r="AY57" i="3"/>
  <c r="AY35" i="3"/>
  <c r="AY17" i="3"/>
  <c r="BG6" i="3"/>
  <c r="AY224" i="3"/>
  <c r="AY479" i="3"/>
  <c r="AY531" i="3"/>
  <c r="AY506" i="3"/>
  <c r="AY443" i="3"/>
  <c r="AY469" i="3"/>
  <c r="AY524" i="3"/>
  <c r="AY236" i="3"/>
  <c r="AY76" i="3"/>
  <c r="AY23" i="3"/>
  <c r="BR6" i="3"/>
  <c r="AY54" i="3"/>
  <c r="AY139" i="3"/>
  <c r="AY202" i="3"/>
  <c r="AY302" i="3"/>
  <c r="AY430" i="3"/>
  <c r="AY564" i="3"/>
  <c r="AY461" i="3"/>
  <c r="AY559" i="3"/>
  <c r="AY527" i="3"/>
  <c r="AY495" i="3"/>
  <c r="AY463" i="3"/>
  <c r="AY431" i="3"/>
  <c r="AY399" i="3"/>
  <c r="AY367" i="3"/>
  <c r="AY335" i="3"/>
  <c r="AY303" i="3"/>
  <c r="AY271" i="3"/>
  <c r="AY239" i="3"/>
  <c r="AY207" i="3"/>
  <c r="AY175" i="3"/>
  <c r="AY576" i="3"/>
  <c r="AY544" i="3"/>
  <c r="AY553" i="3"/>
  <c r="AY509" i="3"/>
  <c r="AY467" i="3"/>
  <c r="AY425" i="3"/>
  <c r="AY381" i="3"/>
  <c r="AY339" i="3"/>
  <c r="AY297" i="3"/>
  <c r="AY253" i="3"/>
  <c r="AY211" i="3"/>
  <c r="AY169" i="3"/>
  <c r="AY558" i="3"/>
  <c r="AY522" i="3"/>
  <c r="AY490" i="3"/>
  <c r="AY458" i="3"/>
  <c r="AY426" i="3"/>
  <c r="AY394" i="3"/>
  <c r="AY362" i="3"/>
  <c r="AY330" i="3"/>
  <c r="AY298" i="3"/>
  <c r="AY266" i="3"/>
  <c r="AY549" i="3"/>
  <c r="AY507" i="3"/>
  <c r="AY465" i="3"/>
  <c r="AY421" i="3"/>
  <c r="AY379" i="3"/>
  <c r="AY337" i="3"/>
  <c r="AY293" i="3"/>
  <c r="AY251" i="3"/>
  <c r="AY209" i="3"/>
  <c r="AY165" i="3"/>
  <c r="AY577" i="3"/>
  <c r="AY533" i="3"/>
  <c r="AY491" i="3"/>
  <c r="AY405" i="3"/>
  <c r="AY363" i="3"/>
  <c r="AY321" i="3"/>
  <c r="AY277" i="3"/>
  <c r="AY235" i="3"/>
  <c r="AY193" i="3"/>
  <c r="AY582" i="3"/>
  <c r="AY540" i="3"/>
  <c r="BS6" i="3"/>
  <c r="AY55" i="3"/>
  <c r="BH6" i="3"/>
  <c r="AY42" i="3"/>
  <c r="AY86" i="3"/>
  <c r="AY129" i="3"/>
  <c r="AY106" i="3"/>
  <c r="AY150" i="3"/>
  <c r="AY192" i="3"/>
  <c r="AY234" i="3"/>
  <c r="AY286" i="3"/>
  <c r="AY350" i="3"/>
  <c r="AY414" i="3"/>
  <c r="AY478" i="3"/>
  <c r="AY542" i="3"/>
  <c r="AY249" i="3"/>
  <c r="AY419" i="3"/>
  <c r="AY567" i="3"/>
  <c r="AY535" i="3"/>
  <c r="AY503" i="3"/>
  <c r="AY471" i="3"/>
  <c r="AY439" i="3"/>
  <c r="AY407" i="3"/>
  <c r="AY375" i="3"/>
  <c r="AY343" i="3"/>
  <c r="AY311" i="3"/>
  <c r="AY279" i="3"/>
  <c r="AY247" i="3"/>
  <c r="AY215" i="3"/>
  <c r="AY183" i="3"/>
  <c r="AY584" i="3"/>
  <c r="AY552" i="3"/>
  <c r="AY563" i="3"/>
  <c r="AY521" i="3"/>
  <c r="AY477" i="3"/>
  <c r="AY435" i="3"/>
  <c r="AY393" i="3"/>
  <c r="AY349" i="3"/>
  <c r="AY307" i="3"/>
  <c r="AY265" i="3"/>
  <c r="AY221" i="3"/>
  <c r="AY179" i="3"/>
  <c r="AY570" i="3"/>
  <c r="AY530" i="3"/>
  <c r="AY498" i="3"/>
  <c r="AY466" i="3"/>
  <c r="AY434" i="3"/>
  <c r="AY402" i="3"/>
  <c r="AY370" i="3"/>
  <c r="AY338" i="3"/>
  <c r="AY306" i="3"/>
  <c r="AY274" i="3"/>
  <c r="AY561" i="3"/>
  <c r="AY517" i="3"/>
  <c r="AY475" i="3"/>
  <c r="AY433" i="3"/>
  <c r="AY389" i="3"/>
  <c r="AY347" i="3"/>
  <c r="AY305" i="3"/>
  <c r="AY261" i="3"/>
  <c r="AY219" i="3"/>
  <c r="AY177" i="3"/>
  <c r="AY587" i="3"/>
  <c r="AY545" i="3"/>
  <c r="AY501" i="3"/>
  <c r="AY459" i="3"/>
  <c r="AY417" i="3"/>
  <c r="AY373" i="3"/>
  <c r="AY331" i="3"/>
  <c r="AY289" i="3"/>
  <c r="AY245" i="3"/>
  <c r="AY203" i="3"/>
  <c r="AY161" i="3"/>
  <c r="AY550" i="3"/>
  <c r="AY516" i="3"/>
  <c r="AY484" i="3"/>
  <c r="AY452" i="3"/>
  <c r="AY420" i="3"/>
  <c r="AY388" i="3"/>
  <c r="AY356" i="3"/>
  <c r="AY324" i="3"/>
  <c r="AY292" i="3"/>
  <c r="AY260" i="3"/>
  <c r="AY228" i="3"/>
  <c r="AY196" i="3"/>
  <c r="AY164" i="3"/>
  <c r="AY132" i="3"/>
  <c r="AY100" i="3"/>
  <c r="AY133" i="3"/>
  <c r="AY101" i="3"/>
  <c r="AY68" i="3"/>
  <c r="AY36" i="3"/>
  <c r="BL6" i="3"/>
  <c r="AY69" i="3"/>
  <c r="AY37" i="3"/>
  <c r="BM6" i="3"/>
  <c r="AY33" i="3"/>
  <c r="AY75" i="3"/>
  <c r="AY22" i="3"/>
  <c r="AY64" i="3"/>
  <c r="AY107" i="3"/>
  <c r="AY151" i="3"/>
  <c r="AY128" i="3"/>
  <c r="AY170" i="3"/>
  <c r="AY214" i="3"/>
  <c r="AY256" i="3"/>
  <c r="AY318" i="3"/>
  <c r="AY382" i="3"/>
  <c r="AY446" i="3"/>
  <c r="AY510" i="3"/>
  <c r="AY163" i="3"/>
  <c r="AY333" i="3"/>
  <c r="AY505" i="3"/>
  <c r="AY583" i="3"/>
  <c r="AY551" i="3"/>
  <c r="AY519" i="3"/>
  <c r="AY487" i="3"/>
  <c r="AY455" i="3"/>
  <c r="AY423" i="3"/>
  <c r="AY391" i="3"/>
  <c r="AY359" i="3"/>
  <c r="AY327" i="3"/>
  <c r="AY295" i="3"/>
  <c r="AY263" i="3"/>
  <c r="AY231" i="3"/>
  <c r="AY199" i="3"/>
  <c r="AY167" i="3"/>
  <c r="AY568" i="3"/>
  <c r="AY585" i="3"/>
  <c r="AY541" i="3"/>
  <c r="AY499" i="3"/>
  <c r="AY457" i="3"/>
  <c r="AY413" i="3"/>
  <c r="AY371" i="3"/>
  <c r="AY329" i="3"/>
  <c r="AY285" i="3"/>
  <c r="AY243" i="3"/>
  <c r="AY201" i="3"/>
  <c r="AY157" i="3"/>
  <c r="AY548" i="3"/>
  <c r="AY514" i="3"/>
  <c r="AY482" i="3"/>
  <c r="AY450" i="3"/>
  <c r="AY418" i="3"/>
  <c r="AY386" i="3"/>
  <c r="AY354" i="3"/>
  <c r="AY322" i="3"/>
  <c r="AY290" i="3"/>
  <c r="AY581" i="3"/>
  <c r="AY539" i="3"/>
  <c r="AY497" i="3"/>
  <c r="AY453" i="3"/>
  <c r="AY411" i="3"/>
  <c r="AY369" i="3"/>
  <c r="AY325" i="3"/>
  <c r="AY283" i="3"/>
  <c r="AY241" i="3"/>
  <c r="AY197" i="3"/>
  <c r="AY155" i="3"/>
  <c r="AY565" i="3"/>
  <c r="AY523" i="3"/>
  <c r="AY481" i="3"/>
  <c r="AY437" i="3"/>
  <c r="AY395" i="3"/>
  <c r="AY353" i="3"/>
  <c r="AY309" i="3"/>
  <c r="AY267" i="3"/>
  <c r="AY225" i="3"/>
  <c r="AY181" i="3"/>
  <c r="AY572" i="3"/>
  <c r="AY532" i="3"/>
  <c r="AY500" i="3"/>
  <c r="AY468" i="3"/>
  <c r="AY436" i="3"/>
  <c r="AY404" i="3"/>
  <c r="AY372" i="3"/>
  <c r="AY340" i="3"/>
  <c r="AY308" i="3"/>
  <c r="AY276" i="3"/>
  <c r="AY244" i="3"/>
  <c r="AY212" i="3"/>
  <c r="AY180" i="3"/>
  <c r="AY148" i="3"/>
  <c r="AY116" i="3"/>
  <c r="AY149" i="3"/>
  <c r="AY117" i="3"/>
  <c r="AY84" i="3"/>
  <c r="AY52" i="3"/>
  <c r="AY20" i="3"/>
  <c r="AY85" i="3"/>
  <c r="AY53" i="3"/>
  <c r="AY21" i="3"/>
  <c r="BI6" i="3"/>
  <c r="AY43" i="3"/>
  <c r="AY87" i="3"/>
  <c r="AY32" i="3"/>
  <c r="AY74" i="3"/>
  <c r="AY119" i="3"/>
  <c r="AY96" i="3"/>
  <c r="AY138" i="3"/>
  <c r="AY182" i="3"/>
  <c r="AY270" i="3"/>
  <c r="AY334" i="3"/>
  <c r="AY398" i="3"/>
  <c r="AY462" i="3"/>
  <c r="AY526" i="3"/>
  <c r="AY205" i="3"/>
  <c r="AY377" i="3"/>
  <c r="AY547" i="3"/>
  <c r="AY575" i="3"/>
  <c r="AY543" i="3"/>
  <c r="AY511" i="3"/>
  <c r="AY447" i="3"/>
  <c r="AY415" i="3"/>
  <c r="AY383" i="3"/>
  <c r="AY351" i="3"/>
  <c r="AY319" i="3"/>
  <c r="AY287" i="3"/>
  <c r="AY255" i="3"/>
  <c r="AY223" i="3"/>
  <c r="AY191" i="3"/>
  <c r="AY159" i="3"/>
  <c r="AY560" i="3"/>
  <c r="AY573" i="3"/>
  <c r="AY489" i="3"/>
  <c r="AY445" i="3"/>
  <c r="AY403" i="3"/>
  <c r="AY361" i="3"/>
  <c r="AY317" i="3"/>
  <c r="AY275" i="3"/>
  <c r="AY233" i="3"/>
  <c r="AY189" i="3"/>
  <c r="AY580" i="3"/>
  <c r="AY538" i="3"/>
  <c r="AY474" i="3"/>
  <c r="AY442" i="3"/>
  <c r="AY410" i="3"/>
  <c r="AY378" i="3"/>
  <c r="AY346" i="3"/>
  <c r="AY314" i="3"/>
  <c r="AY282" i="3"/>
  <c r="AY571" i="3"/>
  <c r="AY529" i="3"/>
  <c r="AY485" i="3"/>
  <c r="AY401" i="3"/>
  <c r="AY357" i="3"/>
  <c r="AY315" i="3"/>
  <c r="AY273" i="3"/>
  <c r="AY229" i="3"/>
  <c r="AY187" i="3"/>
  <c r="AY578" i="3"/>
  <c r="AY555" i="3"/>
  <c r="AY513" i="3"/>
  <c r="AY427" i="3"/>
  <c r="AY385" i="3"/>
  <c r="AY341" i="3"/>
  <c r="AY299" i="3"/>
  <c r="AY257" i="3"/>
  <c r="AY213" i="3"/>
  <c r="AY171" i="3"/>
  <c r="AY562" i="3"/>
  <c r="AY492" i="3"/>
  <c r="AY460" i="3"/>
  <c r="AY428" i="3"/>
  <c r="AY396" i="3"/>
  <c r="AY364" i="3"/>
  <c r="AY332" i="3"/>
  <c r="AY300" i="3"/>
  <c r="AY268" i="3"/>
  <c r="AY204" i="3"/>
  <c r="AY172" i="3"/>
  <c r="AY140" i="3"/>
  <c r="AY108" i="3"/>
  <c r="AY141" i="3"/>
  <c r="AY109" i="3"/>
  <c r="AY44" i="3"/>
  <c r="BT6" i="3"/>
  <c r="AY77" i="3"/>
  <c r="AY45" i="3"/>
  <c r="AY13" i="3"/>
  <c r="AY65" i="3"/>
  <c r="AY97" i="3"/>
  <c r="AY118" i="3"/>
  <c r="AY160" i="3"/>
  <c r="AY246" i="3"/>
  <c r="AY366" i="3"/>
  <c r="AY494" i="3"/>
  <c r="AY291" i="3"/>
  <c r="AY508" i="3"/>
  <c r="AY380" i="3"/>
  <c r="AY252" i="3"/>
  <c r="AY124" i="3"/>
  <c r="AY60" i="3"/>
  <c r="AY29" i="3"/>
  <c r="AY476" i="3"/>
  <c r="AY348" i="3"/>
  <c r="AY220" i="3"/>
  <c r="AY92" i="3"/>
  <c r="AY28" i="3"/>
  <c r="BE6" i="3"/>
  <c r="AY444" i="3"/>
  <c r="AY316" i="3"/>
  <c r="AY188" i="3"/>
  <c r="AY125" i="3"/>
  <c r="BD6" i="3"/>
  <c r="AY449" i="3"/>
  <c r="AY412" i="3"/>
  <c r="AY284" i="3"/>
  <c r="AY156" i="3"/>
  <c r="AY93" i="3"/>
  <c r="AY61" i="3"/>
  <c r="C17" i="4"/>
  <c r="D37" i="11"/>
  <c r="C37" i="11" s="1"/>
  <c r="M18" i="9"/>
  <c r="B118" i="9" s="1"/>
  <c r="L18" i="9"/>
  <c r="D3" i="37"/>
  <c r="D3" i="21"/>
  <c r="D14" i="12"/>
  <c r="E6" i="6"/>
  <c r="D19" i="11"/>
  <c r="C19" i="11" s="1"/>
  <c r="C20" i="11" s="1"/>
  <c r="D3" i="34"/>
  <c r="C14" i="83"/>
  <c r="C20" i="83" s="1"/>
  <c r="C19" i="83" s="1"/>
  <c r="H10" i="39"/>
  <c r="J10" i="39"/>
  <c r="H10" i="40"/>
  <c r="J10" i="40"/>
  <c r="F10" i="40"/>
  <c r="F10" i="39"/>
  <c r="F28" i="12"/>
  <c r="C29" i="12" s="1"/>
  <c r="D28" i="12" s="1"/>
  <c r="F27" i="11"/>
  <c r="M16" i="1"/>
  <c r="C26" i="43"/>
  <c r="AA42" i="33"/>
  <c r="S42" i="33"/>
  <c r="AC25" i="33"/>
  <c r="W25" i="33"/>
  <c r="H87" i="33"/>
  <c r="I87" i="33" s="1"/>
  <c r="J87" i="33" s="1"/>
  <c r="K87" i="33" s="1"/>
  <c r="L87" i="33" s="1"/>
  <c r="M87" i="33" s="1"/>
  <c r="F25" i="33"/>
  <c r="H25" i="33"/>
  <c r="C19" i="67"/>
  <c r="C20" i="67" s="1"/>
  <c r="C26" i="67" s="1"/>
  <c r="C31" i="67"/>
  <c r="C24" i="68"/>
  <c r="F41" i="15"/>
  <c r="C14" i="15"/>
  <c r="C25" i="68" l="1"/>
  <c r="C23" i="68"/>
  <c r="C22" i="68" s="1"/>
  <c r="C44" i="68"/>
  <c r="D41" i="68" s="1"/>
  <c r="C42" i="68"/>
  <c r="C41" i="68" s="1"/>
  <c r="F24" i="67"/>
  <c r="C24" i="67" s="1"/>
  <c r="C26" i="68"/>
  <c r="D22" i="68" s="1"/>
  <c r="C43" i="68"/>
  <c r="F25" i="12"/>
  <c r="C26" i="12" s="1"/>
  <c r="D25" i="12" s="1"/>
  <c r="I18" i="83"/>
  <c r="C18" i="83" s="1"/>
  <c r="E16" i="83" s="1"/>
  <c r="F22" i="11"/>
  <c r="C23" i="11" s="1"/>
  <c r="I18" i="77"/>
  <c r="C17" i="77" s="1"/>
  <c r="C16" i="77" s="1"/>
  <c r="F24" i="15"/>
  <c r="C24" i="15" s="1"/>
  <c r="C27" i="43"/>
  <c r="C26" i="11"/>
  <c r="D22" i="11" s="1"/>
  <c r="J24" i="67"/>
  <c r="C10" i="67"/>
  <c r="C5" i="67" s="1"/>
  <c r="C38" i="67" s="1"/>
  <c r="C10" i="15"/>
  <c r="C5" i="15" s="1"/>
  <c r="C38" i="15" s="1"/>
  <c r="C25" i="11"/>
  <c r="J24" i="15"/>
  <c r="E52" i="79"/>
  <c r="F52" i="79" s="1"/>
  <c r="E53" i="79"/>
  <c r="F53" i="79" s="1"/>
  <c r="C49" i="21"/>
  <c r="C48" i="21"/>
  <c r="E48" i="84"/>
  <c r="R49" i="84"/>
  <c r="G48" i="35"/>
  <c r="R49" i="85"/>
  <c r="E48" i="85"/>
  <c r="C48" i="79"/>
  <c r="C3" i="77" s="1"/>
  <c r="C4" i="77" s="1"/>
  <c r="C49" i="79"/>
  <c r="I65" i="40"/>
  <c r="J63" i="40"/>
  <c r="I46" i="37"/>
  <c r="J46" i="37" s="1"/>
  <c r="I47" i="37"/>
  <c r="J47" i="37" s="1"/>
  <c r="E53" i="34"/>
  <c r="F53" i="34" s="1"/>
  <c r="E54" i="34"/>
  <c r="F54" i="34" s="1"/>
  <c r="E52" i="21"/>
  <c r="F52" i="21" s="1"/>
  <c r="E53" i="21"/>
  <c r="F53" i="21" s="1"/>
  <c r="B2" i="21"/>
  <c r="B3" i="21" s="1"/>
  <c r="G53" i="84"/>
  <c r="H53" i="84" s="1"/>
  <c r="G52" i="84"/>
  <c r="H52" i="84" s="1"/>
  <c r="R43" i="37"/>
  <c r="E42" i="37"/>
  <c r="I53" i="79"/>
  <c r="J53" i="79" s="1"/>
  <c r="L68" i="39"/>
  <c r="K70" i="39"/>
  <c r="C50" i="34"/>
  <c r="B2" i="34" s="1"/>
  <c r="B3" i="34" s="1"/>
  <c r="C49" i="34"/>
  <c r="G47" i="37"/>
  <c r="H47" i="37" s="1"/>
  <c r="G46" i="37"/>
  <c r="H46" i="37" s="1"/>
  <c r="C15" i="15"/>
  <c r="C18" i="15"/>
  <c r="T16" i="1"/>
  <c r="C24" i="11"/>
  <c r="B14" i="74"/>
  <c r="B4" i="52"/>
  <c r="B43" i="72" s="1"/>
  <c r="D20" i="12"/>
  <c r="C20" i="12" s="1"/>
  <c r="C18" i="12" s="1"/>
  <c r="D10" i="11"/>
  <c r="C10" i="11" s="1"/>
  <c r="C14" i="12"/>
  <c r="C16" i="12" s="1"/>
  <c r="D17" i="12"/>
  <c r="C17" i="12" s="1"/>
  <c r="D24" i="6"/>
  <c r="H26" i="6"/>
  <c r="D29" i="6"/>
  <c r="H23" i="6"/>
  <c r="D10" i="6"/>
  <c r="H19" i="6"/>
  <c r="D5" i="6"/>
  <c r="C18" i="4"/>
  <c r="D22" i="6"/>
  <c r="D11" i="6"/>
  <c r="D9" i="6"/>
  <c r="D23" i="6"/>
  <c r="R23" i="6" s="1"/>
  <c r="D6" i="6"/>
  <c r="H22" i="6"/>
  <c r="H21" i="6"/>
  <c r="H20" i="6"/>
  <c r="D26" i="6"/>
  <c r="M19" i="9"/>
  <c r="C118" i="9" s="1"/>
  <c r="C14" i="74" s="1"/>
  <c r="B2" i="74" s="1"/>
  <c r="D14" i="6"/>
  <c r="E61" i="40"/>
  <c r="D8" i="6"/>
  <c r="L19" i="9"/>
  <c r="D12" i="6"/>
  <c r="D19" i="6"/>
  <c r="D15" i="6"/>
  <c r="H25" i="6"/>
  <c r="D25" i="6"/>
  <c r="D13" i="6"/>
  <c r="H24" i="6"/>
  <c r="D28" i="6"/>
  <c r="D20" i="6"/>
  <c r="D21" i="6"/>
  <c r="AA10" i="40"/>
  <c r="S10" i="40"/>
  <c r="C47" i="11"/>
  <c r="D45" i="11" s="1"/>
  <c r="C29" i="11"/>
  <c r="D27" i="11" s="1"/>
  <c r="C28" i="11"/>
  <c r="C27" i="11" s="1"/>
  <c r="AC10" i="40"/>
  <c r="W10" i="40"/>
  <c r="U10" i="39"/>
  <c r="AB10" i="39"/>
  <c r="AB10" i="40"/>
  <c r="U10" i="40"/>
  <c r="N16" i="1"/>
  <c r="F50" i="11" s="1"/>
  <c r="C34" i="11"/>
  <c r="L16" i="1"/>
  <c r="AA10" i="39"/>
  <c r="S10" i="39"/>
  <c r="W10" i="39"/>
  <c r="AC10" i="39"/>
  <c r="B2" i="43"/>
  <c r="AA25" i="33"/>
  <c r="S25" i="33"/>
  <c r="AB25" i="33"/>
  <c r="U25" i="33"/>
  <c r="AC51" i="33"/>
  <c r="I56" i="33" s="1"/>
  <c r="V48" i="33"/>
  <c r="I48" i="33" s="1"/>
  <c r="F69" i="15"/>
  <c r="J29" i="15"/>
  <c r="C66" i="15"/>
  <c r="C66" i="67"/>
  <c r="C60" i="67"/>
  <c r="E6" i="76"/>
  <c r="B6" i="76"/>
  <c r="C23" i="67" l="1"/>
  <c r="C29" i="67" s="1"/>
  <c r="C13" i="67" s="1"/>
  <c r="C31" i="68"/>
  <c r="C49" i="68"/>
  <c r="C51" i="68" s="1"/>
  <c r="C17" i="83"/>
  <c r="C16" i="83" s="1"/>
  <c r="C44" i="11"/>
  <c r="D41" i="11" s="1"/>
  <c r="C18" i="77"/>
  <c r="E16" i="77" s="1"/>
  <c r="E2" i="76"/>
  <c r="C22" i="11"/>
  <c r="C31" i="11" s="1"/>
  <c r="B3" i="79"/>
  <c r="B2" i="79"/>
  <c r="E47" i="37"/>
  <c r="F47" i="37" s="1"/>
  <c r="E46" i="37"/>
  <c r="F46" i="37" s="1"/>
  <c r="H48" i="35"/>
  <c r="L70" i="39"/>
  <c r="M68" i="39"/>
  <c r="C43" i="37"/>
  <c r="B2" i="37" s="1"/>
  <c r="B3" i="37" s="1"/>
  <c r="C42" i="37"/>
  <c r="K63" i="40"/>
  <c r="J65" i="40"/>
  <c r="E52" i="85"/>
  <c r="F52" i="85" s="1"/>
  <c r="E53" i="85"/>
  <c r="F53" i="85" s="1"/>
  <c r="I53" i="85"/>
  <c r="J53" i="85" s="1"/>
  <c r="C48" i="84"/>
  <c r="C49" i="84"/>
  <c r="C48" i="85"/>
  <c r="D35" i="83" s="1"/>
  <c r="J8" i="83" s="1"/>
  <c r="C49" i="85"/>
  <c r="E53" i="84"/>
  <c r="F53" i="84" s="1"/>
  <c r="E52" i="84"/>
  <c r="F52" i="84" s="1"/>
  <c r="I53" i="84"/>
  <c r="J53" i="84" s="1"/>
  <c r="C19" i="15"/>
  <c r="C20" i="15" s="1"/>
  <c r="C26" i="15" s="1"/>
  <c r="R25" i="6"/>
  <c r="C21" i="12"/>
  <c r="C22" i="12" s="1"/>
  <c r="R21" i="6"/>
  <c r="D27" i="6"/>
  <c r="R19" i="6"/>
  <c r="C23" i="83"/>
  <c r="C7" i="83" s="1"/>
  <c r="C27" i="83" s="1"/>
  <c r="R20" i="6"/>
  <c r="D30" i="6"/>
  <c r="C21" i="9"/>
  <c r="D21" i="9"/>
  <c r="G21" i="9"/>
  <c r="D8" i="74"/>
  <c r="D7" i="74"/>
  <c r="H27" i="6"/>
  <c r="B1" i="74"/>
  <c r="D14" i="74"/>
  <c r="D16" i="6"/>
  <c r="R26" i="6"/>
  <c r="R22" i="6"/>
  <c r="R24" i="6"/>
  <c r="A10" i="51"/>
  <c r="B9" i="72" s="1"/>
  <c r="A7" i="51"/>
  <c r="B7" i="72" s="1"/>
  <c r="C4" i="52"/>
  <c r="B45" i="72" s="1"/>
  <c r="C38" i="11"/>
  <c r="C35" i="11"/>
  <c r="B2" i="76"/>
  <c r="B3" i="43"/>
  <c r="I52" i="33"/>
  <c r="J52" i="33" s="1"/>
  <c r="AB51" i="33"/>
  <c r="G56" i="33" s="1"/>
  <c r="T48" i="33"/>
  <c r="G48" i="33" s="1"/>
  <c r="AA51" i="33"/>
  <c r="E56" i="33" s="1"/>
  <c r="R48" i="33"/>
  <c r="J59" i="67" l="1"/>
  <c r="J60" i="67" s="1"/>
  <c r="C57" i="67"/>
  <c r="C36" i="67"/>
  <c r="Q49" i="67"/>
  <c r="J19" i="67"/>
  <c r="J17" i="67" s="1"/>
  <c r="J14" i="67"/>
  <c r="J13" i="67" s="1"/>
  <c r="J23" i="67" s="1"/>
  <c r="C52" i="68"/>
  <c r="B2" i="68" s="1"/>
  <c r="C23" i="77"/>
  <c r="C7" i="77" s="1"/>
  <c r="C27" i="77" s="1"/>
  <c r="B3" i="76"/>
  <c r="B3" i="84"/>
  <c r="C3" i="83" s="1"/>
  <c r="C4" i="83" s="1"/>
  <c r="B2" i="84"/>
  <c r="B3" i="85"/>
  <c r="B2" i="85"/>
  <c r="M70" i="39"/>
  <c r="N68" i="39"/>
  <c r="I48" i="35"/>
  <c r="J48" i="35" s="1"/>
  <c r="K48" i="35" s="1"/>
  <c r="L48" i="35" s="1"/>
  <c r="M48" i="35" s="1"/>
  <c r="N48" i="35" s="1"/>
  <c r="O48" i="35" s="1"/>
  <c r="F7" i="35" s="1"/>
  <c r="K65" i="40"/>
  <c r="L63" i="40"/>
  <c r="C27" i="12"/>
  <c r="C25" i="12" s="1"/>
  <c r="C23" i="15"/>
  <c r="C29" i="15" s="1"/>
  <c r="J19" i="15" s="1"/>
  <c r="C30" i="12"/>
  <c r="C28" i="12" s="1"/>
  <c r="C33" i="11"/>
  <c r="C39" i="11" s="1"/>
  <c r="C43" i="11" s="1"/>
  <c r="C26" i="83"/>
  <c r="C24" i="83" s="1"/>
  <c r="C29" i="83" s="1"/>
  <c r="C30" i="83" s="1"/>
  <c r="D36" i="83" s="1"/>
  <c r="G35" i="83" s="1"/>
  <c r="G14" i="74"/>
  <c r="B6" i="74" s="1"/>
  <c r="B5" i="74"/>
  <c r="F14" i="74"/>
  <c r="D31" i="6"/>
  <c r="C8" i="74"/>
  <c r="C7" i="74"/>
  <c r="R6" i="1"/>
  <c r="R27" i="6"/>
  <c r="E48" i="33"/>
  <c r="R49" i="33"/>
  <c r="G52" i="33"/>
  <c r="H52" i="33" s="1"/>
  <c r="G53" i="33"/>
  <c r="H53" i="33" s="1"/>
  <c r="Q48" i="67"/>
  <c r="L46" i="67"/>
  <c r="C64" i="67"/>
  <c r="C61" i="67"/>
  <c r="C59" i="67" s="1"/>
  <c r="C37" i="67"/>
  <c r="Q70" i="67"/>
  <c r="C75" i="67"/>
  <c r="C56" i="67"/>
  <c r="C65" i="67" s="1"/>
  <c r="B3" i="68"/>
  <c r="M21" i="15"/>
  <c r="F35" i="15"/>
  <c r="C30" i="67" l="1"/>
  <c r="C39" i="67" s="1"/>
  <c r="C40" i="67" s="1"/>
  <c r="J22" i="67"/>
  <c r="C57" i="68"/>
  <c r="C56" i="68" s="1"/>
  <c r="C26" i="77"/>
  <c r="C24" i="77" s="1"/>
  <c r="C29" i="77" s="1"/>
  <c r="C30" i="77" s="1"/>
  <c r="D36" i="77" s="1"/>
  <c r="J9" i="77" s="1"/>
  <c r="S7" i="35"/>
  <c r="AA7" i="35"/>
  <c r="R38" i="35" s="1"/>
  <c r="M63" i="40"/>
  <c r="L65" i="40"/>
  <c r="N70" i="39"/>
  <c r="O68" i="39"/>
  <c r="O70" i="39" s="1"/>
  <c r="H7" i="35"/>
  <c r="J7" i="35"/>
  <c r="C32" i="12"/>
  <c r="B2" i="12" s="1"/>
  <c r="B3" i="12" s="1"/>
  <c r="C13" i="15"/>
  <c r="Q70" i="15" s="1"/>
  <c r="C57" i="15"/>
  <c r="J14" i="15"/>
  <c r="J22" i="15" s="1"/>
  <c r="C36" i="15"/>
  <c r="Q49" i="15"/>
  <c r="C42" i="11"/>
  <c r="C41" i="11" s="1"/>
  <c r="J20" i="15"/>
  <c r="J17" i="15" s="1"/>
  <c r="F63" i="15"/>
  <c r="C62" i="15" s="1"/>
  <c r="C34" i="15"/>
  <c r="C31" i="15" s="1"/>
  <c r="R16" i="1"/>
  <c r="C6" i="74"/>
  <c r="D6" i="74"/>
  <c r="I5" i="6"/>
  <c r="I6" i="6"/>
  <c r="C5" i="74"/>
  <c r="D5" i="74"/>
  <c r="C46" i="11"/>
  <c r="C45" i="11" s="1"/>
  <c r="D37" i="83"/>
  <c r="E38" i="83" s="1"/>
  <c r="E39" i="83" s="1"/>
  <c r="E52" i="33"/>
  <c r="F52" i="33" s="1"/>
  <c r="E53" i="33"/>
  <c r="F53" i="33" s="1"/>
  <c r="I53" i="33"/>
  <c r="J53" i="33" s="1"/>
  <c r="C49" i="33"/>
  <c r="C48" i="33"/>
  <c r="B50" i="33" s="1"/>
  <c r="J9" i="83"/>
  <c r="J16" i="67"/>
  <c r="J25" i="67" s="1"/>
  <c r="C58" i="67"/>
  <c r="C67" i="67" s="1"/>
  <c r="C68" i="67" s="1"/>
  <c r="L51" i="67"/>
  <c r="C80" i="67" l="1"/>
  <c r="C79" i="67" s="1"/>
  <c r="Q69" i="67"/>
  <c r="Q68" i="67" s="1"/>
  <c r="J13" i="15"/>
  <c r="J23" i="15" s="1"/>
  <c r="J16" i="15" s="1"/>
  <c r="J25" i="15" s="1"/>
  <c r="U7" i="35"/>
  <c r="AB7" i="35"/>
  <c r="T38" i="35" s="1"/>
  <c r="G38" i="35" s="1"/>
  <c r="H7" i="39"/>
  <c r="F7" i="39"/>
  <c r="J7" i="39"/>
  <c r="N63" i="40"/>
  <c r="M65" i="40"/>
  <c r="R39" i="35"/>
  <c r="E38" i="35"/>
  <c r="W7" i="35"/>
  <c r="AC7" i="35"/>
  <c r="V38" i="35" s="1"/>
  <c r="I38" i="35" s="1"/>
  <c r="C56" i="15"/>
  <c r="C65" i="15" s="1"/>
  <c r="C75" i="15"/>
  <c r="C37" i="15"/>
  <c r="C30" i="15" s="1"/>
  <c r="C39" i="15" s="1"/>
  <c r="C64" i="15"/>
  <c r="C61" i="15"/>
  <c r="C59" i="15" s="1"/>
  <c r="C49" i="11"/>
  <c r="C51" i="11" s="1"/>
  <c r="C38" i="83"/>
  <c r="C39" i="83" s="1"/>
  <c r="G37" i="83"/>
  <c r="J10" i="83"/>
  <c r="W2" i="78"/>
  <c r="W7" i="78" s="1"/>
  <c r="Z7" i="78" s="1"/>
  <c r="R24" i="31"/>
  <c r="B2" i="33"/>
  <c r="B3" i="33"/>
  <c r="D35" i="77"/>
  <c r="Q67" i="67"/>
  <c r="L57" i="67"/>
  <c r="L60" i="67" s="1"/>
  <c r="C71" i="67"/>
  <c r="C45" i="67"/>
  <c r="C46" i="67" s="1"/>
  <c r="Q47" i="67"/>
  <c r="Q53" i="67" s="1"/>
  <c r="D2" i="67"/>
  <c r="Q65" i="67"/>
  <c r="Q56" i="67"/>
  <c r="C43" i="67"/>
  <c r="C83" i="67"/>
  <c r="C82" i="67" s="1"/>
  <c r="L51" i="15"/>
  <c r="E42" i="35" l="1"/>
  <c r="F42" i="35" s="1"/>
  <c r="E43" i="35"/>
  <c r="F43" i="35" s="1"/>
  <c r="C39" i="35"/>
  <c r="B2" i="35" s="1"/>
  <c r="B3" i="35" s="1"/>
  <c r="C38" i="35"/>
  <c r="I42" i="35"/>
  <c r="J42" i="35" s="1"/>
  <c r="I43" i="35"/>
  <c r="J43" i="35" s="1"/>
  <c r="U7" i="39"/>
  <c r="AB7" i="39"/>
  <c r="T47" i="39" s="1"/>
  <c r="G47" i="39" s="1"/>
  <c r="N65" i="40"/>
  <c r="O63" i="40"/>
  <c r="O65" i="40" s="1"/>
  <c r="AC7" i="39"/>
  <c r="V47" i="39" s="1"/>
  <c r="I47" i="39" s="1"/>
  <c r="W7" i="39"/>
  <c r="G43" i="35"/>
  <c r="H43" i="35" s="1"/>
  <c r="G42" i="35"/>
  <c r="H42" i="35" s="1"/>
  <c r="AA7" i="39"/>
  <c r="R47" i="39" s="1"/>
  <c r="S7" i="39"/>
  <c r="C80" i="15"/>
  <c r="C79" i="15" s="1"/>
  <c r="C58" i="15"/>
  <c r="C67" i="15" s="1"/>
  <c r="C68" i="15" s="1"/>
  <c r="C71" i="15" s="1"/>
  <c r="Q69" i="15"/>
  <c r="Q68" i="15" s="1"/>
  <c r="C40" i="15"/>
  <c r="Q47" i="15" s="1"/>
  <c r="Q53" i="15" s="1"/>
  <c r="C52" i="11"/>
  <c r="B2" i="11" s="1"/>
  <c r="B3" i="11" s="1"/>
  <c r="Q67" i="15"/>
  <c r="Z2" i="78"/>
  <c r="Z9" i="78" s="1"/>
  <c r="W9" i="78" s="1"/>
  <c r="W10" i="78" s="1"/>
  <c r="Z10" i="78" s="1"/>
  <c r="W8" i="78"/>
  <c r="Z8" i="78" s="1"/>
  <c r="W3" i="78"/>
  <c r="Z3" i="78" s="1"/>
  <c r="W4" i="78"/>
  <c r="Z4" i="78" s="1"/>
  <c r="W5" i="78"/>
  <c r="Z5" i="78" s="1"/>
  <c r="W6" i="78"/>
  <c r="Z6" i="78" s="1"/>
  <c r="J8" i="77"/>
  <c r="G35" i="77"/>
  <c r="D37" i="77"/>
  <c r="R25" i="31"/>
  <c r="R26" i="31"/>
  <c r="E3" i="90"/>
  <c r="V25" i="31"/>
  <c r="S24" i="31"/>
  <c r="Q57" i="67"/>
  <c r="Q62" i="67" s="1"/>
  <c r="Q66" i="67"/>
  <c r="Q75" i="67" s="1"/>
  <c r="B2" i="67"/>
  <c r="B3" i="67"/>
  <c r="E47" i="39" l="1"/>
  <c r="R48" i="39"/>
  <c r="I51" i="39"/>
  <c r="J51" i="39" s="1"/>
  <c r="G52" i="39"/>
  <c r="H52" i="39" s="1"/>
  <c r="G51" i="39"/>
  <c r="H51" i="39" s="1"/>
  <c r="J7" i="40"/>
  <c r="F7" i="40"/>
  <c r="H7" i="40"/>
  <c r="C46" i="15"/>
  <c r="B2" i="15"/>
  <c r="Q65" i="15"/>
  <c r="Q75" i="15" s="1"/>
  <c r="C43" i="15"/>
  <c r="C83" i="15"/>
  <c r="C82" i="15" s="1"/>
  <c r="Q56" i="15"/>
  <c r="Q62" i="15" s="1"/>
  <c r="C56" i="11"/>
  <c r="C57" i="11" s="1"/>
  <c r="V28" i="31"/>
  <c r="E6" i="90"/>
  <c r="E7" i="90"/>
  <c r="V29" i="31"/>
  <c r="V30" i="31"/>
  <c r="E8" i="90"/>
  <c r="H3" i="90"/>
  <c r="G3" i="90"/>
  <c r="V27" i="31"/>
  <c r="S26" i="31"/>
  <c r="E5" i="90"/>
  <c r="E4" i="90"/>
  <c r="V26" i="31"/>
  <c r="W27" i="31" s="1"/>
  <c r="X27" i="31" s="1"/>
  <c r="S25" i="31"/>
  <c r="G37" i="77"/>
  <c r="C38" i="77"/>
  <c r="C39" i="77" s="1"/>
  <c r="J10" i="77"/>
  <c r="E38" i="77"/>
  <c r="E39" i="77" s="1"/>
  <c r="K2" i="78"/>
  <c r="AO6" i="1"/>
  <c r="U7" i="40" l="1"/>
  <c r="AB7" i="40"/>
  <c r="T42" i="40" s="1"/>
  <c r="G42" i="40" s="1"/>
  <c r="E52" i="39"/>
  <c r="F52" i="39" s="1"/>
  <c r="E51" i="39"/>
  <c r="F51" i="39" s="1"/>
  <c r="S7" i="40"/>
  <c r="AA7" i="40"/>
  <c r="R42" i="40" s="1"/>
  <c r="I52" i="39"/>
  <c r="J52" i="39" s="1"/>
  <c r="W7" i="40"/>
  <c r="AC7" i="40"/>
  <c r="V42" i="40" s="1"/>
  <c r="I42" i="40" s="1"/>
  <c r="C48" i="39"/>
  <c r="C47" i="39"/>
  <c r="B6" i="70"/>
  <c r="B2" i="70" s="1"/>
  <c r="B3" i="70" s="1"/>
  <c r="B3" i="15"/>
  <c r="W30" i="31"/>
  <c r="X30" i="31" s="1"/>
  <c r="S22" i="31"/>
  <c r="B20" i="31" s="1"/>
  <c r="B21" i="31" s="1"/>
  <c r="G7" i="90"/>
  <c r="H7" i="90"/>
  <c r="X29" i="78"/>
  <c r="K34" i="78"/>
  <c r="K15" i="78"/>
  <c r="N2" i="78"/>
  <c r="O2" i="78" s="1"/>
  <c r="O54" i="78" s="1"/>
  <c r="N54" i="78" s="1"/>
  <c r="K16" i="78"/>
  <c r="K5" i="78"/>
  <c r="K14" i="78"/>
  <c r="K23" i="78"/>
  <c r="K30" i="78"/>
  <c r="K11" i="78"/>
  <c r="K19" i="78"/>
  <c r="L2" i="78"/>
  <c r="Z21" i="78"/>
  <c r="K29" i="78"/>
  <c r="K8" i="78"/>
  <c r="K17" i="78"/>
  <c r="K4" i="78"/>
  <c r="K9" i="78"/>
  <c r="K24" i="78"/>
  <c r="K26" i="78"/>
  <c r="K28" i="78"/>
  <c r="K35" i="78"/>
  <c r="K21" i="78"/>
  <c r="K13" i="78"/>
  <c r="K22" i="78"/>
  <c r="K27" i="78"/>
  <c r="K10" i="78"/>
  <c r="K6" i="78"/>
  <c r="K18" i="78"/>
  <c r="K20" i="78"/>
  <c r="K31" i="78"/>
  <c r="K38" i="78"/>
  <c r="K12" i="78"/>
  <c r="K36" i="78"/>
  <c r="K25" i="78"/>
  <c r="K32" i="78"/>
  <c r="K33" i="78"/>
  <c r="K3" i="78"/>
  <c r="K7" i="78"/>
  <c r="K37" i="78"/>
  <c r="H5" i="90"/>
  <c r="G5" i="90"/>
  <c r="G8" i="90"/>
  <c r="H8" i="90"/>
  <c r="H6" i="90"/>
  <c r="G6" i="90"/>
  <c r="G4" i="90"/>
  <c r="H4" i="90"/>
  <c r="B62" i="39" l="1"/>
  <c r="F62" i="39" s="1"/>
  <c r="B61" i="39"/>
  <c r="F61" i="39" s="1"/>
  <c r="B57" i="39"/>
  <c r="F57" i="39" s="1"/>
  <c r="B56" i="39"/>
  <c r="F56" i="39" s="1"/>
  <c r="F66" i="39" s="1"/>
  <c r="B2" i="39" s="1"/>
  <c r="B3" i="39" s="1"/>
  <c r="B65" i="39"/>
  <c r="F65" i="39" s="1"/>
  <c r="B63" i="39"/>
  <c r="F63" i="39" s="1"/>
  <c r="B60" i="39"/>
  <c r="F60" i="39" s="1"/>
  <c r="B58" i="39"/>
  <c r="F58" i="39" s="1"/>
  <c r="B64" i="39"/>
  <c r="F64" i="39" s="1"/>
  <c r="B59" i="39"/>
  <c r="F59" i="39" s="1"/>
  <c r="R43" i="40"/>
  <c r="E42" i="40"/>
  <c r="G47" i="40"/>
  <c r="H47" i="40" s="1"/>
  <c r="G46" i="40"/>
  <c r="H46" i="40" s="1"/>
  <c r="I46" i="40"/>
  <c r="J46" i="40" s="1"/>
  <c r="I47" i="40"/>
  <c r="J47" i="40" s="1"/>
  <c r="H12" i="90"/>
  <c r="I12" i="90" s="1"/>
  <c r="R22" i="31"/>
  <c r="G12" i="90"/>
  <c r="F3" i="90" s="1"/>
  <c r="N37" i="78"/>
  <c r="O37" i="78" s="1"/>
  <c r="L37" i="78"/>
  <c r="L32" i="78"/>
  <c r="N32" i="78"/>
  <c r="O32" i="78" s="1"/>
  <c r="N36" i="78"/>
  <c r="O36" i="78" s="1"/>
  <c r="L36" i="78"/>
  <c r="N20" i="78"/>
  <c r="O20" i="78" s="1"/>
  <c r="L20" i="78"/>
  <c r="L27" i="78"/>
  <c r="N27" i="78"/>
  <c r="O27" i="78" s="1"/>
  <c r="L35" i="78"/>
  <c r="N35" i="78"/>
  <c r="O35" i="78" s="1"/>
  <c r="N9" i="78"/>
  <c r="O9" i="78" s="1"/>
  <c r="L9" i="78"/>
  <c r="L7" i="78"/>
  <c r="N7" i="78"/>
  <c r="O7" i="78" s="1"/>
  <c r="N33" i="78"/>
  <c r="O33" i="78" s="1"/>
  <c r="L33" i="78"/>
  <c r="R37" i="78" s="1"/>
  <c r="Q37" i="78" s="1"/>
  <c r="N25" i="78"/>
  <c r="O25" i="78" s="1"/>
  <c r="L25" i="78"/>
  <c r="N12" i="78"/>
  <c r="O12" i="78" s="1"/>
  <c r="L12" i="78"/>
  <c r="R25" i="78" s="1"/>
  <c r="Q25" i="78" s="1"/>
  <c r="L31" i="78"/>
  <c r="N31" i="78"/>
  <c r="O31" i="78" s="1"/>
  <c r="N18" i="78"/>
  <c r="O18" i="78" s="1"/>
  <c r="L18" i="78"/>
  <c r="N10" i="78"/>
  <c r="O10" i="78" s="1"/>
  <c r="L10" i="78"/>
  <c r="N22" i="78"/>
  <c r="O22" i="78" s="1"/>
  <c r="L22" i="78"/>
  <c r="L21" i="78"/>
  <c r="N21" i="78"/>
  <c r="O21" i="78" s="1"/>
  <c r="N28" i="78"/>
  <c r="O28" i="78" s="1"/>
  <c r="L28" i="78"/>
  <c r="N24" i="78"/>
  <c r="O24" i="78" s="1"/>
  <c r="L24" i="78"/>
  <c r="N4" i="78"/>
  <c r="O4" i="78" s="1"/>
  <c r="L4" i="78"/>
  <c r="L8" i="78"/>
  <c r="N8" i="78"/>
  <c r="O8" i="78" s="1"/>
  <c r="AA21" i="78"/>
  <c r="X21" i="78" s="1"/>
  <c r="Z22" i="78"/>
  <c r="AA22" i="78" s="1"/>
  <c r="X22" i="78" s="1"/>
  <c r="N19" i="78"/>
  <c r="O19" i="78" s="1"/>
  <c r="L19" i="78"/>
  <c r="L30" i="78"/>
  <c r="N30" i="78"/>
  <c r="O30" i="78" s="1"/>
  <c r="L14" i="78"/>
  <c r="N14" i="78"/>
  <c r="O14" i="78" s="1"/>
  <c r="N16" i="78"/>
  <c r="O16" i="78" s="1"/>
  <c r="L16" i="78"/>
  <c r="N15" i="78"/>
  <c r="O15" i="78" s="1"/>
  <c r="L15" i="78"/>
  <c r="AC29" i="78"/>
  <c r="AC31" i="78" s="1"/>
  <c r="Z29" i="78"/>
  <c r="Z31" i="78" s="1"/>
  <c r="AA29" i="78"/>
  <c r="AA31" i="78" s="1"/>
  <c r="AB29" i="78"/>
  <c r="AB31" i="78" s="1"/>
  <c r="AD29" i="78"/>
  <c r="AD31" i="78" s="1"/>
  <c r="Y29" i="78"/>
  <c r="Y31" i="78" s="1"/>
  <c r="X31" i="78"/>
  <c r="AF31" i="78" s="1"/>
  <c r="AF32" i="78" s="1"/>
  <c r="N3" i="78"/>
  <c r="O3" i="78" s="1"/>
  <c r="L3" i="78"/>
  <c r="N38" i="78"/>
  <c r="O38" i="78" s="1"/>
  <c r="L38" i="78"/>
  <c r="N6" i="78"/>
  <c r="O6" i="78" s="1"/>
  <c r="L6" i="78"/>
  <c r="N13" i="78"/>
  <c r="O13" i="78" s="1"/>
  <c r="L13" i="78"/>
  <c r="L26" i="78"/>
  <c r="R32" i="78" s="1"/>
  <c r="Q32" i="78" s="1"/>
  <c r="N26" i="78"/>
  <c r="O26" i="78" s="1"/>
  <c r="L17" i="78"/>
  <c r="N17" i="78"/>
  <c r="O17" i="78" s="1"/>
  <c r="N29" i="78"/>
  <c r="O29" i="78" s="1"/>
  <c r="L29" i="78"/>
  <c r="R11" i="78"/>
  <c r="Q11" i="78" s="1"/>
  <c r="R38" i="78"/>
  <c r="L54" i="78"/>
  <c r="K54" i="78" s="1"/>
  <c r="L11" i="78"/>
  <c r="N11" i="78"/>
  <c r="O11" i="78" s="1"/>
  <c r="L23" i="78"/>
  <c r="N23" i="78"/>
  <c r="O23" i="78" s="1"/>
  <c r="N5" i="78"/>
  <c r="O5" i="78" s="1"/>
  <c r="L5" i="78"/>
  <c r="L34" i="78"/>
  <c r="N34" i="78"/>
  <c r="O34" i="78" s="1"/>
  <c r="E46" i="40" l="1"/>
  <c r="F46" i="40" s="1"/>
  <c r="E47" i="40"/>
  <c r="F47" i="40" s="1"/>
  <c r="C42" i="40"/>
  <c r="C43" i="40"/>
  <c r="R55" i="78"/>
  <c r="Q38" i="78"/>
  <c r="B59" i="40" l="1"/>
  <c r="F59" i="40" s="1"/>
  <c r="B51" i="40"/>
  <c r="F51" i="40" s="1"/>
  <c r="B60" i="40"/>
  <c r="F60" i="40" s="1"/>
  <c r="B54" i="40"/>
  <c r="F54" i="40" s="1"/>
  <c r="B58" i="40"/>
  <c r="F58" i="40" s="1"/>
  <c r="B57" i="40"/>
  <c r="F57" i="40" s="1"/>
  <c r="B56" i="40"/>
  <c r="F56" i="40" s="1"/>
  <c r="B55" i="40"/>
  <c r="F55" i="40" s="1"/>
  <c r="B53" i="40"/>
  <c r="F53" i="40" s="1"/>
  <c r="B52" i="40"/>
  <c r="F52" i="40" s="1"/>
  <c r="F61" i="40"/>
  <c r="B2" i="40" s="1"/>
  <c r="B3" i="40" s="1"/>
  <c r="Z15" i="78"/>
  <c r="Q55" i="78"/>
  <c r="Z16" i="78" l="1"/>
  <c r="W16" i="78" s="1"/>
  <c r="W15" i="78"/>
  <c r="B47" i="72" l="1"/>
  <c r="D4" i="52"/>
  <c r="B20" i="72"/>
  <c r="C73" i="9"/>
  <c r="C78" i="9"/>
  <c r="M48" i="9"/>
  <c r="N61" i="9"/>
  <c r="N59" i="9"/>
  <c r="N60" i="9"/>
  <c r="H5" i="52"/>
  <c r="H119" i="9"/>
  <c r="B53" i="72"/>
  <c r="F5" i="52"/>
  <c r="F119" i="9"/>
  <c r="D9" i="52"/>
  <c r="D123" i="9"/>
  <c r="D5" i="53"/>
  <c r="D6" i="53"/>
  <c r="B22" i="72"/>
  <c r="B49" i="72"/>
  <c r="D5" i="52"/>
  <c r="D118" i="9"/>
  <c r="D119" i="9"/>
  <c r="B30" i="72"/>
  <c r="P57" i="9"/>
  <c r="D55" i="9"/>
  <c r="M53" i="9"/>
  <c r="N57" i="9"/>
  <c r="N58" i="9"/>
  <c r="H102" i="9"/>
  <c r="D7" i="53"/>
  <c r="B21" i="72"/>
  <c r="C81" i="9"/>
  <c r="M55" i="9"/>
  <c r="D59" i="9"/>
  <c r="D122" i="9"/>
  <c r="D8" i="52"/>
  <c r="C72" i="9"/>
  <c r="C79" i="9"/>
  <c r="C80" i="9"/>
  <c r="E80" i="9"/>
  <c r="E81" i="9"/>
  <c r="C86" i="9"/>
  <c r="C93" i="9"/>
  <c r="H108" i="9"/>
  <c r="D15" i="53"/>
  <c r="B31" i="72"/>
  <c r="D54" i="9"/>
  <c r="C64" i="9"/>
  <c r="C63" i="9"/>
  <c r="C67" i="9"/>
  <c r="C68" i="9"/>
  <c r="F4" i="52"/>
  <c r="B51" i="72"/>
  <c r="E118" i="9"/>
  <c r="E4" i="52"/>
  <c r="B48" i="72"/>
  <c r="D52" i="9"/>
  <c r="D53" i="9"/>
  <c r="C96" i="9"/>
  <c r="E96" i="9"/>
  <c r="E97" i="9"/>
  <c r="F118" i="9"/>
  <c r="G118" i="9"/>
  <c r="G4" i="52"/>
  <c r="B52" i="72"/>
  <c r="D45" i="9"/>
  <c r="C85" i="9"/>
  <c r="C95" i="9"/>
  <c r="C97" i="9"/>
  <c r="D58" i="9"/>
  <c r="D56" i="9"/>
  <c r="M54" i="9"/>
  <c r="H101" i="9"/>
  <c r="H107" i="9"/>
  <c r="D13" i="53"/>
  <c r="D14" i="53"/>
  <c r="B32" i="72"/>
  <c r="C104" i="9"/>
  <c r="H4" i="52"/>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<sst xmlns="http://schemas.openxmlformats.org/spreadsheetml/2006/main" count="9072" uniqueCount="2910">
  <si>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</si>
  <si>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</si>
  <si>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</si>
  <si>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</si>
  <si>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</si>
  <si>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</si>
  <si>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</si>
  <si>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</si>
  <si>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</si>
  <si>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</si>
  <si>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</si>
  <si>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</si>
  <si>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</si>
  <si>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</si>
  <si>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</si>
  <si>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</si>
  <si>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</si>
  <si>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</si>
  <si>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</si>
  <si>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</si>
  <si>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</si>
  <si>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</si>
  <si>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</si>
  <si>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</si>
  <si>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</si>
  <si>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</si>
  <si>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</si>
  <si>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</si>
  <si>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</si>
  <si>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</si>
  <si>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</si>
  <si>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</si>
  <si>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</si>
  <si>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</si>
  <si>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</si>
  <si>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</si>
  <si>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</si>
  <si>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</si>
  <si>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</si>
  <si>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</si>
  <si>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</si>
  <si>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</si>
  <si>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</si>
  <si>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</si>
  <si>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</si>
  <si>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</si>
  <si>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</si>
  <si>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</si>
  <si>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</si>
  <si>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</si>
  <si>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</si>
  <si>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</si>
  <si>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</si>
  <si>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</si>
  <si>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</si>
  <si>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</si>
  <si>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</si>
  <si>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</si>
  <si>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</si>
  <si>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</si>
  <si>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</si>
  <si>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</si>
  <si>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</si>
  <si>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</si>
  <si>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</si>
  <si>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</si>
  <si>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</si>
  <si>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</si>
  <si>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</si>
  <si>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</si>
  <si>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</si>
  <si>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</si>
  <si>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</si>
  <si>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</si>
  <si>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</si>
  <si>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</si>
  <si>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</si>
  <si>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</si>
  <si>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</si>
  <si>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</si>
  <si>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</si>
  <si>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</si>
  <si>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</si>
  <si>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</si>
  <si>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</si>
  <si>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</si>
  <si>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</si>
  <si>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</si>
  <si>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</si>
  <si>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</si>
  <si>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</si>
  <si>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</si>
  <si>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</si>
  <si>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</si>
  <si>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</si>
  <si>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</si>
  <si>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</si>
  <si>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</si>
  <si>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</si>
  <si>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</si>
  <si>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</si>
  <si>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</si>
  <si>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</si>
  <si>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</si>
  <si>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</si>
  <si>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</si>
  <si>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</si>
  <si>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</si>
  <si>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</si>
  <si>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</si>
  <si>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</si>
  <si>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</si>
  <si>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</si>
  <si>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</si>
  <si>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</si>
  <si>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</si>
  <si>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</si>
  <si>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</si>
  <si>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</si>
  <si>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</si>
  <si>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</si>
  <si>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</si>
  <si>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</si>
  <si>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</si>
  <si>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</si>
  <si>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</si>
  <si>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</si>
  <si>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</si>
  <si>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</si>
  <si>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</si>
  <si>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</si>
  <si>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</si>
  <si>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</si>
  <si>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</si>
  <si>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</si>
  <si>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</si>
  <si>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</si>
  <si>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</si>
  <si>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</si>
  <si>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</si>
  <si>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</si>
  <si>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</si>
  <si>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</si>
  <si>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</si>
  <si>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</si>
  <si>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</si>
  <si>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</si>
  <si>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</si>
  <si>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</si>
  <si>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</si>
  <si>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</si>
  <si>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</si>
  <si>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</si>
  <si>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</si>
  <si>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</si>
  <si>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</si>
  <si>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</si>
  <si>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</si>
  <si>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</si>
  <si>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</si>
  <si>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</si>
  <si>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</si>
  <si>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</si>
  <si>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</si>
  <si>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</si>
  <si>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</si>
  <si>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</si>
  <si>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</si>
  <si>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</si>
  <si>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</si>
  <si>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</si>
  <si>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</si>
  <si>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</si>
  <si>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</si>
  <si>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</si>
  <si>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</si>
  <si>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</si>
  <si>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</si>
  <si>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</si>
  <si>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</si>
  <si>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</si>
  <si>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</si>
  <si>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</si>
  <si>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</si>
  <si>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</si>
  <si>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</si>
  <si>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</si>
  <si>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</si>
  <si>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</si>
  <si>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</si>
  <si>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</si>
  <si>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</si>
  <si>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</si>
  <si>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</si>
  <si>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</si>
  <si>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</si>
  <si>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</si>
  <si>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</si>
  <si>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</si>
  <si>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</si>
  <si>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</si>
  <si>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</si>
  <si>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</si>
  <si>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</si>
  <si>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</si>
  <si>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</si>
  <si>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</si>
  <si>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</si>
  <si>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</si>
  <si>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</si>
  <si>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</si>
  <si>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</si>
  <si>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</si>
  <si>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</si>
  <si>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</si>
  <si>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</si>
  <si>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</si>
  <si>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</si>
  <si>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</si>
  <si>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</si>
  <si>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</si>
  <si>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</si>
  <si>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</si>
  <si>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</si>
  <si>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</si>
  <si>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</si>
  <si>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</si>
  <si>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</si>
  <si>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</si>
  <si>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</si>
  <si>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</si>
  <si>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</si>
  <si>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</si>
  <si>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</si>
  <si>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</si>
  <si>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</si>
  <si>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</si>
  <si>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</si>
  <si>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</si>
  <si>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</si>
  <si>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</si>
  <si>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</si>
  <si>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</si>
  <si>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</si>
  <si>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</si>
  <si>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</si>
  <si>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</si>
  <si>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</si>
  <si>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</si>
  <si>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</si>
  <si>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</si>
  <si>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</si>
  <si>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</si>
  <si>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</si>
  <si>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</si>
  <si>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</si>
  <si>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</si>
  <si>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</si>
  <si>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</si>
  <si>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</si>
  <si>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</si>
  <si>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</si>
  <si>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</si>
  <si>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</si>
  <si>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</si>
  <si>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</si>
  <si>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</si>
  <si>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</si>
  <si>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</si>
  <si>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</si>
  <si>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</si>
  <si>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</si>
  <si>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</si>
  <si>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</si>
  <si>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</si>
  <si>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</si>
  <si>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</si>
  <si>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</si>
  <si>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</si>
  <si>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</si>
  <si>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</si>
  <si>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</si>
  <si>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</si>
  <si>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</si>
  <si>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</si>
  <si>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</si>
  <si>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</si>
  <si>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</si>
  <si>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</si>
  <si>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</si>
  <si>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</si>
  <si>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</si>
  <si>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</si>
  <si>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</si>
  <si>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</si>
  <si>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</si>
  <si>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</si>
  <si>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</si>
  <si>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</si>
  <si>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</si>
  <si>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</si>
  <si>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</si>
  <si>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</si>
  <si>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</si>
  <si>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</si>
  <si>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</si>
  <si>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</si>
  <si>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</si>
  <si>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</si>
  <si>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</si>
  <si>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</si>
  <si>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</si>
  <si>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</si>
  <si>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</si>
  <si>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</si>
  <si>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</si>
  <si>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</si>
  <si>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</si>
  <si>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</si>
  <si>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</si>
  <si>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</si>
  <si>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</si>
  <si>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</si>
  <si>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</si>
  <si>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</si>
  <si>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</si>
  <si>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</si>
  <si>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</si>
  <si>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</si>
  <si>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</si>
  <si>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</si>
  <si>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</si>
  <si>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</si>
  <si>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</si>
  <si>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</si>
  <si>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</si>
  <si>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</si>
  <si>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</si>
  <si>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</si>
  <si>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</si>
  <si>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</si>
  <si>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</si>
  <si>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</si>
  <si>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</si>
  <si>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</si>
  <si>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</si>
  <si>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</si>
  <si>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</si>
  <si>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</si>
  <si>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</si>
  <si>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</si>
  <si>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</si>
  <si>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</si>
  <si>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</si>
  <si>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</si>
  <si>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</si>
  <si>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</si>
  <si>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</si>
  <si>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</si>
  <si>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</si>
  <si>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</si>
  <si>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</si>
  <si>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</si>
  <si>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</si>
  <si>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</si>
  <si>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</si>
  <si>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</si>
  <si>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</si>
  <si>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</si>
  <si>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</si>
  <si>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</si>
  <si>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</si>
  <si>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</si>
  <si>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</si>
  <si>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</si>
  <si>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</si>
  <si>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</si>
  <si>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</si>
  <si>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</si>
  <si>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</si>
  <si>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</si>
  <si>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</si>
  <si>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</si>
  <si>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</si>
  <si>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</si>
  <si>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</si>
  <si>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</si>
  <si>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</si>
  <si>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</si>
  <si>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</si>
  <si>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</si>
  <si>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</si>
  <si>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</si>
  <si>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</si>
  <si>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</si>
  <si>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</si>
  <si>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</si>
  <si>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</si>
  <si>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</si>
  <si>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</si>
  <si>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</si>
  <si>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</si>
  <si>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</si>
  <si>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</si>
  <si>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</si>
  <si>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</si>
  <si>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</si>
  <si>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</si>
  <si>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</si>
  <si>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</si>
  <si>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</si>
  <si>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</si>
  <si>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</si>
  <si>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</si>
  <si>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</si>
  <si>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</si>
  <si>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</si>
  <si>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</si>
  <si>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</si>
  <si>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</si>
  <si>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</si>
  <si>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</si>
  <si>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</si>
  <si>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</si>
  <si>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</si>
  <si>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</si>
  <si>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</si>
  <si>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</si>
  <si>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</si>
  <si>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</si>
  <si>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</si>
  <si>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</si>
  <si>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</si>
  <si>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</si>
  <si>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</si>
  <si>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</si>
  <si>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</si>
  <si>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</si>
  <si>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</si>
  <si>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</si>
  <si>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</si>
  <si>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</si>
  <si>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</si>
  <si>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</si>
  <si>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</si>
  <si>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</si>
  <si>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</si>
  <si>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</si>
  <si>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</si>
  <si>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</si>
  <si>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</si>
  <si>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</si>
  <si>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</si>
  <si>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</si>
  <si>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</si>
  <si>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</si>
  <si>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</si>
  <si>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</si>
  <si>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</si>
  <si>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</si>
  <si>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</si>
  <si>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</si>
  <si>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</si>
  <si>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</si>
  <si>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</si>
  <si>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</si>
  <si>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</si>
  <si>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</si>
  <si>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</si>
  <si>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</si>
  <si>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</si>
  <si>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</si>
  <si>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</si>
  <si>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</si>
  <si>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</si>
  <si>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</si>
  <si>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</si>
  <si>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</si>
  <si>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</si>
  <si>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</si>
  <si>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</si>
  <si>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</si>
  <si>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</si>
  <si>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</si>
  <si>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</si>
  <si>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</si>
  <si>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</si>
  <si>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</si>
  <si>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</si>
  <si>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</si>
  <si>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</si>
  <si>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</si>
  <si>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</si>
  <si>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</si>
  <si>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</si>
  <si>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</si>
  <si>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</si>
  <si>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</si>
  <si>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</si>
  <si>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</si>
  <si>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</si>
  <si>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</si>
  <si>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</si>
  <si>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</si>
  <si>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</si>
  <si>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</si>
  <si>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</si>
  <si>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</si>
  <si>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</si>
  <si>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</si>
  <si>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</si>
  <si>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</si>
  <si>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</si>
  <si>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</si>
  <si>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</si>
  <si>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</si>
  <si>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</si>
  <si>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</si>
  <si>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</si>
  <si>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</si>
  <si>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</si>
  <si>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</si>
  <si>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</si>
  <si>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</si>
  <si>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</si>
  <si>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</si>
  <si>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</si>
  <si>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</si>
  <si>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</si>
  <si>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</si>
  <si>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</si>
  <si>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</si>
  <si>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</si>
  <si>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</si>
  <si>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</si>
  <si>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</si>
  <si>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</si>
  <si>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</si>
  <si>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</si>
  <si>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</si>
  <si>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</si>
  <si>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</si>
  <si>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</si>
  <si>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</si>
  <si>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</si>
  <si>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</si>
  <si>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</si>
  <si>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</si>
  <si>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</si>
  <si>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</si>
  <si>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</si>
  <si>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</si>
  <si>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</si>
  <si>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</si>
  <si>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</si>
  <si>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</si>
  <si>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</si>
  <si>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</si>
  <si>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</si>
  <si>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</si>
  <si>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</si>
  <si>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</si>
  <si>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</si>
  <si>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</si>
  <si>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</si>
  <si>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</si>
  <si>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</si>
  <si>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</si>
  <si>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</si>
  <si>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</si>
  <si>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</si>
  <si>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</si>
  <si>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</si>
  <si>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</si>
  <si>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</si>
  <si>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</si>
  <si>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</si>
  <si>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</si>
  <si>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</si>
  <si>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</si>
  <si>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</si>
  <si>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</si>
  <si>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</si>
  <si>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</si>
  <si>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</si>
  <si>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</si>
  <si>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</si>
  <si>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</si>
  <si>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</si>
  <si>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</si>
  <si>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</si>
  <si>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</si>
  <si>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</si>
  <si>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</si>
  <si>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</si>
  <si>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</si>
  <si>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</si>
  <si>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</si>
  <si>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</si>
  <si>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</si>
  <si>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</si>
  <si>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</si>
  <si>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</si>
  <si>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</si>
  <si>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</si>
  <si>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</si>
  <si>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</si>
  <si>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</si>
  <si>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</si>
  <si>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</si>
  <si>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</si>
  <si>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</si>
  <si>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</si>
  <si>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</si>
  <si>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</si>
  <si>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</si>
  <si>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</si>
  <si>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</si>
  <si>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</si>
  <si>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</si>
  <si>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</si>
  <si>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</si>
  <si>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</si>
  <si>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</si>
  <si>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</si>
  <si>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</si>
  <si>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</si>
  <si>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</si>
  <si>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</si>
  <si>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</si>
  <si>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</si>
  <si>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</si>
  <si>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</si>
  <si>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</si>
  <si>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</si>
  <si>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</si>
  <si>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</si>
  <si>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</si>
  <si>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</si>
  <si>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</si>
  <si>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</si>
  <si>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</si>
  <si>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</si>
  <si>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</si>
  <si>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</si>
  <si>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</si>
  <si>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</si>
  <si>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</si>
  <si>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</si>
  <si>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</si>
  <si>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</si>
  <si>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</si>
  <si>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</si>
  <si>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</si>
  <si>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</si>
  <si>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</si>
  <si>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</si>
  <si>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</si>
  <si>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</si>
  <si>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</si>
  <si>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</si>
  <si>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</si>
  <si>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</si>
  <si>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</si>
  <si>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</si>
  <si>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</si>
  <si>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</si>
  <si>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</si>
  <si>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</si>
  <si>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</si>
  <si>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</si>
  <si>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</si>
  <si>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</si>
  <si>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</si>
  <si>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</si>
  <si>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</si>
  <si>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</si>
  <si>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</si>
  <si>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</si>
  <si>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</si>
  <si>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</si>
  <si>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</si>
  <si>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</si>
  <si>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</si>
  <si>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</si>
  <si>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</si>
  <si>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</si>
  <si>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</si>
  <si>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</si>
  <si>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</si>
  <si>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</si>
  <si>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</si>
  <si>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</si>
  <si>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</si>
  <si>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</si>
  <si>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</si>
  <si>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</si>
  <si>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</si>
  <si>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</si>
  <si>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</si>
  <si>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</si>
  <si>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</si>
  <si>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</si>
  <si>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</si>
  <si>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</si>
  <si>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</si>
  <si>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</si>
  <si>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</si>
  <si>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</si>
  <si>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</si>
  <si>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</si>
  <si>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</si>
  <si>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</si>
  <si>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</si>
  <si>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</si>
  <si>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</si>
  <si>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</si>
  <si>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</si>
  <si>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</si>
  <si>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</si>
  <si>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</si>
  <si>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</si>
  <si>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</si>
  <si>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</si>
  <si>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</si>
  <si>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</si>
  <si>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</si>
  <si>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</si>
  <si>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</si>
  <si>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</si>
  <si>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</si>
  <si>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</si>
  <si>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</si>
  <si>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</si>
  <si>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</si>
  <si>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</si>
  <si>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</si>
  <si>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</si>
  <si>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</si>
  <si>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</si>
  <si>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</si>
  <si>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</si>
  <si>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</si>
  <si>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</si>
  <si>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</si>
  <si>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</si>
  <si>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</si>
  <si>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</si>
  <si>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</si>
  <si>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</si>
  <si>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</si>
  <si>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</si>
  <si>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</si>
  <si>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</si>
  <si>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</si>
  <si>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</si>
  <si>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</si>
  <si>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</si>
  <si>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</si>
  <si>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</si>
  <si>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</si>
  <si>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</si>
  <si>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</si>
  <si>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</si>
  <si>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</si>
  <si>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</si>
  <si>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</si>
  <si>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</si>
  <si>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</si>
  <si>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</si>
  <si>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</si>
  <si>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</si>
  <si>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</si>
  <si>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</si>
  <si>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</si>
  <si>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</si>
  <si>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</si>
  <si>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</si>
  <si>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</si>
  <si>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</si>
  <si>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</si>
  <si>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</si>
  <si>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</si>
  <si>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</si>
  <si>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</si>
  <si>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</si>
  <si>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</si>
  <si>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</si>
  <si>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</si>
  <si>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</si>
  <si>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</si>
  <si>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</si>
  <si>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</si>
  <si>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</si>
  <si>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</si>
  <si>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</si>
  <si>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</si>
  <si>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</si>
  <si>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</si>
  <si>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</si>
  <si>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</si>
  <si>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</si>
  <si>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</si>
  <si>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</si>
  <si>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</si>
  <si>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</si>
  <si>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</si>
  <si>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</si>
  <si>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</si>
  <si>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</si>
  <si>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</si>
  <si>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</si>
  <si>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</si>
  <si>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</si>
  <si>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</si>
  <si>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</si>
  <si>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</si>
  <si>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</si>
  <si>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</si>
  <si>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</si>
  <si>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</si>
  <si>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</si>
  <si>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</si>
  <si>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</si>
  <si>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</si>
  <si>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</si>
  <si>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</si>
  <si>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</si>
  <si>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</si>
  <si>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</si>
  <si>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</si>
  <si>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</si>
  <si>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</si>
  <si>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</si>
  <si>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</si>
  <si>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</si>
  <si>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</si>
  <si>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</si>
  <si>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</si>
  <si>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</si>
  <si>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</si>
  <si>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</si>
  <si>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</si>
  <si>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</si>
  <si>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</si>
  <si>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</si>
  <si>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</si>
  <si>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</si>
  <si>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</si>
  <si>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</si>
  <si>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</si>
  <si>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</si>
  <si>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</si>
  <si>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</si>
  <si>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</si>
  <si>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</si>
  <si>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</si>
  <si>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</si>
  <si>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</si>
  <si>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</si>
  <si>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</si>
  <si>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</si>
  <si>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</si>
  <si>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</si>
  <si>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</si>
  <si>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</si>
  <si>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</si>
  <si>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</si>
  <si>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</si>
  <si>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</si>
  <si>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</si>
  <si>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</si>
  <si>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</si>
  <si>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</si>
  <si>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</si>
  <si>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</si>
  <si>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</si>
  <si>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</si>
  <si>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</si>
  <si>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</si>
  <si>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</si>
  <si>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</si>
  <si>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</si>
  <si>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</si>
  <si>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</si>
  <si>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</si>
  <si>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</si>
  <si>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</si>
  <si>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</si>
  <si>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</si>
  <si>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</si>
  <si>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</si>
  <si>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</si>
  <si>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</si>
  <si>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</si>
  <si>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</si>
  <si>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</si>
  <si>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</si>
  <si>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</si>
  <si>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</si>
  <si>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</si>
  <si>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</si>
  <si>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</si>
  <si>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</si>
  <si>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</si>
  <si>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</si>
  <si>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</si>
  <si>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</si>
  <si>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</si>
  <si>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</si>
  <si>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</si>
  <si>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</si>
  <si>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</si>
  <si>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</si>
  <si>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</si>
  <si>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</si>
  <si>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</si>
  <si>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</si>
  <si>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</si>
  <si>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</si>
  <si>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</si>
  <si>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</si>
  <si>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</si>
  <si>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</si>
  <si>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</si>
  <si>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</si>
  <si>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</si>
  <si>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</si>
  <si>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</si>
  <si>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</si>
  <si>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</si>
  <si>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</si>
  <si>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</si>
  <si>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</si>
  <si>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</si>
  <si>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</si>
  <si>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</si>
  <si>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</si>
  <si>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</si>
  <si>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</si>
  <si>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</si>
  <si>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</si>
  <si>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</si>
  <si>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</si>
  <si>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</si>
  <si>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</si>
  <si>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</si>
  <si>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</si>
  <si>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</si>
  <si>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</si>
  <si>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</si>
  <si>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</si>
  <si>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</si>
  <si>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</si>
  <si>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</si>
  <si>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</si>
  <si>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</si>
  <si>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</si>
  <si>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</si>
  <si>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</si>
  <si>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</si>
  <si>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</si>
  <si>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</si>
  <si>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</si>
  <si>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</si>
  <si>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</si>
  <si>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</si>
  <si>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</si>
  <si>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</si>
  <si>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</si>
  <si>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</si>
  <si>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</si>
  <si>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</si>
  <si>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</si>
  <si>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</si>
  <si>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</si>
  <si>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</si>
  <si>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</si>
  <si>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</si>
  <si>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</si>
  <si>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</si>
  <si>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</si>
  <si>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</si>
  <si>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</si>
  <si>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</si>
  <si>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</si>
  <si>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</si>
  <si>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</si>
  <si>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</si>
  <si>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</si>
  <si>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</si>
  <si>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</si>
  <si>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</si>
  <si>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</si>
  <si>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</si>
  <si>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</si>
  <si>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</si>
  <si>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</si>
  <si>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</si>
  <si>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</si>
  <si>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</si>
  <si>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</si>
  <si>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</si>
  <si>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</si>
  <si>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</si>
  <si>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</si>
  <si>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</si>
  <si>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</si>
  <si>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</si>
  <si>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</si>
  <si>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</si>
  <si>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</si>
  <si>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</si>
  <si>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</si>
  <si>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</si>
  <si>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</si>
  <si>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</si>
  <si>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</si>
  <si>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</si>
  <si>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</si>
  <si>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</si>
  <si>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</si>
  <si>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</si>
  <si>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</si>
  <si>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</si>
  <si>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</si>
  <si>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</si>
  <si>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</si>
  <si>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</si>
  <si>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</si>
  <si>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</si>
  <si>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</si>
  <si>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</si>
  <si>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</si>
  <si>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</si>
  <si>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</si>
  <si>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</si>
  <si>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</si>
  <si>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</si>
  <si>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</si>
  <si>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</si>
  <si>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</si>
  <si>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</si>
  <si>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</si>
  <si>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</si>
  <si>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</si>
  <si>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</si>
  <si>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</si>
  <si>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</si>
  <si>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</si>
  <si>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</si>
  <si>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</si>
  <si>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</si>
  <si>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</si>
  <si>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</si>
  <si>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</si>
  <si>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</si>
  <si>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</si>
  <si>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</si>
  <si>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</si>
  <si>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</si>
  <si>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</si>
  <si>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</si>
  <si>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</si>
  <si>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</si>
  <si>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</si>
  <si>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</si>
  <si>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</si>
  <si>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</si>
  <si>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</si>
  <si>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</si>
  <si>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</si>
  <si>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</si>
  <si>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</si>
  <si>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</si>
  <si>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</si>
  <si>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</si>
  <si>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</si>
  <si>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</si>
  <si>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</si>
  <si>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</si>
  <si>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</si>
  <si>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</si>
  <si>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</si>
  <si>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</si>
  <si>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</si>
  <si>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</si>
  <si>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</si>
  <si>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</si>
  <si>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</si>
  <si>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</si>
  <si>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</si>
  <si>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</si>
  <si>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</si>
  <si>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</si>
  <si>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</si>
  <si>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</si>
  <si>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</si>
  <si>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</si>
  <si>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</si>
  <si>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</si>
  <si>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</si>
  <si>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</si>
  <si>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</si>
  <si>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</si>
  <si>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</si>
  <si>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</si>
  <si>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</si>
  <si>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</si>
  <si>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</si>
  <si>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</si>
  <si>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</si>
  <si>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</si>
  <si>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</si>
  <si>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</si>
  <si>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</si>
  <si>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</si>
  <si>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</si>
  <si>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</si>
  <si>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</si>
  <si>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</si>
  <si>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</si>
  <si>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</si>
  <si>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</si>
  <si>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</si>
  <si>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</si>
  <si>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</si>
  <si>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</si>
  <si>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</si>
  <si>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</si>
  <si>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</si>
  <si>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</si>
  <si>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</si>
  <si>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</si>
  <si>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</si>
  <si>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</si>
  <si>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</si>
  <si>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</si>
  <si>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</si>
  <si>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</si>
  <si>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</si>
  <si>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</si>
  <si>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</si>
  <si>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</si>
  <si>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</si>
  <si>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</si>
  <si>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</si>
  <si>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</si>
  <si>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</si>
  <si>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</si>
  <si>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</si>
  <si>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</si>
  <si>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</si>
  <si>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</si>
  <si>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</si>
  <si>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</si>
  <si>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</si>
  <si>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</si>
  <si>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</si>
  <si>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</si>
  <si>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</si>
  <si>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</si>
  <si>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</si>
  <si>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</si>
  <si>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</si>
  <si>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</si>
  <si>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</si>
  <si>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</si>
  <si>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</si>
  <si>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</si>
  <si>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</si>
  <si>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</si>
  <si>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</si>
  <si>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</si>
  <si>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</si>
  <si>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</si>
  <si>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</si>
  <si>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</si>
  <si>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</si>
  <si>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</si>
  <si>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</si>
  <si>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</si>
  <si>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</si>
  <si>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</si>
  <si>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</si>
  <si>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</si>
  <si>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</si>
  <si>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</si>
  <si>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</si>
  <si>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</si>
  <si>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</si>
  <si>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</si>
  <si>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</si>
  <si>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</si>
  <si>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</si>
  <si>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</si>
  <si>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</si>
  <si>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</si>
  <si>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</si>
  <si>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</si>
  <si>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</si>
  <si>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</si>
  <si>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</si>
  <si>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</si>
  <si>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</si>
  <si>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</si>
  <si>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</si>
  <si>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</si>
  <si>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</si>
  <si>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</si>
  <si>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</si>
  <si>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</si>
  <si>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</si>
  <si>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</si>
  <si>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</si>
  <si>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</si>
  <si>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</si>
  <si>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</si>
  <si>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</si>
  <si>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</si>
  <si>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</si>
  <si>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</si>
  <si>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</si>
  <si>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</si>
  <si>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</si>
  <si>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</si>
  <si>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</si>
  <si>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</si>
  <si>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</si>
  <si>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</si>
  <si>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</si>
  <si>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</si>
  <si>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</si>
  <si>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</si>
  <si>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</si>
  <si>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</si>
  <si>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</si>
  <si>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</si>
  <si>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</si>
  <si>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</si>
  <si>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</si>
  <si>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</si>
  <si>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</si>
  <si>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</si>
  <si>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</si>
  <si>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</si>
  <si>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</si>
  <si>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</si>
  <si>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</si>
  <si>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</si>
  <si>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</si>
  <si>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</si>
  <si>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</si>
  <si>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</si>
  <si>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</si>
  <si>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</si>
  <si>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</si>
  <si>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</si>
  <si>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</si>
  <si>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</si>
  <si>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</si>
  <si>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</si>
  <si>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</si>
  <si>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</si>
  <si>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</si>
  <si>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</si>
  <si>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</si>
  <si>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</si>
  <si>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</si>
  <si>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</si>
  <si>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</si>
  <si>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</si>
  <si>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</si>
  <si>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</si>
  <si>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</si>
  <si>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</si>
  <si>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</si>
  <si>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</si>
  <si>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</si>
  <si>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</si>
  <si>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</si>
  <si>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</si>
  <si>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</si>
  <si>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</si>
  <si>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</si>
  <si>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</si>
  <si>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</si>
  <si>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</si>
  <si>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</si>
  <si>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</si>
  <si>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</si>
  <si>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</si>
  <si>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</si>
  <si>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</si>
  <si>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</si>
  <si>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</si>
  <si>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</si>
  <si>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</si>
  <si>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</si>
  <si>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</si>
  <si>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</si>
  <si>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</si>
  <si>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</si>
  <si>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</si>
  <si>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</si>
  <si>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</si>
  <si>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</si>
  <si>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</si>
  <si>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</si>
  <si>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</si>
  <si>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</si>
  <si>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</si>
  <si>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</si>
  <si>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</si>
  <si>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</si>
  <si>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</si>
  <si>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</si>
  <si>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</si>
  <si>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</si>
  <si>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</si>
  <si>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</si>
  <si>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</si>
  <si>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</si>
  <si>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</si>
  <si>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</si>
  <si>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</si>
  <si>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</si>
  <si>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</si>
  <si>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</si>
  <si>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</si>
  <si>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</si>
  <si>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</si>
  <si>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</si>
  <si>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</si>
  <si>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</si>
  <si>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</si>
  <si>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</si>
  <si>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</si>
  <si>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</si>
  <si>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</si>
  <si>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</si>
  <si>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</si>
  <si>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</si>
  <si>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</si>
  <si>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</si>
  <si>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</si>
  <si>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</si>
  <si>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</si>
  <si>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</si>
  <si>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</si>
  <si>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</si>
  <si>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</si>
  <si>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</si>
  <si>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</si>
  <si>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</si>
  <si>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</si>
  <si>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</si>
  <si>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</si>
  <si>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</si>
  <si>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</si>
  <si>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</si>
  <si>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</si>
  <si>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</si>
  <si>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</si>
  <si>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</si>
  <si>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</si>
  <si>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</si>
  <si>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</si>
  <si>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</si>
  <si>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</si>
  <si>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</si>
  <si>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</si>
  <si>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</si>
  <si>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</si>
  <si>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</si>
  <si>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</si>
  <si>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</si>
  <si>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</si>
  <si>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</si>
  <si>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</si>
  <si>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</si>
  <si>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</si>
  <si>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</si>
  <si>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</si>
  <si>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</si>
  <si>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</si>
  <si>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</si>
  <si>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</si>
  <si>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</si>
  <si>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</si>
  <si>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</si>
  <si>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</si>
  <si>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</si>
  <si>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</si>
  <si>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</si>
  <si>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</si>
  <si>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</si>
  <si>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</si>
  <si>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</si>
  <si>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</si>
  <si>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</si>
  <si>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</si>
  <si>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</si>
  <si>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</si>
  <si>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</si>
  <si>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</si>
  <si>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</si>
  <si>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</si>
  <si>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</si>
  <si>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</si>
  <si>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</si>
  <si>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</si>
  <si>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</si>
  <si>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</si>
  <si>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</si>
  <si>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</si>
  <si>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</si>
  <si>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</si>
  <si>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</si>
  <si>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</si>
  <si>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</si>
  <si>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</si>
  <si>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</si>
  <si>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</si>
  <si>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</si>
  <si>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</si>
  <si>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</si>
  <si>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</si>
  <si>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</si>
  <si>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</si>
  <si>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</si>
  <si>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</si>
  <si>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</si>
  <si>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</si>
  <si>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</si>
  <si>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</si>
  <si>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</si>
  <si>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</si>
  <si>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</si>
  <si>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</si>
  <si>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</si>
  <si>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</si>
  <si>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</si>
  <si>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</si>
  <si>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</si>
  <si>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</si>
  <si>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</si>
  <si>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</si>
  <si>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</si>
  <si>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</si>
  <si>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</si>
  <si>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</si>
  <si>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</si>
  <si>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</si>
  <si>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</si>
  <si>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</si>
  <si>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</si>
  <si>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</si>
  <si>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</si>
  <si>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</si>
  <si>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</si>
  <si>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</si>
  <si>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</si>
  <si>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</si>
  <si>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</si>
  <si>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</si>
  <si>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</si>
  <si>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</si>
  <si>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</si>
  <si>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</si>
  <si>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</si>
  <si>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</si>
  <si>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</si>
  <si>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</si>
  <si>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</si>
  <si>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</si>
  <si>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</si>
  <si>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</si>
  <si>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</si>
  <si>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</si>
  <si>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</si>
  <si>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</si>
  <si>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</si>
  <si>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</si>
  <si>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</si>
  <si>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</si>
  <si>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</si>
  <si>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</si>
  <si>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</si>
  <si>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</si>
  <si>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</si>
  <si>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</si>
  <si>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</si>
  <si>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</si>
  <si>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</si>
  <si>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</si>
  <si>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</si>
  <si>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</si>
  <si>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</si>
  <si>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</si>
  <si>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</si>
  <si>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</si>
  <si>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</si>
  <si>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</si>
  <si>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</si>
  <si>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</si>
  <si>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</si>
  <si>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</si>
  <si>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</si>
  <si>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</si>
  <si>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</si>
  <si>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</si>
  <si>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</si>
  <si>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</si>
  <si>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</si>
  <si>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</si>
  <si>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</si>
  <si>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</si>
  <si>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</si>
  <si>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</si>
  <si>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</si>
  <si>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</si>
  <si>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</si>
  <si>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</si>
  <si>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</si>
  <si>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</si>
  <si>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</si>
  <si>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</si>
  <si>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</si>
  <si>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</si>
  <si>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</si>
  <si>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</si>
  <si>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</si>
  <si>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</si>
  <si>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</si>
  <si>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</si>
  <si>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</si>
  <si>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</si>
  <si>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</si>
  <si>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</si>
  <si>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</si>
  <si>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</si>
  <si>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</si>
  <si>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</si>
  <si>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</si>
  <si>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</si>
  <si>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</si>
  <si>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</si>
  <si>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</si>
  <si>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</si>
  <si>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</si>
  <si>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</si>
  <si>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</si>
  <si>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</si>
  <si>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</si>
  <si>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</si>
  <si>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</si>
  <si>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</si>
  <si>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</si>
  <si>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</si>
  <si>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</si>
  <si>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</si>
  <si>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</si>
  <si>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</si>
  <si>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</si>
  <si>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</si>
  <si>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</si>
  <si>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</si>
  <si>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</si>
  <si>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</si>
  <si>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</si>
  <si>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</si>
  <si>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</si>
  <si>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</si>
  <si>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</si>
  <si>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</si>
  <si>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</si>
  <si>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</si>
  <si>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</si>
  <si>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</si>
  <si>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</si>
  <si>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</si>
  <si>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</si>
  <si>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</si>
  <si>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</si>
  <si>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</si>
  <si>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</si>
  <si>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</si>
  <si>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</si>
  <si>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</si>
  <si>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</si>
  <si>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</si>
  <si>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</si>
  <si>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</si>
  <si>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</si>
  <si>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</si>
  <si>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</si>
  <si>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</si>
  <si>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</si>
  <si>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</si>
  <si>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</si>
  <si>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</si>
  <si>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</si>
  <si>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</si>
  <si>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</si>
  <si>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</si>
  <si>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</si>
  <si>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</si>
  <si>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</si>
  <si>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</si>
  <si>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</si>
  <si>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</si>
  <si>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</si>
  <si>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</si>
  <si>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</si>
  <si>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</si>
  <si>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</si>
  <si>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</si>
  <si>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</si>
  <si>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</si>
  <si>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</si>
  <si>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</si>
  <si>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</si>
  <si>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</si>
  <si>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</si>
  <si>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</si>
  <si>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</si>
  <si>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</si>
  <si>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</si>
  <si>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</si>
  <si>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</si>
  <si>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</si>
  <si>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</si>
  <si>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</si>
  <si>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</si>
  <si>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</si>
  <si>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</si>
  <si>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</si>
  <si>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</si>
  <si>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</si>
  <si>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</si>
  <si>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</si>
  <si>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</si>
  <si>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</si>
  <si>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</si>
  <si>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</si>
  <si>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</si>
  <si>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</si>
  <si>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</si>
  <si>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</si>
  <si>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</si>
  <si>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</si>
  <si>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</si>
  <si>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</si>
  <si>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</si>
  <si>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</si>
  <si>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</si>
  <si>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</si>
  <si>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</si>
  <si>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</si>
  <si>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</si>
  <si>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</si>
  <si>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</si>
  <si>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</si>
  <si>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</si>
  <si>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</si>
  <si>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</si>
  <si>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</si>
  <si>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</si>
  <si>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</si>
  <si>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</si>
  <si>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</si>
  <si>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</si>
  <si>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</si>
  <si>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</si>
  <si>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</si>
  <si>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</si>
  <si>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</si>
  <si>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</si>
  <si>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</si>
  <si>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</si>
  <si>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</si>
  <si>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</si>
  <si>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</si>
  <si>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</si>
  <si>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</si>
  <si>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</si>
  <si>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</si>
  <si>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</si>
  <si>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</si>
  <si>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</si>
  <si>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</si>
  <si>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</si>
  <si>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</si>
  <si>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</si>
  <si>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</si>
  <si>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</si>
  <si>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</si>
  <si>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</si>
  <si>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</si>
  <si>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</si>
  <si>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</si>
  <si>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</si>
  <si>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</si>
  <si>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</si>
  <si>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</si>
  <si>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</si>
  <si>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</si>
  <si>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</si>
  <si>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</si>
  <si>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</si>
  <si>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</si>
  <si>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</si>
  <si>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</si>
  <si>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</si>
  <si>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</si>
  <si>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</si>
  <si>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</si>
  <si>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</si>
  <si>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</si>
  <si>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</si>
  <si>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</si>
  <si>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</si>
  <si>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</si>
  <si>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</si>
  <si>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</si>
  <si>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</si>
  <si>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</si>
  <si>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</si>
  <si>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</si>
  <si>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</si>
  <si>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</si>
  <si>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</si>
  <si>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</si>
  <si>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</si>
  <si>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</si>
  <si>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</si>
  <si>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</si>
  <si>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</si>
  <si>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</si>
  <si>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</si>
  <si>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</si>
  <si>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</si>
  <si>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</si>
  <si>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</si>
  <si>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</si>
  <si>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</si>
  <si>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</si>
  <si>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</si>
  <si>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</si>
  <si>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</si>
  <si>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</si>
  <si>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</si>
  <si>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</si>
  <si>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</si>
  <si>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</si>
  <si>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</si>
  <si>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</si>
  <si>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</si>
  <si>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</si>
  <si>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</si>
  <si>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</si>
  <si>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</si>
  <si>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</si>
  <si>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</si>
  <si>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</si>
  <si>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</si>
  <si>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</si>
  <si>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</si>
  <si>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</si>
  <si>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</si>
  <si>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</si>
  <si>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</si>
  <si>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</si>
  <si>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</si>
  <si>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</si>
  <si>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</si>
  <si>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</si>
  <si>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</si>
  <si>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</si>
  <si>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</si>
  <si>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</si>
  <si>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</si>
  <si>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</si>
  <si>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</si>
  <si>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</si>
  <si>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</si>
  <si>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</si>
  <si>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</si>
  <si>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</si>
  <si>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</si>
  <si>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</si>
  <si>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</si>
  <si>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</si>
  <si>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</si>
  <si>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</si>
  <si>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</si>
  <si>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</si>
  <si>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</si>
  <si>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</si>
  <si>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</si>
  <si>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</si>
  <si>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</si>
  <si>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</si>
  <si>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</si>
  <si>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</si>
  <si>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</si>
  <si>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</si>
  <si>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</si>
  <si>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</si>
  <si>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</si>
  <si>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</si>
  <si>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</si>
  <si>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</si>
  <si>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</si>
  <si>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</si>
  <si>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</si>
  <si>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</si>
  <si>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</si>
  <si>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</si>
  <si>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</si>
  <si>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</si>
  <si>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</si>
  <si>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</si>
  <si>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</si>
  <si>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</si>
  <si>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</si>
  <si>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</si>
  <si>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</si>
  <si>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</si>
  <si>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</si>
  <si>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</si>
  <si>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</si>
  <si>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</si>
  <si>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</si>
  <si>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</si>
  <si>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</si>
  <si>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</si>
  <si>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</si>
  <si>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</si>
  <si>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</si>
  <si>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</si>
  <si>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</si>
  <si>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</si>
  <si>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</si>
  <si>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</si>
  <si>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</si>
  <si>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</si>
  <si>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</si>
  <si>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</si>
  <si>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</si>
  <si>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</si>
  <si>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</si>
  <si>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</si>
  <si>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</si>
  <si>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</si>
  <si>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</si>
  <si>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</si>
  <si>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</si>
  <si>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</si>
  <si>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</si>
  <si>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</si>
  <si>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</si>
  <si>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</si>
  <si>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</si>
  <si>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</si>
  <si>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</si>
  <si>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</si>
  <si>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</si>
  <si>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</si>
  <si>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</si>
  <si>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</si>
  <si>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</si>
  <si>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</si>
  <si>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</si>
  <si>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</si>
  <si>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</si>
  <si>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</si>
  <si>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</si>
  <si>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</si>
  <si>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</si>
  <si>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</si>
  <si>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</si>
  <si>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</si>
  <si>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</si>
  <si>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</si>
  <si>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</si>
  <si>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</si>
  <si>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</si>
  <si>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</si>
  <si>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</si>
  <si>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</si>
  <si>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</si>
  <si>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</si>
  <si>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</si>
  <si>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</si>
  <si>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</si>
  <si>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</si>
  <si>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</si>
  <si>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</si>
  <si>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</si>
  <si>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</si>
  <si>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</si>
  <si>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</si>
  <si>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</si>
  <si>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</si>
  <si>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</si>
  <si>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</si>
  <si>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</si>
  <si>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</si>
  <si>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</si>
  <si>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</si>
  <si>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</si>
  <si>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</si>
  <si>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</si>
  <si>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</si>
  <si>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</si>
  <si>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</si>
  <si>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</si>
  <si>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</si>
  <si>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</si>
  <si>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</si>
  <si>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</si>
  <si>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</si>
  <si>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</si>
  <si>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</si>
  <si>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</si>
  <si>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</si>
  <si>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</si>
  <si>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</si>
  <si>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</si>
  <si>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</si>
  <si>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</si>
  <si>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</si>
  <si>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</si>
  <si>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</si>
  <si>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</si>
  <si>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</si>
  <si>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</si>
  <si>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</si>
  <si>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</si>
  <si>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</si>
  <si>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</si>
  <si>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</si>
  <si>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</si>
  <si>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</si>
  <si>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</si>
  <si>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</si>
  <si>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</si>
  <si>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</si>
  <si>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</si>
  <si>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</si>
  <si>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</si>
  <si>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</si>
  <si>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</si>
  <si>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</si>
  <si>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</si>
  <si>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</si>
  <si>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</si>
  <si>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</si>
  <si>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</si>
  <si>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</si>
  <si>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</si>
  <si>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</si>
  <si>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</si>
  <si>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</si>
  <si>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</si>
  <si>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</si>
  <si>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</si>
  <si>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</si>
  <si>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</si>
  <si>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</si>
  <si>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</si>
  <si>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</si>
  <si>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</si>
  <si>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</si>
  <si>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</si>
  <si>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</si>
  <si>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</si>
  <si>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</si>
  <si>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</si>
  <si>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</si>
  <si>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</si>
  <si>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</si>
  <si>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</si>
  <si>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</si>
  <si>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</si>
  <si>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</si>
  <si>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</si>
  <si>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</si>
  <si>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</si>
  <si>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</si>
  <si>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</si>
  <si>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</si>
  <si>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</si>
  <si>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</si>
  <si>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</si>
  <si>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</si>
  <si>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</si>
  <si>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</si>
  <si>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</si>
  <si>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</si>
  <si>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</si>
  <si>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</si>
  <si>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</si>
  <si>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</si>
  <si>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</si>
  <si>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</si>
  <si>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</si>
  <si>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</si>
  <si>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</si>
  <si>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</si>
  <si>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</si>
  <si>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</si>
  <si>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</si>
  <si>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</si>
  <si>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</si>
  <si>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</si>
  <si>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</si>
  <si>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</si>
  <si>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</si>
  <si>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</si>
  <si>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</si>
  <si>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</si>
  <si>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</si>
  <si>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</si>
  <si>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</si>
  <si>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</si>
  <si>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</si>
  <si>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</si>
  <si>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</si>
  <si>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</si>
  <si>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</si>
  <si>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</si>
  <si>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</si>
  <si>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</si>
  <si>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</si>
  <si>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</si>
  <si>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</si>
  <si>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</si>
  <si>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</si>
  <si>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</si>
  <si>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</si>
  <si>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</si>
  <si>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</si>
  <si>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</si>
  <si>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</si>
  <si>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</si>
  <si>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</si>
  <si>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</si>
  <si>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</si>
  <si>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</si>
  <si>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</si>
  <si>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</si>
  <si>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</si>
  <si>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</si>
  <si>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</si>
  <si>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</si>
  <si>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</si>
  <si>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</si>
  <si>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</si>
  <si>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</si>
  <si>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</si>
  <si>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</si>
  <si>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</si>
  <si>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</si>
  <si>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</si>
  <si>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</si>
  <si>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</si>
  <si>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</si>
  <si>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</si>
  <si>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</si>
  <si>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</si>
  <si>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</si>
  <si>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</si>
  <si>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</si>
  <si>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</si>
  <si>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</si>
  <si>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</si>
  <si>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</si>
  <si>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</si>
  <si>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</si>
  <si>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</si>
  <si>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</si>
  <si>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</si>
  <si>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</si>
  <si>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</si>
  <si>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</si>
  <si>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</si>
  <si>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</si>
  <si>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</si>
  <si>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</si>
  <si>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</si>
  <si>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</si>
  <si>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</si>
  <si>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</si>
  <si>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</si>
  <si>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</si>
  <si>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</si>
  <si>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</si>
  <si>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</si>
  <si>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</si>
  <si>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</si>
  <si>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</si>
  <si>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</si>
  <si>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</si>
  <si>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</si>
  <si>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</si>
  <si>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</si>
  <si>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</si>
  <si>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</si>
  <si>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</si>
  <si>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</si>
  <si>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</si>
  <si>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</si>
  <si>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</si>
  <si>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</si>
  <si>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</si>
  <si>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</si>
  <si>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</si>
  <si>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</si>
  <si>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</si>
  <si>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</si>
  <si>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</si>
  <si>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</si>
  <si>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</si>
  <si>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</si>
  <si>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</si>
  <si>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</si>
  <si>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</si>
  <si>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</si>
  <si>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</si>
  <si>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</si>
  <si>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</si>
  <si>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</si>
  <si>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</si>
  <si>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</si>
  <si>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</si>
  <si>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</si>
  <si>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</si>
  <si>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</si>
  <si>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</si>
  <si>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</si>
  <si>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</si>
  <si>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</si>
  <si>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</si>
  <si>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</si>
  <si>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</si>
  <si>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</si>
  <si>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</si>
  <si>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</si>
  <si>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</si>
  <si>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</si>
  <si>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</si>
  <si>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</si>
  <si>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</si>
  <si>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</si>
  <si>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</si>
  <si>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</si>
  <si>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</si>
  <si>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</si>
  <si>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</si>
  <si>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</si>
  <si>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</si>
  <si>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</si>
  <si>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</si>
  <si>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</si>
  <si>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</si>
  <si>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</si>
  <si>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</si>
  <si>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</si>
  <si>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</si>
  <si>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</si>
  <si>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</si>
  <si>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</si>
  <si>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</si>
  <si>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</si>
  <si>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</si>
  <si>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</si>
  <si>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</si>
  <si>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</si>
  <si>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</si>
  <si>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</si>
  <si>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</si>
  <si>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</si>
  <si>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</si>
  <si>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</si>
  <si>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</si>
  <si>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</si>
  <si>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</si>
  <si>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</si>
  <si>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</si>
  <si>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</si>
  <si>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</si>
  <si>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</si>
  <si>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</si>
  <si>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</si>
  <si>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</si>
  <si>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</si>
  <si>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</si>
  <si>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</si>
  <si>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</si>
  <si>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</si>
  <si>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</si>
  <si>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</si>
  <si>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</si>
  <si>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</si>
  <si>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</si>
  <si>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</si>
  <si>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</si>
  <si>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</si>
  <si>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</si>
  <si>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</si>
  <si>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</si>
  <si>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</si>
  <si>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</si>
  <si>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</si>
  <si>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</si>
  <si>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</si>
  <si>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</si>
  <si>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</si>
  <si>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</si>
  <si>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</si>
  <si>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</si>
  <si>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</si>
  <si>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</si>
  <si>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</si>
  <si>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</si>
  <si>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</si>
  <si>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</si>
  <si>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</si>
  <si>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</si>
  <si>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</si>
  <si>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</si>
  <si>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</si>
  <si>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</si>
  <si>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</si>
  <si>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</si>
  <si>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</si>
  <si>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</si>
  <si>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</si>
  <si>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</si>
  <si>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</si>
  <si>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</si>
  <si>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</si>
  <si>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</si>
  <si>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</si>
  <si>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</si>
  <si>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</si>
  <si>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</si>
  <si>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</si>
  <si>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</si>
  <si>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</si>
  <si>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</si>
  <si>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</si>
  <si>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</si>
  <si>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</si>
  <si>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</si>
  <si>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</si>
  <si>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</si>
  <si>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</si>
  <si>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</si>
  <si>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</si>
  <si>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</si>
  <si>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</si>
  <si>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</si>
  <si>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</si>
  <si>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</si>
  <si>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</si>
  <si>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</si>
  <si>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</si>
  <si>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</si>
  <si>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</si>
  <si>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</si>
  <si>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</si>
  <si>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</si>
  <si>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</si>
  <si>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</si>
  <si>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</si>
  <si>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</si>
  <si>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</si>
  <si>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</si>
  <si>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</si>
  <si>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</si>
  <si>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</si>
  <si>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</si>
  <si>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</si>
  <si>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</si>
  <si>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</si>
  <si>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</si>
  <si>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</si>
  <si>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</si>
  <si>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</si>
  <si>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</si>
  <si>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</si>
  <si>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</si>
  <si>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</si>
  <si>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</si>
  <si>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</si>
  <si>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</si>
  <si>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</si>
  <si>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</si>
  <si>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</si>
  <si>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</si>
  <si>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</si>
  <si>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</si>
  <si>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</si>
  <si>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</si>
  <si>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</si>
  <si>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</si>
  <si>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</si>
  <si>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</si>
  <si>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</si>
  <si>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</si>
  <si>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</si>
  <si>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</si>
  <si>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</si>
  <si>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</si>
  <si>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</si>
  <si>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</si>
  <si>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</si>
  <si>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</si>
  <si>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</si>
  <si>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</si>
  <si>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</si>
  <si>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</si>
  <si>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</si>
  <si>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</si>
  <si>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</si>
  <si>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</si>
  <si>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</si>
  <si>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</si>
  <si>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</si>
  <si>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</si>
  <si>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</si>
  <si>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</si>
  <si>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</si>
  <si>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</si>
  <si>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</si>
  <si>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</si>
  <si>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</si>
  <si>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</si>
  <si>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</si>
  <si>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</si>
  <si>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</si>
  <si>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</si>
  <si>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</si>
  <si>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</si>
  <si>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</si>
  <si>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</si>
  <si>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</si>
  <si>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</si>
  <si>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</si>
  <si>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</si>
  <si>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</si>
  <si>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</si>
  <si>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</si>
  <si>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</si>
  <si>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</si>
  <si>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</si>
  <si>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</si>
  <si>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</si>
  <si>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</si>
  <si>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</si>
  <si>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</si>
  <si>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</si>
  <si>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</si>
  <si>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</si>
  <si>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</si>
  <si>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</si>
  <si>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</si>
  <si>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</si>
  <si>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</si>
  <si>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</si>
  <si>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</si>
  <si>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</si>
  <si>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</si>
  <si>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</si>
  <si>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</si>
  <si>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</si>
  <si>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</si>
  <si>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</si>
  <si>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</si>
  <si>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</si>
  <si>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</si>
  <si>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</si>
  <si>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</si>
  <si>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</si>
  <si>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</si>
  <si>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</si>
  <si>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</si>
  <si>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</si>
  <si>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</si>
  <si>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</si>
  <si>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</si>
  <si>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</si>
  <si>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</si>
  <si>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</si>
  <si>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</si>
  <si>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</si>
  <si>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</si>
  <si>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</si>
  <si>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</si>
  <si>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</si>
  <si>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</si>
  <si>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</si>
  <si>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</si>
  <si>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</si>
  <si>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</si>
  <si>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</si>
  <si>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</si>
  <si>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</si>
  <si>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</si>
  <si>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</si>
  <si>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</si>
  <si>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</si>
  <si>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</si>
  <si>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</si>
  <si>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</si>
  <si>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</si>
  <si>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</si>
  <si>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</si>
  <si>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</si>
  <si>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</si>
  <si>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</si>
  <si>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</si>
  <si>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</si>
  <si>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</si>
  <si>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</si>
  <si>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</si>
  <si>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</si>
  <si>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</si>
  <si>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</si>
  <si>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</si>
  <si>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</si>
  <si>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</si>
  <si>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</si>
  <si>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</si>
  <si>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</si>
  <si>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</si>
  <si>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</si>
  <si>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</si>
  <si>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</si>
  <si>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</si>
  <si>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</si>
  <si>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</si>
  <si>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</si>
  <si>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</si>
  <si>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</si>
  <si>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</si>
  <si>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</si>
  <si>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</si>
  <si>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</si>
  <si>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</si>
  <si>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</si>
  <si>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</si>
  <si>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</si>
  <si>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</si>
  <si>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</si>
  <si>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</si>
  <si>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</si>
  <si>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</si>
  <si>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</si>
  <si>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</si>
  <si>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</si>
  <si>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</si>
  <si>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</si>
  <si>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</si>
  <si>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</si>
  <si>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</si>
  <si>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</si>
  <si>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</si>
  <si>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</si>
  <si>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</si>
  <si>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</si>
  <si>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</si>
  <si>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</si>
  <si>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</si>
  <si>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</si>
  <si>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</si>
  <si>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</si>
  <si>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</si>
  <si>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</si>
  <si>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</si>
  <si>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</si>
  <si>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</si>
  <si>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</si>
  <si>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</si>
  <si>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</si>
  <si>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</si>
  <si>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</si>
  <si>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</si>
  <si>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</si>
  <si>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</si>
  <si>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</si>
  <si>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</si>
  <si>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</si>
  <si>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</si>
  <si>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</si>
  <si>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</si>
  <si>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</si>
  <si>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</si>
  <si>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</si>
  <si>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</si>
  <si>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</si>
  <si>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</si>
  <si>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</si>
  <si>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</si>
  <si>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</si>
  <si>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</si>
  <si>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</si>
  <si>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</si>
  <si>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</si>
  <si>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</si>
  <si>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</si>
  <si>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</si>
  <si>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</si>
  <si>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</si>
  <si>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</si>
  <si>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</si>
  <si>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</si>
  <si>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</si>
  <si>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</si>
  <si>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</si>
  <si>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</si>
  <si>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</si>
  <si>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</si>
  <si>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</si>
  <si>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</si>
  <si>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</si>
  <si>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</si>
  <si>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</si>
  <si>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</si>
  <si>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</si>
  <si>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</si>
  <si>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</si>
  <si>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</si>
  <si>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</si>
  <si>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</si>
  <si>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</si>
  <si>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</si>
  <si>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</si>
  <si>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</si>
  <si>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</si>
  <si>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</si>
  <si>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</si>
  <si>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</si>
  <si>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</si>
  <si>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</si>
  <si>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</si>
  <si>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</si>
  <si>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</si>
  <si>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</si>
  <si>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</si>
  <si>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</si>
  <si>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</si>
  <si>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</si>
  <si>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</si>
  <si>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</si>
  <si>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</si>
  <si>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</si>
  <si>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</si>
  <si>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</si>
  <si>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</si>
  <si>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</si>
  <si>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</si>
  <si>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</si>
  <si>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</si>
  <si>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</si>
  <si>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</si>
  <si>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</si>
  <si>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</si>
  <si>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</si>
  <si>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</si>
  <si>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</si>
  <si>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</si>
  <si>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</si>
  <si>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</si>
  <si>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</si>
  <si>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</si>
  <si>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</si>
  <si>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</si>
  <si>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</si>
  <si>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</si>
  <si>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</si>
  <si>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</si>
  <si>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</si>
  <si>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</si>
  <si>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</si>
  <si>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</si>
  <si>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</si>
  <si>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</si>
  <si>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</si>
  <si>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</si>
  <si>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</si>
  <si>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</si>
  <si>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</si>
  <si>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</si>
  <si>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</si>
  <si>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</si>
  <si>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</si>
  <si>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</si>
  <si>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</si>
  <si>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</si>
  <si>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</si>
  <si>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</si>
  <si>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</si>
  <si>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</si>
  <si>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</si>
  <si>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</si>
  <si>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</si>
  <si>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</si>
  <si>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</si>
  <si>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</si>
  <si>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</si>
  <si>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</si>
  <si>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</si>
  <si>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</si>
  <si>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</si>
  <si>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</si>
  <si>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</si>
  <si>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</si>
  <si>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</si>
  <si>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</si>
  <si>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</si>
  <si>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</si>
  <si>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</si>
  <si>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</si>
  <si>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</si>
  <si>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</si>
  <si>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</si>
  <si>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</si>
  <si>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</si>
  <si>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</si>
  <si>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</si>
  <si>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</si>
  <si>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</si>
  <si>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</si>
  <si>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</si>
  <si>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</si>
  <si>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</si>
  <si>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</si>
  <si>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</si>
  <si>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</si>
  <si>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</si>
  <si>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</si>
  <si>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</si>
  <si>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</si>
  <si>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</si>
  <si>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</si>
  <si>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</si>
  <si>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</si>
  <si>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</si>
  <si>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</si>
  <si>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</si>
  <si>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</si>
  <si>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</si>
  <si>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</si>
  <si>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</si>
  <si>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</si>
  <si>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</si>
  <si>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</si>
  <si>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</si>
  <si>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</si>
  <si>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</si>
  <si>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</si>
  <si>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</si>
  <si>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</si>
  <si>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</si>
  <si>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</si>
  <si>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</si>
  <si>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</si>
  <si>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</si>
  <si>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</si>
  <si>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</si>
  <si>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</si>
  <si>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</si>
  <si>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</si>
  <si>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</si>
  <si>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</si>
  <si>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</si>
  <si>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</si>
  <si>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</si>
  <si>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</si>
  <si>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</si>
  <si>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</si>
  <si>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</si>
  <si>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</si>
  <si>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</si>
  <si>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</si>
  <si>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</si>
  <si>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</si>
  <si>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</si>
  <si>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</si>
  <si>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</si>
  <si>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</si>
  <si>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</si>
  <si>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</si>
  <si>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</si>
  <si>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</si>
  <si>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</si>
  <si>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</si>
  <si>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</si>
  <si>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</si>
  <si>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</si>
  <si>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</si>
  <si>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</si>
  <si>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</si>
  <si>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</si>
  <si>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</si>
  <si>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</si>
  <si>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</si>
  <si>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</si>
  <si>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</si>
  <si>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</si>
  <si>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</si>
  <si>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</si>
  <si>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</si>
  <si>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</si>
  <si>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</si>
  <si>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</si>
  <si>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</si>
  <si>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</si>
  <si>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</si>
  <si>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</si>
  <si>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</si>
  <si>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</si>
  <si>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</si>
  <si>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</si>
  <si>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</si>
  <si>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</si>
  <si>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</si>
  <si>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</si>
  <si>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</si>
  <si>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</si>
  <si>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</si>
  <si>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</si>
  <si>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</si>
  <si>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</si>
  <si>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</si>
  <si>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</si>
  <si>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</si>
  <si>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</si>
  <si>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</si>
  <si>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</si>
  <si>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</si>
  <si>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</si>
  <si>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</si>
  <si>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</si>
  <si>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</si>
  <si>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</si>
  <si>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</si>
  <si>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</si>
  <si>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</si>
  <si>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</si>
  <si>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</si>
  <si>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</si>
  <si>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</si>
  <si>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</si>
  <si>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</si>
  <si>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</si>
  <si>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</si>
  <si>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</si>
  <si>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</si>
  <si>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</si>
  <si>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</si>
  <si>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</si>
  <si>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</si>
  <si>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</si>
  <si>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</si>
  <si>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</si>
  <si>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</si>
  <si>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</si>
  <si>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</si>
  <si>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</si>
  <si>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</si>
  <si>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</si>
  <si>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</si>
  <si>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</si>
  <si>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</si>
  <si>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</si>
  <si>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</si>
  <si>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</si>
  <si>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</si>
  <si>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</si>
  <si>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</si>
  <si>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</si>
  <si>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</si>
  <si>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</si>
  <si>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</si>
  <si>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</si>
  <si>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</si>
  <si>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</si>
  <si>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</si>
  <si>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</si>
  <si>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</si>
  <si>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</si>
  <si>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</si>
  <si>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</si>
  <si>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</si>
  <si>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</si>
  <si>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</si>
  <si>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</si>
  <si>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</si>
  <si>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</si>
  <si>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</si>
  <si>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</si>
  <si>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</si>
  <si>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</si>
  <si>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</si>
  <si>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</si>
  <si>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</si>
  <si>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</si>
  <si>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</si>
  <si>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</si>
  <si>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</si>
  <si>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</si>
  <si>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</si>
  <si>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</si>
  <si>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</si>
  <si>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</si>
  <si>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</si>
  <si>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</si>
  <si>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</si>
  <si>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临街情况</t>
    <phoneticPr fontId="53" type="noConversion"/>
  </si>
  <si>
    <t>单面临街</t>
    <phoneticPr fontId="53" type="noConversion"/>
  </si>
  <si>
    <t>双面临街</t>
    <phoneticPr fontId="53" type="noConversion"/>
  </si>
  <si>
    <t>沿海赛洛城</t>
    <phoneticPr fontId="53" type="noConversion"/>
  </si>
  <si>
    <t>健身房</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</si>
  <si>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</si>
  <si>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</si>
  <si>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</si>
  <si>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</si>
  <si>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</si>
  <si>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</si>
  <si>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</si>
  <si>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</si>
  <si>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</si>
  <si>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</si>
  <si>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</si>
  <si>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</si>
  <si>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</si>
  <si>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</si>
  <si>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</si>
  <si>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</si>
  <si>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</si>
  <si>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</si>
  <si>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</si>
  <si>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</si>
  <si>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</si>
  <si>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健身房</t>
  </si>
  <si>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</si>
  <si>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</si>
  <si>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</si>
  <si>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</si>
  <si>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</si>
  <si>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</si>
  <si>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</si>
  <si>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</si>
  <si>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</si>
  <si>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</si>
  <si>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</si>
  <si>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</si>
  <si>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</si>
  <si>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</si>
  <si>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</si>
  <si>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</si>
  <si>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</si>
  <si>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</si>
  <si>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</si>
  <si>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</si>
  <si>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</si>
  <si>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</si>
  <si>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</si>
  <si>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</si>
  <si>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</si>
  <si>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</si>
  <si>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</si>
  <si>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</si>
  <si>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</si>
  <si>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</si>
  <si>
    <t>沿海赛洛城</t>
  </si>
  <si>
    <t>内部数据积累</t>
  </si>
  <si>
    <r>
      <t>地下</t>
    </r>
    <r>
      <rPr>
        <sz val="9"/>
        <color theme="1"/>
        <rFont val="Arial"/>
        <family val="2"/>
      </rPr>
      <t>1</t>
    </r>
    <r>
      <rPr>
        <sz val="9"/>
        <color theme="1"/>
        <rFont val="宋体"/>
        <family val="3"/>
        <charset val="134"/>
      </rPr>
      <t>层</t>
    </r>
  </si>
  <si>
    <t>苹果社区</t>
  </si>
  <si>
    <t>数据积累</t>
  </si>
  <si>
    <t>珠江帝景</t>
  </si>
  <si>
    <r>
      <rPr>
        <sz val="11"/>
        <color indexed="8"/>
        <rFont val="宋体"/>
        <family val="3"/>
        <charset val="134"/>
      </rPr>
      <t>下沉式地下</t>
    </r>
    <r>
      <rPr>
        <sz val="11"/>
        <color indexed="8"/>
        <rFont val="Arial"/>
        <family val="3"/>
        <charset val="134"/>
      </rPr>
      <t>1</t>
    </r>
    <r>
      <rPr>
        <sz val="11"/>
        <color indexed="8"/>
        <rFont val="宋体"/>
        <family val="3"/>
        <charset val="134"/>
      </rPr>
      <t>层</t>
    </r>
    <phoneticPr fontId="53" type="noConversion"/>
  </si>
  <si>
    <t>下沉式地下1层</t>
  </si>
  <si>
    <t>下沉广场</t>
    <phoneticPr fontId="53" type="noConversion"/>
  </si>
  <si>
    <t>https://bj.58.com/shangpu/58237008730544x.shtml?utm_source=market&amp;prd=s20ye9pg%2FIZt6DV01%2B5%2B%2Bw%3D%3D&amp;houseId=3532295433362447&amp;gpos=3&amp;legourl=%2F%2Flegoclick.58.com%2Fjump%3Ftarget%3DszqBpB3draOWUvYf0v66UhIkIitdrjc1P1Tkrj01njNYPZ980v6YUykKuaYvnjF6PWTYnBYkrH9LsHEYuhmVmhELuBYznjRbn1NOrycLujNKnHmznj9QPHNKTHndn1czrHNYn1n1PWcYPj0KnW9QnjTKnW9QnjTKnikQPEDQsjDQPjc_P1NdrTDQP1DdPjTYPjmOrj0OTHnKwbPxNDPxNd-DEd4--mUGbeGxHD-HR7q2yTDQTHDKTiYQTEDQP19OnHcdnWbLrHDzP1EQrj93THmK0A7zmyd1n1b1rWKxPaQkmgF6Ugnznjnlngk1THDKP103nHcdnhEVnywWPBYYPyD3syFhnHDVnWEzrARWPW01PjIbTHDLrjbQnWNzrH0OrHcYnWD1P1mKnH03rHDzPHcOP1bvP1cvP19Yn9DKTEDKTiYKTEDKX-Cfpy-VR-nzINRrXb0O0DOQUAPZu1YqTHEOsWN8nHc8nHDvTiYQTHTKTHD_nHNKXLYKnHTkn1EKnHTkPjTLPED3PH9vnjIhmiYOujcdsHEYP19VrjPbuad-nvFhnjbOnAwWmHEKTHTKTEDkTHD_nHDYnBkLPHN3THDKUMR_UT7Wn1DvPHPBPHPbuhD3PH-b&amp;referinfo=false&amp;spm=&amp;positionType=legojingxuanhouse&amp;lgtid_shangyetie=858607fa-9d25-4478-83dd-e3bf0990dca4&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13</t>
    <phoneticPr fontId="53" type="noConversion"/>
  </si>
  <si>
    <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t>
    <phoneticPr fontId="53" type="noConversion"/>
  </si>
  <si>
    <t>首城国际</t>
    <phoneticPr fontId="53" type="noConversion"/>
  </si>
  <si>
    <r>
      <rPr>
        <sz val="9"/>
        <color theme="1"/>
        <rFont val="宋体"/>
        <family val="3"/>
        <charset val="134"/>
      </rPr>
      <t>下沉广场</t>
    </r>
    <r>
      <rPr>
        <sz val="9"/>
        <color theme="1"/>
        <rFont val="Arial"/>
        <family val="2"/>
      </rPr>
      <t>-1</t>
    </r>
    <r>
      <rPr>
        <sz val="9"/>
        <color theme="1"/>
        <rFont val="宋体"/>
        <family val="3"/>
        <charset val="134"/>
      </rPr>
      <t>层</t>
    </r>
    <phoneticPr fontId="53" type="noConversion"/>
  </si>
  <si>
    <t>普通装修</t>
    <phoneticPr fontId="53" type="noConversion"/>
  </si>
  <si>
    <r>
      <t>-1</t>
    </r>
    <r>
      <rPr>
        <sz val="9"/>
        <color theme="1"/>
        <rFont val="宋体"/>
        <family val="3"/>
        <charset val="134"/>
      </rPr>
      <t>层</t>
    </r>
    <phoneticPr fontId="53" type="noConversion"/>
  </si>
  <si>
    <t>估价对象周边商业设施以住宅配套商业为主，周边2公里有芳圆里IDMALL、合生汇等，估价对象临城市支路-广泰东路，人流量一般，商业繁华程度一般。</t>
    <phoneticPr fontId="53" type="noConversion"/>
  </si>
  <si>
    <t>周边分布有北京富力广场购物中心、乐成购物中心、合生汇购物中心等购物场所。区域人流量较大，综合评价商业繁华度较好。</t>
    <phoneticPr fontId="53" type="noConversion"/>
  </si>
  <si>
    <t>周边商业设施以住宅配套商业为主，周边有芳圆里IDMALL、合生汇、永辉超市、佳美乐购超市、多鑫隆超市、赛洛城超市等，小区规模大，临近城市主干道-广渠路，区域人流量较大，商业繁华程度较好</t>
    <phoneticPr fontId="53" type="noConversion"/>
  </si>
  <si>
    <t>紧邻城市支路——广泰东路</t>
    <phoneticPr fontId="53" type="noConversion"/>
  </si>
  <si>
    <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t>
    <phoneticPr fontId="53" type="noConversion"/>
  </si>
  <si>
    <t>周边约1公里范围内有今日美术馆、雷动天下剧场、BTV大剧院等人文环境；
周边有约1公里有庆丰公园、通惠河自然环境。
综合评价环境状况较好。</t>
    <phoneticPr fontId="53" type="noConversion"/>
  </si>
  <si>
    <t>周边约1公里范围内有今日美术馆等自然景观及人文场所；综合评价环境状况一般。</t>
    <phoneticPr fontId="53" type="noConversion"/>
  </si>
  <si>
    <t>可视性</t>
    <phoneticPr fontId="53" type="noConversion"/>
  </si>
  <si>
    <t>较差</t>
  </si>
  <si>
    <t>较差</t>
    <phoneticPr fontId="53" type="noConversion"/>
  </si>
  <si>
    <t>https://bj.58.com/shangpu/57652417449138x.shtml?prd=ayztjqyDy4LzUHyR0isk4A%3D%3D&amp;houseId=3457467749377025&amp;legourl=%2F%2Flegoclick.58.com%2Fjump%3Ftarget%3DszqBpB3draOWUvYf0v66UhIkIitdP1mdnWEQP1EYrHD1rZ980v6YUykKuaYdnhR6nHb1PaYLm1bQsHwWnvEVmhFbmidbuWP-uhwbuhELmhnKPHm3PH9QrHbvnjNzPWDKTHnYPH0YPW0LPjb1P10knWNKn1nYnjTKn1nYnjTKnikznTDQTHDLnHNYnj9dnHEOnWbKnEDdradEEzL-_FZh-ljM8O5hMG1hWJWCWuTKnEDQTEDVnEDKnH03P10krH9kPHnznW9OPHnvnTDvTEDQTH0OuymQuyEdsHnkmWnVPjF-nBYOuW-6sH9OPAP-uj9vPADznTDQP19LP1TOrjTdPjTvP1mkrHmkTHDLrj0Lnjb3njN1rjDvnHNvnHmKTEDKTEDVTEDKTgGpsv-GURuHnMR7HMGZrgKr0yQWwv0q5EDYri3dsWDzsWDQP9DVnEDkTEDQsjDdTgVqTHDknjnYTHDknjc1nH9KP1ndPWmYnjmVnjDvniYYn1bLsH9QnHNVuWmYnyPhPvFWmH7-TEDkTEDKnTDQsjDQPjc_PH0LrEDQTyOdUAkKPhFhPH0YmWm3uWEdnvwBuE&amp;referinfo=false&amp;utm_source=&amp;spm=&amp;positionType=legojingxuanhouse&amp;lgtid_shangyetie=73566406-0161-4397-8115-f641cf7bca1e&amp;from=pc_sydc_recommend%40noresult&amp;filterJson=e30&amp;jx_abtest=&amp;list_type=main&amp;PGTID=0d306b35-0000-1ad2-77a4-ac4f96b3c8fe&amp;ClickID=36</t>
    <phoneticPr fontId="53" type="noConversion"/>
  </si>
  <si>
    <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t>
    <phoneticPr fontId="53" type="noConversion"/>
  </si>
  <si>
    <t>有较大限制</t>
    <phoneticPr fontId="53" type="noConversion"/>
  </si>
  <si>
    <t>简单装修</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</si>
</sst>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2">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
      <sz val="9"/>
      <color theme="1"/>
      <name val="Arial"/>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404">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0" fontId="0" fillId="5" borderId="0" xfId="0" applyNumberFormat="1" applyFill="1">
      <alignment vertical="center"/>
    </xf>
    <xf numFmtId="10" fontId="1" fillId="5" borderId="0" xfId="0" applyNumberFormat="1" applyFont="1" applyFill="1">
      <alignment vertical="center"/>
    </xf>
    <xf numFmtId="14" fontId="236" fillId="0" borderId="3" xfId="0" applyNumberFormat="1" applyFont="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2" fontId="240" fillId="0" borderId="55" xfId="0" applyNumberFormat="1"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xf numFmtId="0" fontId="233" fillId="0" borderId="55" xfId="0" applyFont="1" applyBorder="1" applyAlignment="1">
      <alignment vertical="center" wrapText="1"/>
    </xf>
    <xf numFmtId="0" fontId="156" fillId="0" borderId="0" xfId="1">
      <alignment vertical="center"/>
    </xf>
    <xf numFmtId="49" fontId="241" fillId="0" borderId="55" xfId="0" applyNumberFormat="1" applyFont="1" applyBorder="1" applyAlignment="1">
      <alignment horizontal="center" vertical="center" wrapText="1"/>
    </xf>
    <xf numFmtId="49" fontId="232" fillId="0" borderId="55" xfId="0" applyNumberFormat="1" applyFont="1" applyBorder="1" applyAlignment="1">
      <alignment horizontal="center" vertical="center" wrapText="1"/>
    </xf>
    <xf numFmtId="49" fontId="232" fillId="5" borderId="55" xfId="0" applyNumberFormat="1" applyFont="1" applyFill="1" applyBorder="1" applyAlignment="1">
      <alignment horizontal="center" vertical="center" wrapText="1"/>
    </xf>
    <xf numFmtId="49" fontId="232" fillId="2" borderId="55" xfId="0" applyNumberFormat="1" applyFont="1" applyFill="1" applyBorder="1" applyAlignment="1">
      <alignment horizontal="center" vertical="center" wrapText="1"/>
    </xf>
    <xf numFmtId="49" fontId="241" fillId="5" borderId="55" xfId="0" applyNumberFormat="1" applyFont="1" applyFill="1" applyBorder="1" applyAlignment="1">
      <alignment horizontal="center" vertical="center" wrapText="1"/>
    </xf>
    <xf numFmtId="0" fontId="232" fillId="2" borderId="54" xfId="0" applyFont="1" applyFill="1" applyBorder="1" applyAlignment="1">
      <alignment horizontal="center" vertical="center" wrapText="1"/>
    </xf>
    <xf numFmtId="0" fontId="233" fillId="2" borderId="55" xfId="0" applyFont="1" applyFill="1" applyBorder="1" applyAlignment="1">
      <alignment horizontal="center" vertical="center" wrapText="1"/>
    </xf>
    <xf numFmtId="0" fontId="232" fillId="2" borderId="55" xfId="0" applyFont="1" applyFill="1" applyBorder="1" applyAlignment="1">
      <alignment horizontal="center" vertical="center" wrapText="1"/>
    </xf>
    <xf numFmtId="49" fontId="241" fillId="2" borderId="55" xfId="0" applyNumberFormat="1" applyFont="1" applyFill="1" applyBorder="1" applyAlignment="1">
      <alignment horizontal="center" vertical="center" wrapText="1"/>
    </xf>
    <xf numFmtId="0" fontId="0" fillId="2" borderId="0" xfId="0" applyFill="1">
      <alignment vertical="center"/>
    </xf>
    <xf numFmtId="2"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109" fillId="0" borderId="0" xfId="0" applyFont="1" applyAlignment="1">
      <alignment horizontal="center" vertical="center"/>
    </xf>
    <xf numFmtId="0" fontId="92" fillId="0" borderId="81" xfId="0" applyFont="1" applyBorder="1" applyAlignment="1">
      <alignment horizontal="center" vertical="center" wrapText="1"/>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0" fontId="65" fillId="0" borderId="3" xfId="0"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7" fillId="3" borderId="3" xfId="0" applyFont="1" applyFill="1" applyBorder="1" applyAlignment="1">
      <alignment horizontal="left" vertical="center" wrapText="1"/>
    </xf>
    <xf numFmtId="0" fontId="111" fillId="3" borderId="3" xfId="0"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3" xfId="0" applyFont="1" applyFill="1" applyBorder="1" applyAlignment="1">
      <alignment horizontal="left" vertical="center" wrapText="1"/>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10" fillId="3" borderId="31" xfId="0"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10" fillId="3" borderId="44" xfId="0" applyFont="1" applyFill="1" applyBorder="1" applyAlignment="1">
      <alignment horizontal="left" vertical="center"/>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49" fillId="0" borderId="0" xfId="0" applyFont="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0" fontId="51" fillId="10" borderId="0" xfId="0" applyFont="1" applyFill="1" applyAlignment="1">
      <alignment horizontal="center" vertical="center" wrapText="1"/>
    </xf>
    <xf numFmtId="0" fontId="53" fillId="0" borderId="3" xfId="0" applyFont="1" applyBorder="1" applyAlignment="1">
      <alignment horizontal="center" vertical="center" wrapText="1"/>
    </xf>
    <xf numFmtId="177" fontId="53" fillId="0" borderId="3" xfId="0" applyNumberFormat="1" applyFont="1" applyBorder="1" applyAlignment="1">
      <alignment horizontal="center" vertical="center" wrapText="1"/>
    </xf>
    <xf numFmtId="182" fontId="41" fillId="0" borderId="3" xfId="0" applyNumberFormat="1" applyFont="1" applyBorder="1" applyAlignment="1">
      <alignment horizontal="center"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29" xfId="0" applyFont="1" applyFill="1" applyBorder="1" applyAlignment="1">
      <alignment horizontal="center" vertical="center"/>
    </xf>
    <xf numFmtId="0" fontId="47" fillId="3" borderId="30"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3"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Border="1" applyAlignment="1">
      <alignment horizontal="center" vertical="center"/>
    </xf>
    <xf numFmtId="0" fontId="28" fillId="0" borderId="3" xfId="0" applyFont="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7" fillId="3" borderId="70"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3" borderId="6"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57" fillId="3" borderId="3" xfId="0" applyFont="1" applyFill="1" applyBorder="1" applyAlignment="1">
      <alignment horizontal="center" vertical="center"/>
    </xf>
    <xf numFmtId="0" fontId="67" fillId="0" borderId="0" xfId="4" applyFont="1" applyAlignment="1">
      <alignment horizontal="left" vertical="center"/>
    </xf>
    <xf numFmtId="0" fontId="17" fillId="0" borderId="0" xfId="4" applyFont="1" applyAlignment="1">
      <alignment horizontal="left" vertical="center"/>
    </xf>
    <xf numFmtId="0" fontId="26" fillId="0" borderId="0" xfId="4" applyFont="1" applyAlignment="1">
      <alignment horizontal="left" vertical="center"/>
    </xf>
    <xf numFmtId="0" fontId="71" fillId="18" borderId="98" xfId="4" applyFont="1" applyFill="1" applyBorder="1" applyAlignment="1">
      <alignment horizontal="left" vertical="center" wrapText="1"/>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71" fillId="18" borderId="105"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0" borderId="14" xfId="0" applyNumberFormat="1" applyBorder="1" applyAlignment="1">
      <alignment horizontal="center" vertical="center"/>
    </xf>
    <xf numFmtId="0" fontId="0" fillId="0" borderId="16" xfId="0" applyBorder="1" applyAlignment="1">
      <alignment horizontal="center" vertical="center"/>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1"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01">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35943</xdr:rowOff>
    </xdr:from>
    <xdr:to>
      <xdr:col>8</xdr:col>
      <xdr:colOff>286201</xdr:colOff>
      <xdr:row>29</xdr:row>
      <xdr:rowOff>141086</xdr:rowOff>
    </xdr:to>
    <xdr:pic>
      <xdr:nvPicPr>
        <xdr:cNvPr id="4" name="图片 3">
          <a:extLst>
            <a:ext uri="{FF2B5EF4-FFF2-40B4-BE49-F238E27FC236}">
              <a16:creationId xmlns:a16="http://schemas.microsoft.com/office/drawing/2014/main" id="{27C741ED-4E25-20D7-4085-C94D504B4C32}"/>
            </a:ext>
          </a:extLst>
        </xdr:cNvPr>
        <xdr:cNvPicPr>
          <a:picLocks noChangeAspect="1"/>
        </xdr:cNvPicPr>
      </xdr:nvPicPr>
      <xdr:blipFill>
        <a:blip xmlns:r="http://schemas.openxmlformats.org/officeDocument/2006/relationships" r:embed="rId1"/>
        <a:stretch>
          <a:fillRect/>
        </a:stretch>
      </xdr:blipFill>
      <xdr:spPr>
        <a:xfrm>
          <a:off x="0" y="3019245"/>
          <a:ext cx="6252805" cy="2666110"/>
        </a:xfrm>
        <a:prstGeom prst="rect">
          <a:avLst/>
        </a:prstGeom>
      </xdr:spPr>
    </xdr:pic>
    <xdr:clientData/>
  </xdr:twoCellAnchor>
  <xdr:twoCellAnchor editAs="oneCell">
    <xdr:from>
      <xdr:col>0</xdr:col>
      <xdr:colOff>1</xdr:colOff>
      <xdr:row>32</xdr:row>
      <xdr:rowOff>17972</xdr:rowOff>
    </xdr:from>
    <xdr:to>
      <xdr:col>8</xdr:col>
      <xdr:colOff>410009</xdr:colOff>
      <xdr:row>50</xdr:row>
      <xdr:rowOff>25445</xdr:rowOff>
    </xdr:to>
    <xdr:pic>
      <xdr:nvPicPr>
        <xdr:cNvPr id="10" name="图片 9">
          <a:extLst>
            <a:ext uri="{FF2B5EF4-FFF2-40B4-BE49-F238E27FC236}">
              <a16:creationId xmlns:a16="http://schemas.microsoft.com/office/drawing/2014/main" id="{E98AA7FB-49F1-9401-C9B6-84B4EE497423}"/>
            </a:ext>
          </a:extLst>
        </xdr:cNvPr>
        <xdr:cNvPicPr>
          <a:picLocks noChangeAspect="1"/>
        </xdr:cNvPicPr>
      </xdr:nvPicPr>
      <xdr:blipFill>
        <a:blip xmlns:r="http://schemas.openxmlformats.org/officeDocument/2006/relationships" r:embed="rId2"/>
        <a:stretch>
          <a:fillRect/>
        </a:stretch>
      </xdr:blipFill>
      <xdr:spPr>
        <a:xfrm>
          <a:off x="1" y="6074434"/>
          <a:ext cx="6376612" cy="3080633"/>
        </a:xfrm>
        <a:prstGeom prst="rect">
          <a:avLst/>
        </a:prstGeom>
      </xdr:spPr>
    </xdr:pic>
    <xdr:clientData/>
  </xdr:twoCellAnchor>
  <xdr:twoCellAnchor editAs="oneCell">
    <xdr:from>
      <xdr:col>0</xdr:col>
      <xdr:colOff>143774</xdr:colOff>
      <xdr:row>52</xdr:row>
      <xdr:rowOff>53915</xdr:rowOff>
    </xdr:from>
    <xdr:to>
      <xdr:col>7</xdr:col>
      <xdr:colOff>818001</xdr:colOff>
      <xdr:row>68</xdr:row>
      <xdr:rowOff>6397</xdr:rowOff>
    </xdr:to>
    <xdr:pic>
      <xdr:nvPicPr>
        <xdr:cNvPr id="11" name="图片 10">
          <a:extLst>
            <a:ext uri="{FF2B5EF4-FFF2-40B4-BE49-F238E27FC236}">
              <a16:creationId xmlns:a16="http://schemas.microsoft.com/office/drawing/2014/main" id="{970CDDDE-9171-B68B-45A7-2C39EEC2EB9C}"/>
            </a:ext>
          </a:extLst>
        </xdr:cNvPr>
        <xdr:cNvPicPr>
          <a:picLocks noChangeAspect="1"/>
        </xdr:cNvPicPr>
      </xdr:nvPicPr>
      <xdr:blipFill>
        <a:blip xmlns:r="http://schemas.openxmlformats.org/officeDocument/2006/relationships" r:embed="rId3"/>
        <a:stretch>
          <a:fillRect/>
        </a:stretch>
      </xdr:blipFill>
      <xdr:spPr>
        <a:xfrm>
          <a:off x="143774" y="9525000"/>
          <a:ext cx="5661373" cy="2684181"/>
        </a:xfrm>
        <a:prstGeom prst="rect">
          <a:avLst/>
        </a:prstGeom>
      </xdr:spPr>
    </xdr:pic>
    <xdr:clientData/>
  </xdr:twoCellAnchor>
  <xdr:twoCellAnchor editAs="oneCell">
    <xdr:from>
      <xdr:col>0</xdr:col>
      <xdr:colOff>98845</xdr:colOff>
      <xdr:row>69</xdr:row>
      <xdr:rowOff>116814</xdr:rowOff>
    </xdr:from>
    <xdr:to>
      <xdr:col>7</xdr:col>
      <xdr:colOff>813359</xdr:colOff>
      <xdr:row>85</xdr:row>
      <xdr:rowOff>26957</xdr:rowOff>
    </xdr:to>
    <xdr:pic>
      <xdr:nvPicPr>
        <xdr:cNvPr id="15" name="图片 14">
          <a:extLst>
            <a:ext uri="{FF2B5EF4-FFF2-40B4-BE49-F238E27FC236}">
              <a16:creationId xmlns:a16="http://schemas.microsoft.com/office/drawing/2014/main" id="{B23AAA7A-0BE3-6A1F-1A78-4766C5257967}"/>
            </a:ext>
          </a:extLst>
        </xdr:cNvPr>
        <xdr:cNvPicPr>
          <a:picLocks noChangeAspect="1"/>
        </xdr:cNvPicPr>
      </xdr:nvPicPr>
      <xdr:blipFill>
        <a:blip xmlns:r="http://schemas.openxmlformats.org/officeDocument/2006/relationships" r:embed="rId4"/>
        <a:stretch>
          <a:fillRect/>
        </a:stretch>
      </xdr:blipFill>
      <xdr:spPr>
        <a:xfrm>
          <a:off x="98845" y="12490328"/>
          <a:ext cx="5701660" cy="2641841"/>
        </a:xfrm>
        <a:prstGeom prst="rect">
          <a:avLst/>
        </a:prstGeom>
      </xdr:spPr>
    </xdr:pic>
    <xdr:clientData/>
  </xdr:twoCellAnchor>
  <xdr:twoCellAnchor editAs="oneCell">
    <xdr:from>
      <xdr:col>0</xdr:col>
      <xdr:colOff>0</xdr:colOff>
      <xdr:row>86</xdr:row>
      <xdr:rowOff>44929</xdr:rowOff>
    </xdr:from>
    <xdr:to>
      <xdr:col>3</xdr:col>
      <xdr:colOff>659579</xdr:colOff>
      <xdr:row>103</xdr:row>
      <xdr:rowOff>161745</xdr:rowOff>
    </xdr:to>
    <xdr:pic>
      <xdr:nvPicPr>
        <xdr:cNvPr id="16" name="图片 15">
          <a:extLst>
            <a:ext uri="{FF2B5EF4-FFF2-40B4-BE49-F238E27FC236}">
              <a16:creationId xmlns:a16="http://schemas.microsoft.com/office/drawing/2014/main" id="{3A482541-765C-474A-B0FC-2F31C8F8B0C5}"/>
            </a:ext>
          </a:extLst>
        </xdr:cNvPr>
        <xdr:cNvPicPr>
          <a:picLocks noChangeAspect="1"/>
        </xdr:cNvPicPr>
      </xdr:nvPicPr>
      <xdr:blipFill>
        <a:blip xmlns:r="http://schemas.openxmlformats.org/officeDocument/2006/relationships" r:embed="rId5"/>
        <a:stretch>
          <a:fillRect/>
        </a:stretch>
      </xdr:blipFill>
      <xdr:spPr>
        <a:xfrm>
          <a:off x="0" y="15347830"/>
          <a:ext cx="2708353" cy="3019245"/>
        </a:xfrm>
        <a:prstGeom prst="rect">
          <a:avLst/>
        </a:prstGeom>
      </xdr:spPr>
    </xdr:pic>
    <xdr:clientData/>
  </xdr:twoCellAnchor>
  <xdr:twoCellAnchor editAs="oneCell">
    <xdr:from>
      <xdr:col>0</xdr:col>
      <xdr:colOff>0</xdr:colOff>
      <xdr:row>110</xdr:row>
      <xdr:rowOff>98844</xdr:rowOff>
    </xdr:from>
    <xdr:to>
      <xdr:col>7</xdr:col>
      <xdr:colOff>440143</xdr:colOff>
      <xdr:row>125</xdr:row>
      <xdr:rowOff>38733</xdr:rowOff>
    </xdr:to>
    <xdr:pic>
      <xdr:nvPicPr>
        <xdr:cNvPr id="2" name="图片 1">
          <a:extLst>
            <a:ext uri="{FF2B5EF4-FFF2-40B4-BE49-F238E27FC236}">
              <a16:creationId xmlns:a16="http://schemas.microsoft.com/office/drawing/2014/main" id="{8EB81B4F-16CF-B1D3-2186-5C90EA666A83}"/>
            </a:ext>
          </a:extLst>
        </xdr:cNvPr>
        <xdr:cNvPicPr>
          <a:picLocks noChangeAspect="1"/>
        </xdr:cNvPicPr>
      </xdr:nvPicPr>
      <xdr:blipFill>
        <a:blip xmlns:r="http://schemas.openxmlformats.org/officeDocument/2006/relationships" r:embed="rId6"/>
        <a:stretch>
          <a:fillRect/>
        </a:stretch>
      </xdr:blipFill>
      <xdr:spPr>
        <a:xfrm>
          <a:off x="0" y="19499292"/>
          <a:ext cx="5427289" cy="2500856"/>
        </a:xfrm>
        <a:prstGeom prst="rect">
          <a:avLst/>
        </a:prstGeom>
      </xdr:spPr>
    </xdr:pic>
    <xdr:clientData/>
  </xdr:twoCellAnchor>
  <xdr:twoCellAnchor editAs="oneCell">
    <xdr:from>
      <xdr:col>0</xdr:col>
      <xdr:colOff>494674</xdr:colOff>
      <xdr:row>125</xdr:row>
      <xdr:rowOff>107829</xdr:rowOff>
    </xdr:from>
    <xdr:to>
      <xdr:col>5</xdr:col>
      <xdr:colOff>435490</xdr:colOff>
      <xdr:row>135</xdr:row>
      <xdr:rowOff>39751</xdr:rowOff>
    </xdr:to>
    <xdr:pic>
      <xdr:nvPicPr>
        <xdr:cNvPr id="3" name="图片 2">
          <a:extLst>
            <a:ext uri="{FF2B5EF4-FFF2-40B4-BE49-F238E27FC236}">
              <a16:creationId xmlns:a16="http://schemas.microsoft.com/office/drawing/2014/main" id="{65319F56-E312-6F19-65B2-0377AF505D5C}"/>
            </a:ext>
          </a:extLst>
        </xdr:cNvPr>
        <xdr:cNvPicPr>
          <a:picLocks noChangeAspect="1"/>
        </xdr:cNvPicPr>
      </xdr:nvPicPr>
      <xdr:blipFill>
        <a:blip xmlns:r="http://schemas.openxmlformats.org/officeDocument/2006/relationships" r:embed="rId7"/>
        <a:stretch>
          <a:fillRect/>
        </a:stretch>
      </xdr:blipFill>
      <xdr:spPr>
        <a:xfrm>
          <a:off x="494674" y="22069244"/>
          <a:ext cx="3355439" cy="1639233"/>
        </a:xfrm>
        <a:prstGeom prst="rect">
          <a:avLst/>
        </a:prstGeom>
      </xdr:spPr>
    </xdr:pic>
    <xdr:clientData/>
  </xdr:twoCellAnchor>
  <xdr:twoCellAnchor editAs="oneCell">
    <xdr:from>
      <xdr:col>3</xdr:col>
      <xdr:colOff>575094</xdr:colOff>
      <xdr:row>85</xdr:row>
      <xdr:rowOff>98844</xdr:rowOff>
    </xdr:from>
    <xdr:to>
      <xdr:col>6</xdr:col>
      <xdr:colOff>629242</xdr:colOff>
      <xdr:row>107</xdr:row>
      <xdr:rowOff>26957</xdr:rowOff>
    </xdr:to>
    <xdr:pic>
      <xdr:nvPicPr>
        <xdr:cNvPr id="5" name="图片 4">
          <a:extLst>
            <a:ext uri="{FF2B5EF4-FFF2-40B4-BE49-F238E27FC236}">
              <a16:creationId xmlns:a16="http://schemas.microsoft.com/office/drawing/2014/main" id="{1161B01B-1BF6-DCF2-9E4B-7D79041BD951}"/>
            </a:ext>
          </a:extLst>
        </xdr:cNvPr>
        <xdr:cNvPicPr>
          <a:picLocks noChangeAspect="1"/>
        </xdr:cNvPicPr>
      </xdr:nvPicPr>
      <xdr:blipFill>
        <a:blip xmlns:r="http://schemas.openxmlformats.org/officeDocument/2006/relationships" r:embed="rId8"/>
        <a:stretch>
          <a:fillRect/>
        </a:stretch>
      </xdr:blipFill>
      <xdr:spPr>
        <a:xfrm>
          <a:off x="2623868" y="15231014"/>
          <a:ext cx="2246695" cy="368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hyperlink" Targe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TargetMode="External"/><Relationship Id="rId2" Type="http://schemas.openxmlformats.org/officeDocument/2006/relationships/hyperlink" Targe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TargetMode="External"/><Relationship Id="rId1" Type="http://schemas.openxmlformats.org/officeDocument/2006/relationships/hyperlink" Targe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TargetMode="External"/><Relationship Id="rId4"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估价对象为北京市房地产，为所有。根据《国有土地使用证》[]，估价对象（分摊）出让国有建设用地使用权面积为0平方米，建筑面积为1837.06平方米。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估价对象为北京市房地产,属开发建设的，该项目尚在开发建设中。根据《国有土地使用证》[]，估价对象（分摊）出让国有建设用地使用权面积为0平方米，规划建筑面积为1837.06平方米。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2024年5月10日（评估专业人员实地查勘之日）</v>
      </c>
    </row>
    <row r="13" spans="1:2">
      <c r="A13" s="2908" t="s">
        <v>13</v>
      </c>
      <c r="B13" s="2909"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1837.06</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3018"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02" t="s">
        <v>323</v>
      </c>
      <c r="C54" s="380" t="s">
        <v>324</v>
      </c>
    </row>
    <row r="55" spans="1:4">
      <c r="A55" s="3018"/>
      <c r="B55" s="2802" t="s">
        <v>325</v>
      </c>
      <c r="C55" s="380" t="s">
        <v>326</v>
      </c>
    </row>
    <row r="56" spans="1:4">
      <c r="A56" s="3018"/>
      <c r="B56" s="2802" t="s">
        <v>327</v>
      </c>
      <c r="C56" s="380" t="s">
        <v>328</v>
      </c>
    </row>
    <row r="57" spans="1:4">
      <c r="A57" s="3018"/>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3023" t="str">
        <f>IF(B10="北京市","北京市",C10)&amp;F10&amp;IF(结果表!G1="在建","出让国有建设用地使用权及在建建筑物",IF(结果表!G1="土地","出让国有建设用地使用权",))&amp;B9&amp;"预评估"</f>
        <v>北京市房地产市场价值预评估</v>
      </c>
      <c r="C1" s="3024"/>
      <c r="D1" s="3024"/>
      <c r="E1" s="3024"/>
      <c r="F1" s="3024"/>
      <c r="G1" s="3024"/>
      <c r="H1" s="3024"/>
      <c r="I1" s="3025"/>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45422</v>
      </c>
      <c r="C3" s="2687" t="s">
        <v>334</v>
      </c>
      <c r="D3" s="2686">
        <f>B3</f>
        <v>45422</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38" t="s">
        <v>341</v>
      </c>
      <c r="E8" s="2702"/>
      <c r="F8" s="2703"/>
      <c r="G8" s="2456"/>
      <c r="H8" s="2456"/>
      <c r="I8" s="2456"/>
      <c r="J8" s="2317"/>
      <c r="K8" s="2778"/>
      <c r="L8" s="2776"/>
      <c r="M8" s="2776"/>
      <c r="N8" s="2317"/>
      <c r="O8" s="2137"/>
      <c r="P8" s="2317"/>
      <c r="Q8" s="2317"/>
      <c r="R8" s="2317"/>
    </row>
    <row r="9" spans="1:28">
      <c r="A9" s="2704" t="s">
        <v>342</v>
      </c>
      <c r="B9" s="2705" t="s">
        <v>343</v>
      </c>
      <c r="C9" s="2706"/>
      <c r="D9" s="3039"/>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3026"/>
      <c r="C16" s="3027"/>
      <c r="D16" s="3028"/>
      <c r="E16" s="2729" t="s">
        <v>364</v>
      </c>
      <c r="F16" s="3029"/>
      <c r="G16" s="3030"/>
      <c r="H16" s="3030"/>
      <c r="I16" s="3031"/>
      <c r="J16" s="2317"/>
      <c r="K16" s="2781"/>
      <c r="L16" s="2137"/>
      <c r="M16" s="2137"/>
      <c r="N16" s="2317"/>
      <c r="O16" s="2137"/>
      <c r="P16" s="2317"/>
      <c r="Q16" s="2317"/>
      <c r="R16" s="2317"/>
    </row>
    <row r="17" spans="1:28">
      <c r="A17" s="51" t="s">
        <v>365</v>
      </c>
      <c r="B17" s="39" t="s">
        <v>366</v>
      </c>
      <c r="C17" s="643">
        <f>'数据-汇总表'!E3</f>
        <v>1837.06</v>
      </c>
      <c r="D17" s="97" t="s">
        <v>367</v>
      </c>
      <c r="E17" s="3032" t="s">
        <v>368</v>
      </c>
      <c r="F17" s="3033"/>
      <c r="G17" s="3033"/>
      <c r="H17" s="3033"/>
      <c r="I17" s="3034"/>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35" t="s">
        <v>371</v>
      </c>
      <c r="F18" s="3036"/>
      <c r="G18" s="3036"/>
      <c r="H18" s="3036"/>
      <c r="I18" s="3037"/>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3042" t="s">
        <v>376</v>
      </c>
      <c r="C20" s="3043"/>
      <c r="D20" s="3044" t="s">
        <v>377</v>
      </c>
      <c r="E20" s="3045"/>
      <c r="F20" s="2738" t="s">
        <v>378</v>
      </c>
      <c r="G20" s="2456"/>
      <c r="H20" s="2456"/>
      <c r="I20" s="2456"/>
      <c r="J20" s="2317"/>
      <c r="K20" s="3040"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3040"/>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3040"/>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3019"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3019"/>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3019"/>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3020"/>
      <c r="B30" s="39" t="s">
        <v>394</v>
      </c>
      <c r="C30" s="3046"/>
      <c r="D30" s="3047"/>
      <c r="E30" s="2456"/>
      <c r="F30" s="2456"/>
      <c r="G30" s="2456"/>
      <c r="H30" s="2456"/>
      <c r="I30" s="2456"/>
      <c r="J30" s="2317"/>
      <c r="K30" s="2777"/>
      <c r="L30" s="2776"/>
      <c r="M30" s="2776"/>
      <c r="N30" s="2317"/>
      <c r="O30" s="2137"/>
      <c r="P30" s="2317"/>
      <c r="Q30" s="2317"/>
      <c r="R30" s="2317"/>
      <c r="S30" s="2317"/>
      <c r="T30" s="2317"/>
      <c r="U30" s="2317"/>
      <c r="V30" s="2317"/>
    </row>
    <row r="31" spans="1:28">
      <c r="A31" s="3021"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3022"/>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3022"/>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3041" t="s">
        <v>404</v>
      </c>
      <c r="T34" s="2792" t="str">
        <f>NUMBERSTRING(7-K34,1)&amp;"通"</f>
        <v>七通</v>
      </c>
      <c r="U34" s="2317"/>
      <c r="V34" s="2317"/>
    </row>
    <row r="35" spans="1:30">
      <c r="A35" s="2763"/>
      <c r="B35" s="3041" t="s">
        <v>405</v>
      </c>
      <c r="C35" s="3041"/>
      <c r="D35" s="3041"/>
      <c r="E35" s="3041"/>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41"/>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6578.91</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6578.91</v>
      </c>
      <c r="H5" s="2608">
        <f t="shared" ref="H5:AT5" si="0">SUM(H13:H656)</f>
        <v>6578.91</v>
      </c>
      <c r="I5" s="2608">
        <f t="shared" si="0"/>
        <v>6578.91</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1837.06</v>
      </c>
      <c r="BA5" s="2662">
        <f t="shared" si="1"/>
        <v>1837.06</v>
      </c>
      <c r="BB5" s="2662">
        <f t="shared" si="1"/>
        <v>1837.06</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28" t="s">
        <v>2828</v>
      </c>
      <c r="D13" s="2623" t="s">
        <v>471</v>
      </c>
      <c r="E13" s="2608">
        <f>IF($C$3="是",ROUND($A$3*G13/$B$3,2),ROUND($A$3*(G13-AT13)/$B$3,2))</f>
        <v>0</v>
      </c>
      <c r="F13" s="2624"/>
      <c r="G13" s="2625">
        <f>H13+AC13+AT13</f>
        <v>1837.06</v>
      </c>
      <c r="H13" s="2611">
        <f>SUMIF(I$12:AB$12,"总值",I13:AB13)</f>
        <v>1837.06</v>
      </c>
      <c r="I13" s="2637">
        <v>1837.06</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健身房</v>
      </c>
      <c r="AY13" s="2147">
        <f>ROUND($AY$6*AZ13/$AZ$5,2)</f>
        <v>0</v>
      </c>
      <c r="AZ13" s="2608">
        <f>BA13+BL13</f>
        <v>1837.06</v>
      </c>
      <c r="BA13" s="2608">
        <f>SUM(BB13:BK13)</f>
        <v>1837.06</v>
      </c>
      <c r="BB13" s="2608">
        <f>IF($D13="是",I13-J13,0)</f>
        <v>1837.06</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1562.01</v>
      </c>
      <c r="H14" s="2611">
        <f>SUMIF(I$12:AB$12,"总值",I14:AB14)</f>
        <v>1562.01</v>
      </c>
      <c r="I14" s="2637">
        <v>1562.01</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3179.84</v>
      </c>
      <c r="H15" s="2611">
        <f>SUMIF(I$12:AB$12,"总值",I15:AB15)</f>
        <v>3179.84</v>
      </c>
      <c r="I15" s="2638">
        <v>3179.84</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28"/>
      <c r="D16" s="2623"/>
      <c r="E16" s="2608">
        <f>IF($C$3="是",ROUND($A$3*G16/$B$3,2),ROUND($A$3*(G16-AT16)/$B$3,2))</f>
        <v>0</v>
      </c>
      <c r="F16" s="2624"/>
      <c r="G16" s="2625">
        <f>H16+AC16+AT16</f>
        <v>0</v>
      </c>
      <c r="H16" s="2611">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f t="shared" si="6"/>
        <v>0</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0</v>
      </c>
      <c r="H17" s="2611">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0</v>
      </c>
      <c r="H18" s="2631">
        <f t="shared" ref="H18:H109" si="9">SUMIF(I$12:AB$12,"总值",I18:AB18)</f>
        <v>0</v>
      </c>
      <c r="I18" s="2637"/>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49" t="s">
        <v>472</v>
      </c>
      <c r="B1" s="3049" t="s">
        <v>473</v>
      </c>
      <c r="C1" s="3049" t="s">
        <v>474</v>
      </c>
      <c r="D1" s="3048" t="s">
        <v>475</v>
      </c>
      <c r="E1" s="3048" t="s">
        <v>476</v>
      </c>
      <c r="F1" s="3048"/>
      <c r="G1" s="3048"/>
      <c r="H1" s="3048"/>
      <c r="I1" s="3048"/>
      <c r="J1" s="3048"/>
      <c r="K1" s="3048"/>
      <c r="L1" s="3048"/>
      <c r="M1" s="3048"/>
    </row>
    <row r="2" spans="1:13" ht="27" customHeight="1">
      <c r="A2" s="3049"/>
      <c r="B2" s="3049"/>
      <c r="C2" s="3049"/>
      <c r="D2" s="3048"/>
      <c r="E2" s="3048" t="s">
        <v>477</v>
      </c>
      <c r="F2" s="3048" t="s">
        <v>478</v>
      </c>
      <c r="G2" s="3048"/>
      <c r="H2" s="3048"/>
      <c r="I2" s="3048"/>
      <c r="J2" s="3048" t="s">
        <v>479</v>
      </c>
      <c r="K2" s="3048"/>
      <c r="L2" s="3048"/>
      <c r="M2" s="3048"/>
    </row>
    <row r="3" spans="1:13" ht="28.5">
      <c r="A3" s="3049"/>
      <c r="B3" s="3049"/>
      <c r="C3" s="3049"/>
      <c r="D3" s="3048"/>
      <c r="E3" s="3048"/>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8" t="s">
        <v>494</v>
      </c>
      <c r="B9" s="3048"/>
      <c r="C9" s="3048"/>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59" t="s">
        <v>496</v>
      </c>
      <c r="B2" s="3059"/>
      <c r="C2" s="3059"/>
      <c r="D2" s="1913" t="s">
        <v>497</v>
      </c>
      <c r="E2" s="2534" t="s">
        <v>498</v>
      </c>
      <c r="F2" s="2393"/>
      <c r="G2" s="2535"/>
      <c r="H2" s="2536"/>
      <c r="I2" s="2232" t="s">
        <v>499</v>
      </c>
      <c r="J2" s="2393"/>
      <c r="K2" s="2393"/>
      <c r="L2" s="2393"/>
      <c r="M2" s="2393"/>
      <c r="N2" s="1358"/>
      <c r="O2" s="2393"/>
      <c r="P2" s="2393"/>
    </row>
    <row r="3" spans="1:16" ht="15">
      <c r="A3" s="3060" t="s">
        <v>500</v>
      </c>
      <c r="B3" s="3060"/>
      <c r="C3" s="3060"/>
      <c r="D3" s="2537">
        <f>'数据-基础表'!AY6</f>
        <v>0</v>
      </c>
      <c r="E3" s="2537">
        <f>'数据-基础表'!AZ5</f>
        <v>1837.06</v>
      </c>
      <c r="F3" s="2393"/>
      <c r="G3" s="2538"/>
      <c r="H3" s="2037" t="s">
        <v>501</v>
      </c>
      <c r="I3" s="1745" t="e">
        <f>ROUND('数据-基础表'!B3/'数据-基础表'!A3,2)</f>
        <v>#DIV/0!</v>
      </c>
      <c r="J3" s="2393"/>
      <c r="K3" s="2393"/>
      <c r="L3" s="2393"/>
      <c r="M3" s="2393"/>
      <c r="N3" s="1358"/>
      <c r="O3" s="2393"/>
      <c r="P3" s="2393"/>
    </row>
    <row r="4" spans="1:16" ht="15">
      <c r="A4" s="3061"/>
      <c r="B4" s="3062"/>
      <c r="C4" s="3063"/>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64" t="s">
        <v>505</v>
      </c>
      <c r="C5" s="3064"/>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64" t="s">
        <v>506</v>
      </c>
      <c r="C6" s="3064"/>
      <c r="D6" s="2037">
        <f>ROUND($D$3*E6/$E$3,2)</f>
        <v>0</v>
      </c>
      <c r="E6" s="2542">
        <f>E3-E5</f>
        <v>1837.06</v>
      </c>
      <c r="F6" s="2393"/>
      <c r="G6" s="2544" t="s">
        <v>507</v>
      </c>
      <c r="H6" s="2545" t="s">
        <v>503</v>
      </c>
      <c r="I6" s="2584" t="e">
        <f>ROUND(F31/D31,2)</f>
        <v>#VALUE!</v>
      </c>
      <c r="J6" s="2393"/>
      <c r="K6" s="2393"/>
      <c r="L6" s="2393"/>
      <c r="M6" s="2393"/>
      <c r="N6" s="2393"/>
      <c r="O6" s="2393"/>
      <c r="P6" s="2393"/>
    </row>
    <row r="7" spans="1:16" ht="15">
      <c r="A7" s="3050"/>
      <c r="B7" s="3051"/>
      <c r="C7" s="3052"/>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1837.06</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1837.06</v>
      </c>
      <c r="F16" s="2393"/>
      <c r="G16" s="2393"/>
      <c r="H16" s="2552" t="s">
        <v>521</v>
      </c>
      <c r="I16" s="2586"/>
      <c r="J16" s="2084"/>
      <c r="K16" s="3053" t="s">
        <v>521</v>
      </c>
      <c r="L16" s="3054"/>
      <c r="M16" s="3054"/>
      <c r="N16" s="3054"/>
      <c r="O16" s="3054"/>
      <c r="P16" s="3055"/>
    </row>
    <row r="17" spans="1:19" ht="15">
      <c r="A17" s="2503" t="s">
        <v>522</v>
      </c>
      <c r="B17" s="2553" t="s">
        <v>523</v>
      </c>
      <c r="C17" s="2058" t="s">
        <v>524</v>
      </c>
      <c r="D17" s="2554" t="s">
        <v>497</v>
      </c>
      <c r="E17" s="2555" t="s">
        <v>498</v>
      </c>
      <c r="F17" s="2556"/>
      <c r="G17" s="2557"/>
      <c r="H17" s="2558" t="s">
        <v>525</v>
      </c>
      <c r="I17" s="2587" t="s">
        <v>526</v>
      </c>
      <c r="J17" s="2084"/>
      <c r="K17" s="3056" t="s">
        <v>527</v>
      </c>
      <c r="L17" s="3057"/>
      <c r="M17" s="3058"/>
      <c r="N17" s="3056" t="s">
        <v>528</v>
      </c>
      <c r="O17" s="3057"/>
      <c r="P17" s="3058"/>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1837.06</v>
      </c>
      <c r="F19" s="2567">
        <f>'数据-基础表'!I13</f>
        <v>1837.06</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1837.06</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1837.06</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1837.06</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1837.06</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45422</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1837.06</v>
      </c>
      <c r="L6" s="2465">
        <v>3500</v>
      </c>
      <c r="M6" s="2466">
        <f t="shared" ref="M6:M14" si="0">ROUND(K6*L6/10000,0)</f>
        <v>643</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1837.06</v>
      </c>
      <c r="L16" s="2475">
        <f>ROUND(M16*10000/SUM(K6:K14),0)</f>
        <v>3500</v>
      </c>
      <c r="M16" s="2475">
        <f>SUM(M6:M14)</f>
        <v>643</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11" sqref="C11"/>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65" t="s">
        <v>653</v>
      </c>
      <c r="B1" s="3066"/>
      <c r="C1" s="3066"/>
      <c r="D1" s="3066"/>
      <c r="E1" s="3066"/>
      <c r="F1" s="3066"/>
      <c r="G1" s="3066"/>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38.25">
      <c r="A4" s="2310"/>
      <c r="B4" s="84" t="s">
        <v>661</v>
      </c>
      <c r="C4" s="2308" t="s">
        <v>2896</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2873</v>
      </c>
      <c r="D6" s="2309"/>
      <c r="E6" s="2313"/>
      <c r="F6" s="84" t="s">
        <v>667</v>
      </c>
      <c r="G6" s="2314" t="s">
        <v>668</v>
      </c>
      <c r="H6" s="1885"/>
      <c r="I6" s="1885"/>
      <c r="J6" s="1885"/>
      <c r="K6" s="1885"/>
      <c r="L6" s="1885"/>
      <c r="M6" s="1885"/>
      <c r="N6" s="1885"/>
      <c r="O6" s="1885"/>
      <c r="P6" s="1885"/>
      <c r="Q6" s="1885"/>
    </row>
    <row r="7" spans="1:29" ht="96">
      <c r="A7" s="2310"/>
      <c r="B7" s="84" t="s">
        <v>461</v>
      </c>
      <c r="C7" s="2962" t="s">
        <v>2874</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2875</v>
      </c>
      <c r="D9" s="2309"/>
      <c r="E9" s="2317"/>
      <c r="F9" s="120"/>
      <c r="G9" s="120"/>
      <c r="H9" s="1885"/>
      <c r="I9" s="1885"/>
      <c r="J9" s="1885"/>
      <c r="K9" s="1885"/>
      <c r="L9" s="1885"/>
      <c r="M9" s="1885"/>
      <c r="N9" s="1885"/>
      <c r="O9" s="1885"/>
      <c r="P9" s="1885"/>
      <c r="Q9" s="1885"/>
    </row>
    <row r="10" spans="1:29">
      <c r="A10" s="2321"/>
      <c r="B10" s="2322" t="s">
        <v>673</v>
      </c>
      <c r="C10" s="2323" t="s">
        <v>2899</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估价对象周边商业设施以住宅配套商业为主，周边2公里有芳圆里IDMALL、合生汇等，估价对象临城市支路-广泰东路，人流量一般，商业繁华程度一般。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25.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c r="A24" s="2347"/>
      <c r="B24" s="2345" t="s">
        <v>673</v>
      </c>
      <c r="C24" s="2348" t="str">
        <f>C10</f>
        <v>紧邻城市支路——广泰东路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1837.06</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45422</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6429.71</v>
      </c>
      <c r="C5" s="2287">
        <f>ROUND(B5*10000/$B$1,0)</f>
        <v>35000</v>
      </c>
      <c r="D5" s="2287" t="e">
        <f>ROUND(B5*10000/$B$2,0)</f>
        <v>#DIV/0!</v>
      </c>
      <c r="E5" s="2288"/>
      <c r="F5" s="2289"/>
      <c r="G5" s="2289"/>
      <c r="H5" s="2289"/>
      <c r="I5" s="2289"/>
      <c r="J5" s="2289"/>
      <c r="K5" s="2289"/>
    </row>
    <row r="6" spans="1:11" ht="16.5">
      <c r="A6" s="2287" t="s">
        <v>686</v>
      </c>
      <c r="B6" s="2287">
        <f>SUM(G14:G23)</f>
        <v>6429.71</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1837.06</v>
      </c>
      <c r="C14" s="2295">
        <f>结果表!C118</f>
        <v>0</v>
      </c>
      <c r="D14" s="2295">
        <f>B14*E14/10000</f>
        <v>6429.71</v>
      </c>
      <c r="E14" s="2295">
        <v>35000</v>
      </c>
      <c r="F14" s="2295" t="e">
        <f>ROUND(D14*10000/C14,0)</f>
        <v>#DIV/0!</v>
      </c>
      <c r="G14" s="2295">
        <f>D14</f>
        <v>6429.71</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067" t="str">
        <f>项目基本情况!S2</f>
        <v>北京市房地产</v>
      </c>
      <c r="B2" s="3068"/>
      <c r="C2" s="3068"/>
      <c r="D2" s="3068"/>
      <c r="E2" s="3068"/>
      <c r="F2" s="3068"/>
      <c r="G2" s="3068"/>
      <c r="H2" s="3068"/>
      <c r="I2" s="3069"/>
    </row>
    <row r="3" spans="1:12" ht="12.75">
      <c r="A3" s="3070" t="s">
        <v>708</v>
      </c>
      <c r="B3" s="3071"/>
      <c r="C3" s="3071"/>
      <c r="D3" s="3071"/>
      <c r="E3" s="3071"/>
      <c r="F3" s="3071"/>
      <c r="G3" s="3071"/>
      <c r="H3" s="3071"/>
      <c r="I3" s="3071"/>
    </row>
    <row r="4" spans="1:12" ht="14.25">
      <c r="A4" s="2018" t="s">
        <v>709</v>
      </c>
      <c r="B4" s="2019" t="s">
        <v>710</v>
      </c>
      <c r="C4" s="2020"/>
      <c r="D4" s="2020"/>
      <c r="E4" s="3072" t="s">
        <v>711</v>
      </c>
      <c r="F4" s="3073"/>
      <c r="G4" s="3073"/>
      <c r="H4" s="3073"/>
      <c r="I4" s="3074"/>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7" t="s">
        <v>712</v>
      </c>
      <c r="B5" s="3158">
        <v>25</v>
      </c>
      <c r="C5" s="3087"/>
      <c r="D5" s="3086"/>
      <c r="E5" s="82" t="s">
        <v>713</v>
      </c>
      <c r="F5" s="2025"/>
      <c r="G5" s="2025"/>
      <c r="H5" s="2025"/>
      <c r="I5" s="161"/>
    </row>
    <row r="6" spans="1:12" ht="12.75">
      <c r="A6" s="3117"/>
      <c r="B6" s="3158"/>
      <c r="C6" s="3088"/>
      <c r="D6" s="3086"/>
      <c r="E6" s="82" t="s">
        <v>714</v>
      </c>
      <c r="F6" s="2025"/>
      <c r="G6" s="2025"/>
      <c r="H6" s="2025"/>
      <c r="I6" s="161"/>
    </row>
    <row r="7" spans="1:12" ht="12.75">
      <c r="A7" s="3117"/>
      <c r="B7" s="3158"/>
      <c r="C7" s="3089"/>
      <c r="D7" s="3086"/>
      <c r="E7" s="82" t="s">
        <v>715</v>
      </c>
      <c r="F7" s="2025"/>
      <c r="G7" s="2025"/>
      <c r="H7" s="2025"/>
      <c r="I7" s="161"/>
    </row>
    <row r="8" spans="1:12" ht="12.75">
      <c r="A8" s="3117" t="s">
        <v>716</v>
      </c>
      <c r="B8" s="3158">
        <v>15</v>
      </c>
      <c r="C8" s="3087"/>
      <c r="D8" s="3086"/>
      <c r="E8" s="82" t="s">
        <v>717</v>
      </c>
      <c r="F8" s="2025"/>
      <c r="G8" s="2025"/>
      <c r="H8" s="2025"/>
      <c r="I8" s="161"/>
    </row>
    <row r="9" spans="1:12" ht="12.75">
      <c r="A9" s="3117"/>
      <c r="B9" s="3158"/>
      <c r="C9" s="3089"/>
      <c r="D9" s="3086"/>
      <c r="E9" s="82" t="s">
        <v>718</v>
      </c>
      <c r="F9" s="2025"/>
      <c r="G9" s="2025"/>
      <c r="H9" s="2025"/>
      <c r="I9" s="161"/>
    </row>
    <row r="10" spans="1:12" ht="12.75">
      <c r="A10" s="3117" t="s">
        <v>719</v>
      </c>
      <c r="B10" s="3158">
        <v>15</v>
      </c>
      <c r="C10" s="3087"/>
      <c r="D10" s="3086"/>
      <c r="E10" s="82" t="s">
        <v>720</v>
      </c>
      <c r="F10" s="2025"/>
      <c r="G10" s="2025"/>
      <c r="H10" s="2025"/>
      <c r="I10" s="161"/>
    </row>
    <row r="11" spans="1:12" ht="12.75">
      <c r="A11" s="3117"/>
      <c r="B11" s="3158"/>
      <c r="C11" s="3089"/>
      <c r="D11" s="3086"/>
      <c r="E11" s="82" t="s">
        <v>721</v>
      </c>
      <c r="F11" s="2025"/>
      <c r="G11" s="2025"/>
      <c r="H11" s="2025"/>
      <c r="I11" s="161"/>
    </row>
    <row r="12" spans="1:12" ht="12.75">
      <c r="A12" s="3117" t="s">
        <v>722</v>
      </c>
      <c r="B12" s="3158">
        <v>15</v>
      </c>
      <c r="C12" s="3087"/>
      <c r="D12" s="3086"/>
      <c r="E12" s="82" t="s">
        <v>723</v>
      </c>
      <c r="F12" s="2025"/>
      <c r="G12" s="2025"/>
      <c r="H12" s="2025"/>
      <c r="I12" s="161"/>
    </row>
    <row r="13" spans="1:12" ht="12.75">
      <c r="A13" s="3117"/>
      <c r="B13" s="3158"/>
      <c r="C13" s="3089"/>
      <c r="D13" s="3086"/>
      <c r="E13" s="82" t="s">
        <v>724</v>
      </c>
      <c r="F13" s="2025"/>
      <c r="G13" s="2025"/>
      <c r="H13" s="2025"/>
      <c r="I13" s="161"/>
    </row>
    <row r="14" spans="1:12" ht="12.75">
      <c r="A14" s="3117" t="s">
        <v>725</v>
      </c>
      <c r="B14" s="3158">
        <v>30</v>
      </c>
      <c r="C14" s="3087"/>
      <c r="D14" s="3086"/>
      <c r="E14" s="82" t="s">
        <v>726</v>
      </c>
      <c r="F14" s="2025"/>
      <c r="G14" s="2025"/>
      <c r="H14" s="2025"/>
      <c r="I14" s="161"/>
    </row>
    <row r="15" spans="1:12" ht="12.75">
      <c r="A15" s="3117"/>
      <c r="B15" s="3158"/>
      <c r="C15" s="3088"/>
      <c r="D15" s="3086"/>
      <c r="E15" s="82" t="s">
        <v>727</v>
      </c>
      <c r="F15" s="2025"/>
      <c r="G15" s="2025"/>
      <c r="H15" s="2025"/>
      <c r="I15" s="161"/>
    </row>
    <row r="16" spans="1:12" ht="12.75">
      <c r="A16" s="3117"/>
      <c r="B16" s="3158"/>
      <c r="C16" s="3089"/>
      <c r="D16" s="3086"/>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075" t="s">
        <v>733</v>
      </c>
      <c r="F18" s="3076"/>
      <c r="G18" s="3076"/>
      <c r="H18" s="3076"/>
      <c r="I18" s="3076"/>
      <c r="K18" s="39" t="s">
        <v>366</v>
      </c>
      <c r="L18" s="39">
        <f>IF(C1="",'数据-汇总表'!E3,SUMIF(项目类型,C1,'数据-汇总表'!E17:E26)+SUMIF(项目类型,C1,'数据-汇总表'!I17:I26))</f>
        <v>1837.06</v>
      </c>
      <c r="M18" s="39">
        <f>IF(C1="",'数据-汇总表'!E3,SUMIF(项目类型,C1,'数据-汇总表'!E17:E26))</f>
        <v>1837.06</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151" t="s">
        <v>742</v>
      </c>
      <c r="B24" s="2032" t="s">
        <v>735</v>
      </c>
      <c r="C24" s="2034">
        <f>IF(B30=0,0,D30)</f>
        <v>0</v>
      </c>
      <c r="D24" s="2048"/>
      <c r="E24" s="120"/>
      <c r="F24" s="120"/>
      <c r="G24" s="120"/>
      <c r="H24" s="120"/>
      <c r="I24" s="120"/>
    </row>
    <row r="25" spans="1:36" ht="14.25">
      <c r="A25" s="3152"/>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153" t="s">
        <v>757</v>
      </c>
      <c r="B36" s="2077" t="s">
        <v>758</v>
      </c>
      <c r="C36" s="2078"/>
      <c r="D36" s="2079"/>
      <c r="E36" s="2080"/>
      <c r="F36" s="2081"/>
      <c r="G36" s="120"/>
      <c r="H36" s="120"/>
      <c r="I36" s="120"/>
    </row>
    <row r="37" spans="1:15" ht="15">
      <c r="A37" s="3154"/>
      <c r="B37" s="2082" t="s">
        <v>759</v>
      </c>
      <c r="C37" s="2083"/>
      <c r="D37" s="2084"/>
      <c r="E37" s="2084"/>
      <c r="F37" s="2081"/>
      <c r="G37" s="120"/>
      <c r="H37" s="120"/>
      <c r="I37" s="120"/>
    </row>
    <row r="38" spans="1:15" ht="15">
      <c r="A38" s="3155"/>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077" t="s">
        <v>768</v>
      </c>
      <c r="B45" s="3078"/>
      <c r="C45" s="3079"/>
      <c r="D45" s="38" t="e">
        <f ca="1">ROUND(H101*F45,0)</f>
        <v>#REF!</v>
      </c>
      <c r="E45" s="2103" t="s">
        <v>769</v>
      </c>
      <c r="F45" s="2104">
        <v>1</v>
      </c>
      <c r="G45" s="50" t="s">
        <v>770</v>
      </c>
      <c r="H45" s="120"/>
      <c r="I45" s="120"/>
      <c r="J45" s="3080" t="s">
        <v>771</v>
      </c>
      <c r="K45" s="3080"/>
      <c r="L45" s="3080"/>
      <c r="M45" s="3080"/>
      <c r="N45" s="3080"/>
      <c r="O45" s="3080"/>
    </row>
    <row r="46" spans="1:15" ht="14.25" customHeight="1">
      <c r="A46" s="3081" t="s">
        <v>772</v>
      </c>
      <c r="B46" s="3082"/>
      <c r="C46" s="3082"/>
      <c r="D46" s="3082"/>
      <c r="E46" s="3082"/>
      <c r="F46" s="3082"/>
      <c r="G46" s="3083"/>
      <c r="H46" s="2105"/>
      <c r="I46" s="635"/>
      <c r="J46" s="2153">
        <v>1</v>
      </c>
      <c r="K46" s="3084" t="s">
        <v>773</v>
      </c>
      <c r="L46" s="3084"/>
      <c r="M46" s="3085"/>
      <c r="N46" s="3085"/>
      <c r="O46" s="3085"/>
    </row>
    <row r="47" spans="1:15" ht="12" customHeight="1">
      <c r="A47" s="2106" t="s">
        <v>774</v>
      </c>
      <c r="B47" s="2107"/>
      <c r="C47" s="2108"/>
      <c r="D47" s="93" t="s">
        <v>775</v>
      </c>
      <c r="E47" s="39" t="s">
        <v>776</v>
      </c>
      <c r="F47" s="2109" t="s">
        <v>777</v>
      </c>
      <c r="G47" s="2110" t="s">
        <v>778</v>
      </c>
      <c r="H47" s="2111"/>
      <c r="I47" s="635"/>
      <c r="J47" s="2153">
        <v>2</v>
      </c>
      <c r="K47" s="3084" t="s">
        <v>779</v>
      </c>
      <c r="L47" s="3084"/>
      <c r="M47" s="3090">
        <f>'数据-取费表'!B2</f>
        <v>45422</v>
      </c>
      <c r="N47" s="3090"/>
      <c r="O47" s="3090"/>
    </row>
    <row r="48" spans="1:15" ht="25.5">
      <c r="A48" s="3091" t="s">
        <v>780</v>
      </c>
      <c r="B48" s="3092"/>
      <c r="C48" s="3092"/>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084" t="s">
        <v>782</v>
      </c>
      <c r="L48" s="3084"/>
      <c r="M48" s="3093" t="e">
        <f ca="1">H101</f>
        <v>#REF!</v>
      </c>
      <c r="N48" s="3093"/>
      <c r="O48" s="3093"/>
    </row>
    <row r="49" spans="1:35" ht="25.5" customHeight="1">
      <c r="A49" s="2112" t="s">
        <v>783</v>
      </c>
      <c r="B49" s="3094" t="s">
        <v>784</v>
      </c>
      <c r="C49" s="3094"/>
      <c r="D49" s="2116">
        <v>0</v>
      </c>
      <c r="E49" s="103" t="s">
        <v>785</v>
      </c>
      <c r="F49" s="2117" t="s">
        <v>124</v>
      </c>
      <c r="G49" s="3100"/>
      <c r="H49" s="2118" t="s">
        <v>786</v>
      </c>
      <c r="I49" s="2155"/>
      <c r="J49" s="2153">
        <v>4</v>
      </c>
      <c r="K49" s="3084" t="str">
        <f>IF(项目基本情况!E8="房地产抵押价值","房地产抵押价值","抵押担保权已注销时的房地产抵押价值")</f>
        <v>抵押担保权已注销时的房地产抵押价值</v>
      </c>
      <c r="L49" s="3084"/>
      <c r="M49" s="3093" t="str">
        <f>IF(项目基本情况!E8="房地产抵押价值",H107,H109)</f>
        <v>——</v>
      </c>
      <c r="N49" s="3093"/>
      <c r="O49" s="3093"/>
    </row>
    <row r="50" spans="1:35" ht="25.5" customHeight="1">
      <c r="A50" s="2119"/>
      <c r="B50" s="3094" t="s">
        <v>787</v>
      </c>
      <c r="C50" s="3094"/>
      <c r="D50" s="2120"/>
      <c r="E50" s="118"/>
      <c r="F50" s="2117"/>
      <c r="G50" s="3101"/>
      <c r="H50" s="2121" t="s">
        <v>788</v>
      </c>
      <c r="I50" s="2155"/>
      <c r="J50" s="3080" t="s">
        <v>789</v>
      </c>
      <c r="K50" s="3080"/>
      <c r="L50" s="3080"/>
      <c r="M50" s="3080"/>
      <c r="N50" s="3080"/>
      <c r="O50" s="3080"/>
    </row>
    <row r="51" spans="1:35" ht="20.45" customHeight="1">
      <c r="A51" s="2122"/>
      <c r="B51" s="3094" t="s">
        <v>790</v>
      </c>
      <c r="C51" s="3094"/>
      <c r="D51" s="93"/>
      <c r="E51" s="107"/>
      <c r="F51" s="2117"/>
      <c r="G51" s="3102"/>
      <c r="H51" s="2121" t="s">
        <v>791</v>
      </c>
      <c r="I51" s="2155"/>
      <c r="J51" s="2154" t="s">
        <v>792</v>
      </c>
      <c r="K51" s="3084" t="s">
        <v>793</v>
      </c>
      <c r="L51" s="3084"/>
      <c r="M51" s="2154" t="s">
        <v>794</v>
      </c>
      <c r="N51" s="2154" t="s">
        <v>795</v>
      </c>
      <c r="O51" s="2154" t="s">
        <v>796</v>
      </c>
    </row>
    <row r="52" spans="1:35" ht="24" customHeight="1">
      <c r="A52" s="2123" t="s">
        <v>797</v>
      </c>
      <c r="B52" s="3094" t="s">
        <v>798</v>
      </c>
      <c r="C52" s="3094"/>
      <c r="D52" s="93" t="e">
        <f ca="1">ROUND(D45*'数据-取费表'!B41/(1+'数据-取费表'!C42),0)</f>
        <v>#REF!</v>
      </c>
      <c r="E52" s="97" t="s">
        <v>799</v>
      </c>
      <c r="F52" s="2124">
        <f>'数据-取费表'!B41</f>
        <v>5.6000000000000001E-2</v>
      </c>
      <c r="G52" s="2125"/>
      <c r="H52" s="212"/>
      <c r="I52" s="2156"/>
      <c r="J52" s="2153">
        <v>1</v>
      </c>
      <c r="K52" s="3096" t="s">
        <v>800</v>
      </c>
      <c r="L52" s="3096"/>
      <c r="M52" s="2157" t="b">
        <f>D48</f>
        <v>0</v>
      </c>
      <c r="N52" s="2153" t="str">
        <f>E48</f>
        <v>销售额×税（费）率</v>
      </c>
      <c r="O52" s="2158">
        <f>F48</f>
        <v>5.6000000000000001E-2</v>
      </c>
    </row>
    <row r="53" spans="1:35" ht="12" customHeight="1">
      <c r="A53" s="2123" t="s">
        <v>801</v>
      </c>
      <c r="B53" s="3097" t="s">
        <v>802</v>
      </c>
      <c r="C53" s="3098"/>
      <c r="D53" s="93" t="e">
        <f ca="1">ROUND(D45*'数据-取费表'!B41/(1+'数据-取费表'!C42),0)</f>
        <v>#REF!</v>
      </c>
      <c r="E53" s="97" t="s">
        <v>799</v>
      </c>
      <c r="F53" s="2124">
        <f>'数据-取费表'!B41</f>
        <v>5.6000000000000001E-2</v>
      </c>
      <c r="G53" s="2125"/>
      <c r="H53" s="212"/>
      <c r="I53" s="2156"/>
      <c r="J53" s="2153">
        <v>2</v>
      </c>
      <c r="K53" s="3096" t="s">
        <v>803</v>
      </c>
      <c r="L53" s="3096"/>
      <c r="M53" s="2157" t="e">
        <f t="shared" ref="M53:O54" ca="1" si="0">D55</f>
        <v>#REF!</v>
      </c>
      <c r="N53" s="2153" t="str">
        <f t="shared" si="0"/>
        <v>销售额×税（费）率</v>
      </c>
      <c r="O53" s="2158" t="str">
        <f t="shared" si="0"/>
        <v>免征</v>
      </c>
    </row>
    <row r="54" spans="1:35" ht="12" customHeight="1">
      <c r="A54" s="2123" t="s">
        <v>804</v>
      </c>
      <c r="B54" s="3097" t="s">
        <v>805</v>
      </c>
      <c r="C54" s="3098"/>
      <c r="D54" s="93" t="e">
        <f ca="1">C68</f>
        <v>#REF!</v>
      </c>
      <c r="E54" s="107" t="s">
        <v>806</v>
      </c>
      <c r="F54" s="2124">
        <f>'数据-取费表'!B41</f>
        <v>5.6000000000000001E-2</v>
      </c>
      <c r="G54" s="2125"/>
      <c r="H54" s="2126"/>
      <c r="I54" s="2156"/>
      <c r="J54" s="2153">
        <v>3</v>
      </c>
      <c r="K54" s="3096" t="s">
        <v>807</v>
      </c>
      <c r="L54" s="3096"/>
      <c r="M54" s="2157" t="e">
        <f t="shared" ca="1" si="0"/>
        <v>#REF!</v>
      </c>
      <c r="N54" s="2153" t="str">
        <f t="shared" si="0"/>
        <v>增值额×税（费）率</v>
      </c>
      <c r="O54" s="2159" t="str">
        <f t="shared" si="0"/>
        <v>免征</v>
      </c>
    </row>
    <row r="55" spans="1:35" ht="24" customHeight="1">
      <c r="A55" s="3099" t="s">
        <v>808</v>
      </c>
      <c r="B55" s="3092"/>
      <c r="C55" s="3092"/>
      <c r="D55" s="198" t="e">
        <f ca="1">IF(H55="个人住宅",0,ROUND(D45*I55,0))</f>
        <v>#REF!</v>
      </c>
      <c r="E55" s="97" t="s">
        <v>809</v>
      </c>
      <c r="F55" s="2124" t="str">
        <f>IF(H55="正常",I55,"免征")</f>
        <v>免征</v>
      </c>
      <c r="G55" s="2125"/>
      <c r="H55" s="2115"/>
      <c r="I55" s="2160">
        <f>'数据-取费表'!B49</f>
        <v>5.0000000000000001E-4</v>
      </c>
      <c r="J55" s="2153">
        <f>IF(H59="非个人房产","",4)</f>
        <v>4</v>
      </c>
      <c r="K55" s="3096" t="str">
        <f>IF(H59="非个人房产","——","个人所得税")</f>
        <v>个人所得税</v>
      </c>
      <c r="L55" s="3096"/>
      <c r="M55" s="2161" t="e">
        <f ca="1">D59</f>
        <v>#REF!</v>
      </c>
      <c r="N55" s="938" t="str">
        <f>E59</f>
        <v>差额计税</v>
      </c>
      <c r="O55" s="2162">
        <f>F59</f>
        <v>0.01</v>
      </c>
    </row>
    <row r="56" spans="1:35" ht="24.75">
      <c r="A56" s="3099" t="s">
        <v>810</v>
      </c>
      <c r="B56" s="3092"/>
      <c r="C56" s="3092"/>
      <c r="D56" s="198" t="e">
        <f ca="1">IF(H56="个人住宅",D57,D58)</f>
        <v>#REF!</v>
      </c>
      <c r="E56" s="97" t="s">
        <v>811</v>
      </c>
      <c r="F56" s="2124" t="str">
        <f>IF(H56="正常",F58,"免征")</f>
        <v>免征</v>
      </c>
      <c r="G56" s="2127" t="s">
        <v>812</v>
      </c>
      <c r="H56" s="2128"/>
      <c r="I56" s="2137"/>
      <c r="J56" s="2153" t="str">
        <f>IF(项目基本情况!K6="上海银行",IF(J55="",4,J55+1),"")</f>
        <v/>
      </c>
      <c r="K56" s="3103" t="str">
        <f>IF(项目基本情况!K6="上海银行","其他处置费用","")</f>
        <v/>
      </c>
      <c r="L56" s="3104"/>
      <c r="M56" s="2157" t="str">
        <f>IF(项目基本情况!K6="上海银行",M69,"")</f>
        <v/>
      </c>
      <c r="N56" s="3103" t="str">
        <f>IF(项目基本情况!K6="上海银行","包含处置中涉及的律师、诉讼、拍卖、评估等费用","")</f>
        <v/>
      </c>
      <c r="O56" s="3105"/>
    </row>
    <row r="57" spans="1:35" ht="12.75">
      <c r="A57" s="2123" t="s">
        <v>783</v>
      </c>
      <c r="B57" s="3097" t="s">
        <v>813</v>
      </c>
      <c r="C57" s="3098"/>
      <c r="D57" s="2116">
        <v>0</v>
      </c>
      <c r="E57" s="103" t="s">
        <v>785</v>
      </c>
      <c r="F57" s="39"/>
      <c r="G57" s="2125"/>
      <c r="H57" s="2129"/>
      <c r="I57" s="2137"/>
      <c r="J57" s="3096">
        <f>IF(AND(J55="",J56=""),4,IF(项目基本情况!K6="上海银行",结果表!J56+1,结果表!J55+1))</f>
        <v>5</v>
      </c>
      <c r="K57" s="3096" t="s">
        <v>814</v>
      </c>
      <c r="L57" s="2163" t="s">
        <v>815</v>
      </c>
      <c r="M57" s="2164"/>
      <c r="N57" s="2165">
        <f ca="1">SUMIF(M52:M56,"&lt;9e307")</f>
        <v>0</v>
      </c>
      <c r="O57" s="2166"/>
      <c r="P57" s="2167" t="e">
        <f ca="1">N57/M49</f>
        <v>#VALUE!</v>
      </c>
    </row>
    <row r="58" spans="1:35" ht="24.75">
      <c r="A58" s="2123" t="s">
        <v>797</v>
      </c>
      <c r="B58" s="3097" t="s">
        <v>816</v>
      </c>
      <c r="C58" s="3094"/>
      <c r="D58" s="198" t="e">
        <f ca="1">IF(H58="转让取得",C81,C97)</f>
        <v>#REF!</v>
      </c>
      <c r="E58" s="97" t="s">
        <v>811</v>
      </c>
      <c r="F58" s="39" t="s">
        <v>124</v>
      </c>
      <c r="G58" s="2125"/>
      <c r="H58" s="2128"/>
      <c r="I58" s="2137"/>
      <c r="J58" s="3096"/>
      <c r="K58" s="3096"/>
      <c r="L58" s="2163" t="s">
        <v>817</v>
      </c>
      <c r="M58" s="2168"/>
      <c r="N58" s="2169" t="str">
        <f ca="1">NUMBERSTRING(INT(N57*10000),2)&amp;"元整"</f>
        <v>零元整</v>
      </c>
      <c r="O58" s="2170"/>
    </row>
    <row r="59" spans="1:35" ht="24">
      <c r="A59" s="3106" t="s">
        <v>818</v>
      </c>
      <c r="B59" s="3107"/>
      <c r="C59" s="3107"/>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111">
        <f>J57+1</f>
        <v>6</v>
      </c>
      <c r="K59" s="3096" t="s">
        <v>820</v>
      </c>
      <c r="L59" s="2153" t="s">
        <v>815</v>
      </c>
      <c r="M59" s="2172"/>
      <c r="N59" s="2173" t="e">
        <f ca="1">M49-N57</f>
        <v>#VALUE!</v>
      </c>
      <c r="O59" s="2174"/>
    </row>
    <row r="60" spans="1:35" ht="12" customHeight="1">
      <c r="A60" s="2135"/>
      <c r="B60" s="191"/>
      <c r="C60" s="191"/>
      <c r="D60" s="191"/>
      <c r="E60" s="2136"/>
      <c r="F60" s="2137"/>
      <c r="G60" s="2137"/>
      <c r="H60" s="635"/>
      <c r="I60" s="120"/>
      <c r="J60" s="3112"/>
      <c r="K60" s="3096"/>
      <c r="L60" s="2163" t="s">
        <v>817</v>
      </c>
      <c r="M60" s="2168"/>
      <c r="N60" s="2169" t="e">
        <f ca="1">NUMBERSTRING(INT(N59*10000),2)&amp;"元整"</f>
        <v>#VALUE!</v>
      </c>
      <c r="O60" s="2170"/>
    </row>
    <row r="61" spans="1:35" ht="12.75">
      <c r="A61" s="3108" t="s">
        <v>821</v>
      </c>
      <c r="B61" s="3108"/>
      <c r="C61" s="3108"/>
      <c r="D61" s="3108"/>
      <c r="E61" s="3108"/>
      <c r="F61" s="2137"/>
      <c r="G61" s="2137"/>
      <c r="H61" s="635"/>
      <c r="I61" s="120"/>
      <c r="J61" s="2153">
        <f>J59+1</f>
        <v>7</v>
      </c>
      <c r="K61" s="3096" t="s">
        <v>822</v>
      </c>
      <c r="L61" s="3096"/>
      <c r="M61" s="2175"/>
      <c r="N61" s="2176" t="e">
        <f ca="1">ROUND(N59*10000/'数据-汇总表'!E3,0)</f>
        <v>#VALUE!</v>
      </c>
      <c r="O61" s="2177"/>
    </row>
    <row r="62" spans="1:35" ht="12.75">
      <c r="A62" s="3109" t="s">
        <v>823</v>
      </c>
      <c r="B62" s="3110"/>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095"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095"/>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095"/>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095"/>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095"/>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095"/>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095"/>
      <c r="K69" s="2178" t="s">
        <v>847</v>
      </c>
      <c r="L69" s="2178"/>
      <c r="M69" s="39" t="e">
        <f>ROUND(SUM(M63:M68),0)</f>
        <v>#VALUE!</v>
      </c>
      <c r="N69" s="2256" t="e">
        <f>M69/M49</f>
        <v>#VALUE!</v>
      </c>
      <c r="Z69" s="2013"/>
      <c r="AI69" s="2012"/>
    </row>
    <row r="70" spans="1:35" s="831" customFormat="1" ht="14.25">
      <c r="A70" s="3136" t="s">
        <v>848</v>
      </c>
      <c r="B70" s="3137"/>
      <c r="C70" s="3137"/>
      <c r="D70" s="3137"/>
      <c r="E70" s="3137"/>
      <c r="F70" s="3137"/>
      <c r="G70" s="3137"/>
      <c r="H70" s="3137"/>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109" t="s">
        <v>823</v>
      </c>
      <c r="B71" s="3110"/>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097" t="s">
        <v>858</v>
      </c>
      <c r="F76" s="3094"/>
      <c r="G76" s="3094"/>
      <c r="H76" s="3138"/>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139" t="s">
        <v>863</v>
      </c>
      <c r="F78" s="3140"/>
      <c r="G78" s="3140"/>
      <c r="H78" s="3141"/>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136" t="s">
        <v>868</v>
      </c>
      <c r="B83" s="3137"/>
      <c r="C83" s="3137"/>
      <c r="D83" s="3137"/>
      <c r="E83" s="3137"/>
      <c r="F83" s="3137"/>
      <c r="G83" s="3137"/>
      <c r="H83" s="3137"/>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109" t="s">
        <v>823</v>
      </c>
      <c r="B84" s="3110"/>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148" t="s">
        <v>876</v>
      </c>
      <c r="H90" s="3149"/>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139" t="s">
        <v>880</v>
      </c>
      <c r="F91" s="3140"/>
      <c r="G91" s="3140"/>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139" t="s">
        <v>883</v>
      </c>
      <c r="F92" s="3140"/>
      <c r="G92" s="3140"/>
      <c r="H92" s="3141"/>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139" t="s">
        <v>863</v>
      </c>
      <c r="F93" s="3140"/>
      <c r="G93" s="3140"/>
      <c r="H93" s="3141"/>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161" t="s">
        <v>888</v>
      </c>
      <c r="F94" s="3162"/>
      <c r="G94" s="3162"/>
      <c r="H94" s="3163"/>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61" t="s">
        <v>890</v>
      </c>
      <c r="B100" s="3062"/>
      <c r="C100" s="3062"/>
      <c r="D100" s="3124"/>
      <c r="E100" s="3062" t="s">
        <v>891</v>
      </c>
      <c r="F100" s="3062"/>
      <c r="G100" s="3062"/>
      <c r="H100" s="3124"/>
      <c r="I100" s="120"/>
    </row>
    <row r="101" spans="1:35" ht="18.75" customHeight="1">
      <c r="A101" s="3125" t="s">
        <v>892</v>
      </c>
      <c r="B101" s="3126"/>
      <c r="C101" s="2233">
        <f>C4</f>
        <v>0</v>
      </c>
      <c r="D101" s="2234">
        <f>D4</f>
        <v>0</v>
      </c>
      <c r="E101" s="3147" t="s">
        <v>893</v>
      </c>
      <c r="F101" s="3143"/>
      <c r="G101" s="2236" t="s">
        <v>894</v>
      </c>
      <c r="H101" s="2237" t="e">
        <f ca="1">H118</f>
        <v>#REF!</v>
      </c>
      <c r="I101" s="120"/>
    </row>
    <row r="102" spans="1:35" ht="18.75" customHeight="1">
      <c r="A102" s="3156" t="s">
        <v>895</v>
      </c>
      <c r="B102" s="2238" t="s">
        <v>894</v>
      </c>
      <c r="C102" s="2233" t="e">
        <f ca="1">C19</f>
        <v>#REF!</v>
      </c>
      <c r="D102" s="2234" t="e">
        <f ca="1">D19</f>
        <v>#REF!</v>
      </c>
      <c r="E102" s="3147"/>
      <c r="F102" s="3143"/>
      <c r="G102" s="2236" t="s">
        <v>99</v>
      </c>
      <c r="H102" s="2125" t="e">
        <f ca="1">I118</f>
        <v>#REF!</v>
      </c>
      <c r="I102" s="120"/>
    </row>
    <row r="103" spans="1:35" ht="42.75" customHeight="1">
      <c r="A103" s="3156"/>
      <c r="B103" s="2238" t="s">
        <v>99</v>
      </c>
      <c r="C103" s="2239" t="e">
        <f ca="1">C20</f>
        <v>#REF!</v>
      </c>
      <c r="D103" s="2240" t="e">
        <f ca="1">D20</f>
        <v>#REF!</v>
      </c>
      <c r="E103" s="3127" t="s">
        <v>896</v>
      </c>
      <c r="F103" s="3128"/>
      <c r="G103" s="2241" t="s">
        <v>102</v>
      </c>
      <c r="H103" s="2237">
        <f>IF(D36="正常操作",H104+H105+H106,H105+H106)</f>
        <v>0</v>
      </c>
      <c r="I103" s="120"/>
    </row>
    <row r="104" spans="1:35" ht="18.75" customHeight="1">
      <c r="A104" s="3156"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157"/>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142" t="str">
        <f>IF(项目基本情况!E8="已注销","——","3.房地产抵押价值")</f>
        <v>3.房地产抵押价值</v>
      </c>
      <c r="F107" s="3143"/>
      <c r="G107" s="2236" t="s">
        <v>894</v>
      </c>
      <c r="H107" s="2237" t="e">
        <f ca="1">IF(E107="——","——",H101-H103)</f>
        <v>#REF!</v>
      </c>
      <c r="I107" s="120"/>
    </row>
    <row r="108" spans="1:35" ht="18.75" customHeight="1">
      <c r="A108" s="120"/>
      <c r="B108" s="120"/>
      <c r="C108" s="120"/>
      <c r="D108" s="120"/>
      <c r="E108" s="3142"/>
      <c r="F108" s="3143"/>
      <c r="G108" s="2236" t="s">
        <v>99</v>
      </c>
      <c r="H108" s="2125" t="e">
        <f ca="1">ROUND(H107*10000/'数据-汇总表'!E3,0)</f>
        <v>#REF!</v>
      </c>
      <c r="I108" s="120"/>
    </row>
    <row r="109" spans="1:35" ht="18.75" customHeight="1">
      <c r="A109" s="120"/>
      <c r="B109" s="120"/>
      <c r="C109" s="120"/>
      <c r="D109" s="120"/>
      <c r="E109" s="3142" t="str">
        <f>IF(项目基本情况!E8="已注销及未注销","4.抵押担保权已注销时的房地产抵押价值",IF(项目基本情况!E8="已注销","3.抵押担保权已注销时的房地产抵押价值","——"))</f>
        <v>——</v>
      </c>
      <c r="F109" s="3143"/>
      <c r="G109" s="2236" t="s">
        <v>894</v>
      </c>
      <c r="H109" s="2252" t="str">
        <f>IF(E109="——","——",H101-H105-H106)</f>
        <v>——</v>
      </c>
      <c r="I109" s="120"/>
    </row>
    <row r="110" spans="1:35" ht="18.75" customHeight="1">
      <c r="A110" s="120"/>
      <c r="B110" s="120"/>
      <c r="C110" s="120"/>
      <c r="D110" s="120"/>
      <c r="E110" s="3142"/>
      <c r="F110" s="3143"/>
      <c r="G110" s="2236" t="s">
        <v>99</v>
      </c>
      <c r="H110" s="2125" t="str">
        <f>IF(H109="——","——",ROUND(H109*10000/'数据-汇总表'!E3,0))</f>
        <v>——</v>
      </c>
      <c r="I110" s="120"/>
    </row>
    <row r="111" spans="1:35" ht="18.75" customHeight="1">
      <c r="A111" s="120"/>
      <c r="B111" s="120"/>
      <c r="C111" s="120"/>
      <c r="D111" s="120"/>
      <c r="E111" s="3144" t="str">
        <f>IF(项目基本情况!E9="抵押净值",IF(OR(项目基本情况!E8="已注销",项目基本情况!E8="房地产抵押价值"),"4.抵押净值","5.抵押净值"),"——")</f>
        <v>——</v>
      </c>
      <c r="F111" s="3113"/>
      <c r="G111" s="2236" t="s">
        <v>894</v>
      </c>
      <c r="H111" s="2237" t="str">
        <f>IF(E111="——","——",N59)</f>
        <v>——</v>
      </c>
      <c r="I111" s="120"/>
    </row>
    <row r="112" spans="1:35" ht="18.75" customHeight="1">
      <c r="A112" s="120"/>
      <c r="B112" s="120"/>
      <c r="C112" s="120"/>
      <c r="D112" s="120"/>
      <c r="E112" s="3145"/>
      <c r="F112" s="3146"/>
      <c r="G112" s="2253" t="s">
        <v>99</v>
      </c>
      <c r="H112" s="2254" t="str">
        <f>IF(E111="——","——",N61)</f>
        <v>——</v>
      </c>
      <c r="I112" s="120"/>
    </row>
    <row r="113" spans="1:27" ht="18.75" customHeight="1">
      <c r="A113" s="120"/>
      <c r="B113" s="120"/>
      <c r="C113" s="120"/>
      <c r="D113" s="120"/>
      <c r="E113" s="3129" t="s">
        <v>900</v>
      </c>
      <c r="F113" s="3129"/>
      <c r="G113" s="3129"/>
      <c r="H113" s="3129"/>
      <c r="I113" s="120"/>
    </row>
    <row r="114" spans="1:27" ht="3.75" customHeight="1">
      <c r="A114" s="191"/>
      <c r="B114" s="191"/>
      <c r="C114" s="191"/>
      <c r="D114" s="191"/>
      <c r="E114" s="2135"/>
      <c r="F114" s="2135"/>
      <c r="G114" s="2135"/>
      <c r="H114" s="2135"/>
      <c r="I114" s="191"/>
    </row>
    <row r="115" spans="1:27" ht="18.75" customHeight="1">
      <c r="A115" s="3130" t="s">
        <v>902</v>
      </c>
      <c r="B115" s="3131"/>
      <c r="C115" s="3131"/>
      <c r="D115" s="3131"/>
      <c r="E115" s="3131"/>
      <c r="F115" s="3131"/>
      <c r="G115" s="3131"/>
      <c r="H115" s="3131"/>
      <c r="I115" s="3132"/>
    </row>
    <row r="116" spans="1:27" ht="27" customHeight="1">
      <c r="A116" s="3117" t="s">
        <v>903</v>
      </c>
      <c r="B116" s="3159" t="s">
        <v>904</v>
      </c>
      <c r="C116" s="3159" t="s">
        <v>905</v>
      </c>
      <c r="D116" s="3133" t="s">
        <v>906</v>
      </c>
      <c r="E116" s="3134"/>
      <c r="F116" s="3135" t="s">
        <v>907</v>
      </c>
      <c r="G116" s="3135"/>
      <c r="H116" s="3117" t="s">
        <v>908</v>
      </c>
      <c r="I116" s="3117"/>
    </row>
    <row r="117" spans="1:27" ht="18.75" customHeight="1">
      <c r="A117" s="3117"/>
      <c r="B117" s="3160"/>
      <c r="C117" s="3160"/>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1837.06</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117" t="s">
        <v>910</v>
      </c>
      <c r="B119" s="3117"/>
      <c r="C119" s="3117"/>
      <c r="D119" s="3118" t="e">
        <f ca="1">NUMBERSTRING(INT(D118*10000),2)&amp;"元整"</f>
        <v>#REF!</v>
      </c>
      <c r="E119" s="3120"/>
      <c r="F119" s="3118" t="e">
        <f ca="1">NUMBERSTRING(INT(F118*10000),2)&amp;"元整"</f>
        <v>#REF!</v>
      </c>
      <c r="G119" s="3120"/>
      <c r="H119" s="3118" t="e">
        <f ca="1">NUMBERSTRING(INT(H118*10000),2)&amp;"元整"</f>
        <v>#REF!</v>
      </c>
      <c r="I119" s="3120"/>
    </row>
    <row r="120" spans="1:27" ht="18.75" customHeight="1">
      <c r="A120" s="3114" t="str">
        <f>IF(项目基本情况!B9="房地产市场价值","",MID(E103,3,LEN(E103)-2))</f>
        <v/>
      </c>
      <c r="B120" s="3115"/>
      <c r="C120" s="3116"/>
      <c r="D120" s="3114">
        <f>H103</f>
        <v>0</v>
      </c>
      <c r="E120" s="3115"/>
      <c r="F120" s="3115"/>
      <c r="G120" s="3115"/>
      <c r="H120" s="3115"/>
      <c r="I120" s="3116"/>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121" t="s">
        <v>910</v>
      </c>
      <c r="B121" s="3122"/>
      <c r="C121" s="3123"/>
      <c r="D121" s="3118" t="str">
        <f>IF(D120=0,"零元整",NUMBERSTRING(INT(D120*10000),2)&amp;"元整")</f>
        <v>零元整</v>
      </c>
      <c r="E121" s="3119"/>
      <c r="F121" s="3119"/>
      <c r="G121" s="3119"/>
      <c r="H121" s="3119"/>
      <c r="I121" s="3120"/>
      <c r="AA121" s="596"/>
    </row>
    <row r="122" spans="1:27" ht="18.75" customHeight="1">
      <c r="A122" s="3113" t="str">
        <f>IF(项目基本情况!B9="房地产市场价值","",MID(E107,3,LEN(E107)-2))</f>
        <v/>
      </c>
      <c r="B122" s="3113"/>
      <c r="C122" s="3113"/>
      <c r="D122" s="3114" t="e">
        <f ca="1">H107</f>
        <v>#REF!</v>
      </c>
      <c r="E122" s="3115"/>
      <c r="F122" s="3115"/>
      <c r="G122" s="3115"/>
      <c r="H122" s="3115"/>
      <c r="I122" s="3116"/>
      <c r="AA122" s="596"/>
    </row>
    <row r="123" spans="1:27" ht="18.75" customHeight="1">
      <c r="A123" s="3117" t="s">
        <v>910</v>
      </c>
      <c r="B123" s="3117"/>
      <c r="C123" s="3117"/>
      <c r="D123" s="3118" t="e">
        <f ca="1">NUMBERSTRING(INT(D122*10000),2)&amp;"元整"</f>
        <v>#REF!</v>
      </c>
      <c r="E123" s="3119"/>
      <c r="F123" s="3119"/>
      <c r="G123" s="3119"/>
      <c r="H123" s="3119"/>
      <c r="I123" s="3120"/>
      <c r="AA123" s="596"/>
    </row>
    <row r="124" spans="1:27" ht="18.75" customHeight="1">
      <c r="A124" s="3113" t="str">
        <f>IF(项目基本情况!B9="房地产市场价值","",MID(E109,3,LEN(E109)-2))</f>
        <v/>
      </c>
      <c r="B124" s="3113"/>
      <c r="C124" s="3113"/>
      <c r="D124" s="3114" t="str">
        <f>H109</f>
        <v>——</v>
      </c>
      <c r="E124" s="3115"/>
      <c r="F124" s="3115"/>
      <c r="G124" s="3115"/>
      <c r="H124" s="3115"/>
      <c r="I124" s="3116"/>
      <c r="AA124" s="596"/>
    </row>
    <row r="125" spans="1:27" ht="18.75" customHeight="1">
      <c r="A125" s="3117" t="s">
        <v>910</v>
      </c>
      <c r="B125" s="3117"/>
      <c r="C125" s="3117"/>
      <c r="D125" s="3118" t="e">
        <f>NUMBERSTRING(INT(D124*10000),2)&amp;"元整"</f>
        <v>#VALUE!</v>
      </c>
      <c r="E125" s="3119"/>
      <c r="F125" s="3119"/>
      <c r="G125" s="3119"/>
      <c r="H125" s="3119"/>
      <c r="I125" s="3120"/>
      <c r="AA125" s="596"/>
    </row>
    <row r="126" spans="1:27" ht="18.75" customHeight="1">
      <c r="A126" s="3113" t="str">
        <f>IF(项目基本情况!B9="房地产市场价值","",MID(E111,3,LEN(E111)-2))</f>
        <v/>
      </c>
      <c r="B126" s="3113"/>
      <c r="C126" s="3113"/>
      <c r="D126" s="3114" t="str">
        <f>H111</f>
        <v>——</v>
      </c>
      <c r="E126" s="3115"/>
      <c r="F126" s="3115"/>
      <c r="G126" s="3115"/>
      <c r="H126" s="3115"/>
      <c r="I126" s="3116"/>
      <c r="AA126" s="596"/>
    </row>
    <row r="127" spans="1:27" ht="18.75" customHeight="1">
      <c r="A127" s="3117" t="s">
        <v>910</v>
      </c>
      <c r="B127" s="3117"/>
      <c r="C127" s="3117"/>
      <c r="D127" s="3118" t="e">
        <f>NUMBERSTRING(INT(D126*10000),2)&amp;"元整"</f>
        <v>#VALUE!</v>
      </c>
      <c r="E127" s="3119"/>
      <c r="F127" s="3119"/>
      <c r="G127" s="3119"/>
      <c r="H127" s="3119"/>
      <c r="I127" s="3120"/>
      <c r="AA127" s="596"/>
    </row>
    <row r="128" spans="1:27" ht="21.75" customHeight="1">
      <c r="A128" s="3150" t="s">
        <v>113</v>
      </c>
      <c r="B128" s="3150"/>
      <c r="C128" s="3150"/>
      <c r="D128" s="3150"/>
      <c r="E128" s="3150"/>
      <c r="F128" s="3150"/>
      <c r="G128" s="3150"/>
      <c r="H128" s="3150"/>
      <c r="I128" s="3150"/>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3"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64" t="s">
        <v>932</v>
      </c>
      <c r="B2" s="1987" t="s">
        <v>933</v>
      </c>
      <c r="C2" s="1987" t="s">
        <v>934</v>
      </c>
      <c r="D2" s="1987" t="s">
        <v>935</v>
      </c>
      <c r="E2" s="3165">
        <v>1</v>
      </c>
      <c r="F2" s="1988" t="s">
        <v>936</v>
      </c>
      <c r="G2" s="1989">
        <v>146.99</v>
      </c>
      <c r="H2" s="1990">
        <v>1</v>
      </c>
      <c r="I2" s="1990">
        <v>1</v>
      </c>
      <c r="J2" s="1990">
        <v>1</v>
      </c>
      <c r="K2" s="1990" t="e">
        <f ca="1">ROUND('结果一览表-商业'!D37,1)</f>
        <v>#DIV/0!</v>
      </c>
      <c r="L2" s="1990" t="e">
        <f t="shared" ref="L2:L33" ca="1" si="0">ROUND(K2*G2/10000*365,2)</f>
        <v>#DIV/0!</v>
      </c>
      <c r="M2" s="3176">
        <v>0.75</v>
      </c>
      <c r="N2" s="1990" t="e">
        <f ca="1">ROUND(K2*$M$2,1)</f>
        <v>#DIV/0!</v>
      </c>
      <c r="O2" s="2004" t="e">
        <f ca="1">ROUND(N2*G2,2)</f>
        <v>#DIV/0!</v>
      </c>
      <c r="R2" s="3180" t="s">
        <v>937</v>
      </c>
      <c r="S2" s="1992" t="s">
        <v>938</v>
      </c>
      <c r="T2" s="3183">
        <v>1</v>
      </c>
      <c r="U2" s="3183" t="s">
        <v>459</v>
      </c>
      <c r="V2" s="1992">
        <v>94.89</v>
      </c>
      <c r="W2" s="1992" t="e">
        <f ca="1">'结果一览表-铂郡'!D37</f>
        <v>#DIV/0!</v>
      </c>
      <c r="X2" s="1992">
        <v>1</v>
      </c>
      <c r="Y2" s="1992">
        <v>1</v>
      </c>
      <c r="Z2" s="1992" t="e">
        <f ca="1">ROUND(V2*W2*365/10000,2)</f>
        <v>#DIV/0!</v>
      </c>
    </row>
    <row r="3" spans="1:29">
      <c r="A3" s="3164"/>
      <c r="B3" s="1987" t="s">
        <v>939</v>
      </c>
      <c r="C3" s="1987" t="s">
        <v>940</v>
      </c>
      <c r="D3" s="1987" t="s">
        <v>935</v>
      </c>
      <c r="E3" s="3165"/>
      <c r="F3" s="1988" t="s">
        <v>936</v>
      </c>
      <c r="G3" s="1989">
        <v>130.12</v>
      </c>
      <c r="H3" s="1990">
        <v>1</v>
      </c>
      <c r="I3" s="1990">
        <v>1</v>
      </c>
      <c r="J3" s="1990">
        <v>1</v>
      </c>
      <c r="K3" s="1990" t="e">
        <f ca="1">ROUND($K$2*H3*I3*J3,1)</f>
        <v>#DIV/0!</v>
      </c>
      <c r="L3" s="1990" t="e">
        <f t="shared" ca="1" si="0"/>
        <v>#DIV/0!</v>
      </c>
      <c r="M3" s="3177"/>
      <c r="N3" s="1990" t="e">
        <f t="shared" ref="N3:N53" ca="1" si="1">ROUND(K3*$M$2,1)</f>
        <v>#DIV/0!</v>
      </c>
      <c r="O3" s="2004" t="e">
        <f t="shared" ref="O3:O53" ca="1" si="2">ROUND(N3*G3,2)</f>
        <v>#DIV/0!</v>
      </c>
      <c r="R3" s="3181"/>
      <c r="S3" s="1992" t="s">
        <v>941</v>
      </c>
      <c r="T3" s="3183"/>
      <c r="U3" s="3183"/>
      <c r="V3" s="1992">
        <v>247.88</v>
      </c>
      <c r="W3" s="1992" t="e">
        <f ca="1">ROUND($W$2*X3*Y3,2)</f>
        <v>#DIV/0!</v>
      </c>
      <c r="X3" s="1992">
        <v>0.96</v>
      </c>
      <c r="Y3" s="1992">
        <v>1</v>
      </c>
      <c r="Z3" s="1992" t="e">
        <f t="shared" ref="Z3:Z8" ca="1" si="3">ROUND(V3*W3*365/10000,2)</f>
        <v>#DIV/0!</v>
      </c>
    </row>
    <row r="4" spans="1:29">
      <c r="A4" s="3164"/>
      <c r="B4" s="1987" t="s">
        <v>942</v>
      </c>
      <c r="C4" s="1987" t="s">
        <v>943</v>
      </c>
      <c r="D4" s="1987" t="s">
        <v>935</v>
      </c>
      <c r="E4" s="3165"/>
      <c r="F4" s="1988" t="s">
        <v>936</v>
      </c>
      <c r="G4" s="1989">
        <v>56.02</v>
      </c>
      <c r="H4" s="1990">
        <v>1.02</v>
      </c>
      <c r="I4" s="1990">
        <v>1</v>
      </c>
      <c r="J4" s="1990">
        <v>0.8</v>
      </c>
      <c r="K4" s="1990" t="e">
        <f t="shared" ref="K4:K12" ca="1" si="4">ROUND($K$2*H4*I4*J4,1)</f>
        <v>#DIV/0!</v>
      </c>
      <c r="L4" s="1990" t="e">
        <f t="shared" ca="1" si="0"/>
        <v>#DIV/0!</v>
      </c>
      <c r="M4" s="3177"/>
      <c r="N4" s="1990" t="e">
        <f t="shared" ca="1" si="1"/>
        <v>#DIV/0!</v>
      </c>
      <c r="O4" s="2004" t="e">
        <f t="shared" ca="1" si="2"/>
        <v>#DIV/0!</v>
      </c>
      <c r="R4" s="3181"/>
      <c r="S4" s="1992" t="s">
        <v>944</v>
      </c>
      <c r="T4" s="3183"/>
      <c r="U4" s="3183"/>
      <c r="V4" s="1992">
        <v>195.28</v>
      </c>
      <c r="W4" s="1992" t="e">
        <f t="shared" ref="W4:W8" ca="1" si="5">ROUND($W$2*X4*Y4,2)</f>
        <v>#DIV/0!</v>
      </c>
      <c r="X4" s="1992">
        <v>0.98</v>
      </c>
      <c r="Y4" s="1992">
        <v>1</v>
      </c>
      <c r="Z4" s="1992" t="e">
        <f t="shared" ca="1" si="3"/>
        <v>#DIV/0!</v>
      </c>
    </row>
    <row r="5" spans="1:29">
      <c r="A5" s="3164"/>
      <c r="B5" s="1987" t="s">
        <v>945</v>
      </c>
      <c r="C5" s="1987" t="s">
        <v>946</v>
      </c>
      <c r="D5" s="1987" t="s">
        <v>935</v>
      </c>
      <c r="E5" s="3165"/>
      <c r="F5" s="1988" t="s">
        <v>936</v>
      </c>
      <c r="G5" s="1989">
        <v>101.15</v>
      </c>
      <c r="H5" s="1990">
        <v>1</v>
      </c>
      <c r="I5" s="1990">
        <v>1</v>
      </c>
      <c r="J5" s="1990">
        <v>1</v>
      </c>
      <c r="K5" s="1990" t="e">
        <f t="shared" ca="1" si="4"/>
        <v>#DIV/0!</v>
      </c>
      <c r="L5" s="1990" t="e">
        <f t="shared" ca="1" si="0"/>
        <v>#DIV/0!</v>
      </c>
      <c r="M5" s="3177"/>
      <c r="N5" s="1990" t="e">
        <f t="shared" ca="1" si="1"/>
        <v>#DIV/0!</v>
      </c>
      <c r="O5" s="2004" t="e">
        <f t="shared" ca="1" si="2"/>
        <v>#DIV/0!</v>
      </c>
      <c r="P5" s="1980" t="s">
        <v>947</v>
      </c>
      <c r="Q5" s="1980">
        <v>102</v>
      </c>
      <c r="R5" s="3181"/>
      <c r="S5" s="1992" t="s">
        <v>948</v>
      </c>
      <c r="T5" s="3183"/>
      <c r="U5" s="3183"/>
      <c r="V5" s="1992">
        <v>245.01</v>
      </c>
      <c r="W5" s="1992" t="e">
        <f t="shared" ca="1" si="5"/>
        <v>#DIV/0!</v>
      </c>
      <c r="X5" s="1992">
        <v>0.96</v>
      </c>
      <c r="Y5" s="1992">
        <v>1</v>
      </c>
      <c r="Z5" s="1992" t="e">
        <f t="shared" ca="1" si="3"/>
        <v>#DIV/0!</v>
      </c>
      <c r="AB5" s="1980" t="s">
        <v>947</v>
      </c>
      <c r="AC5" s="1980">
        <v>100</v>
      </c>
    </row>
    <row r="6" spans="1:29">
      <c r="A6" s="3164"/>
      <c r="B6" s="1987" t="s">
        <v>949</v>
      </c>
      <c r="C6" s="1987" t="s">
        <v>950</v>
      </c>
      <c r="D6" s="1987" t="s">
        <v>935</v>
      </c>
      <c r="E6" s="3165"/>
      <c r="F6" s="1988" t="s">
        <v>936</v>
      </c>
      <c r="G6" s="1989">
        <v>104.42</v>
      </c>
      <c r="H6" s="1990">
        <v>1</v>
      </c>
      <c r="I6" s="1990">
        <v>1</v>
      </c>
      <c r="J6" s="1990">
        <v>1</v>
      </c>
      <c r="K6" s="1990" t="e">
        <f t="shared" ca="1" si="4"/>
        <v>#DIV/0!</v>
      </c>
      <c r="L6" s="1990" t="e">
        <f t="shared" ca="1" si="0"/>
        <v>#DIV/0!</v>
      </c>
      <c r="M6" s="3177"/>
      <c r="N6" s="1990" t="e">
        <f t="shared" ca="1" si="1"/>
        <v>#DIV/0!</v>
      </c>
      <c r="O6" s="2004" t="e">
        <f t="shared" ca="1" si="2"/>
        <v>#DIV/0!</v>
      </c>
      <c r="P6" s="1980" t="s">
        <v>951</v>
      </c>
      <c r="Q6" s="1980">
        <v>100</v>
      </c>
      <c r="R6" s="3181"/>
      <c r="S6" s="1992" t="s">
        <v>952</v>
      </c>
      <c r="T6" s="3183"/>
      <c r="U6" s="3183"/>
      <c r="V6" s="1992">
        <v>98.08</v>
      </c>
      <c r="W6" s="1992" t="e">
        <f t="shared" ca="1" si="5"/>
        <v>#DIV/0!</v>
      </c>
      <c r="X6" s="1992">
        <v>1</v>
      </c>
      <c r="Y6" s="1992">
        <v>1</v>
      </c>
      <c r="Z6" s="1992" t="e">
        <f t="shared" ca="1" si="3"/>
        <v>#DIV/0!</v>
      </c>
      <c r="AB6" s="1980" t="s">
        <v>951</v>
      </c>
      <c r="AC6" s="1980">
        <v>98</v>
      </c>
    </row>
    <row r="7" spans="1:29">
      <c r="A7" s="3164"/>
      <c r="B7" s="1987" t="s">
        <v>953</v>
      </c>
      <c r="C7" s="1987" t="s">
        <v>954</v>
      </c>
      <c r="D7" s="1987" t="s">
        <v>935</v>
      </c>
      <c r="E7" s="3165"/>
      <c r="F7" s="1988" t="s">
        <v>936</v>
      </c>
      <c r="G7" s="1989">
        <v>48.87</v>
      </c>
      <c r="H7" s="1990">
        <v>1.02</v>
      </c>
      <c r="I7" s="1990">
        <v>1</v>
      </c>
      <c r="J7" s="1990">
        <v>1</v>
      </c>
      <c r="K7" s="1990" t="e">
        <f t="shared" ca="1" si="4"/>
        <v>#DIV/0!</v>
      </c>
      <c r="L7" s="1990" t="e">
        <f t="shared" ca="1" si="0"/>
        <v>#DIV/0!</v>
      </c>
      <c r="M7" s="3177"/>
      <c r="N7" s="1990" t="e">
        <f t="shared" ca="1" si="1"/>
        <v>#DIV/0!</v>
      </c>
      <c r="O7" s="2004" t="e">
        <f t="shared" ca="1" si="2"/>
        <v>#DIV/0!</v>
      </c>
      <c r="P7" s="1980" t="s">
        <v>955</v>
      </c>
      <c r="Q7" s="1980">
        <v>98</v>
      </c>
      <c r="R7" s="3181"/>
      <c r="S7" s="1992" t="s">
        <v>956</v>
      </c>
      <c r="T7" s="3183"/>
      <c r="U7" s="3183"/>
      <c r="V7" s="1992">
        <v>80.900000000000006</v>
      </c>
      <c r="W7" s="1992" t="e">
        <f t="shared" ca="1" si="5"/>
        <v>#DIV/0!</v>
      </c>
      <c r="X7" s="1992">
        <v>1</v>
      </c>
      <c r="Y7" s="1992">
        <v>1</v>
      </c>
      <c r="Z7" s="1992" t="e">
        <f t="shared" ca="1" si="3"/>
        <v>#DIV/0!</v>
      </c>
      <c r="AB7" s="1980" t="s">
        <v>955</v>
      </c>
      <c r="AC7" s="1980">
        <v>96</v>
      </c>
    </row>
    <row r="8" spans="1:29">
      <c r="A8" s="3164"/>
      <c r="B8" s="1987" t="s">
        <v>957</v>
      </c>
      <c r="C8" s="1987" t="s">
        <v>958</v>
      </c>
      <c r="D8" s="1987" t="s">
        <v>935</v>
      </c>
      <c r="E8" s="3165"/>
      <c r="F8" s="1988" t="s">
        <v>459</v>
      </c>
      <c r="G8" s="1989">
        <v>62.36</v>
      </c>
      <c r="H8" s="1990">
        <v>1.02</v>
      </c>
      <c r="I8" s="1990">
        <v>1</v>
      </c>
      <c r="J8" s="1990">
        <v>0.9</v>
      </c>
      <c r="K8" s="1990" t="e">
        <f t="shared" ca="1" si="4"/>
        <v>#DIV/0!</v>
      </c>
      <c r="L8" s="1990" t="e">
        <f t="shared" ca="1" si="0"/>
        <v>#DIV/0!</v>
      </c>
      <c r="M8" s="3177"/>
      <c r="N8" s="1990" t="e">
        <f t="shared" ca="1" si="1"/>
        <v>#DIV/0!</v>
      </c>
      <c r="O8" s="2004" t="e">
        <f t="shared" ca="1" si="2"/>
        <v>#DIV/0!</v>
      </c>
      <c r="P8" s="1980" t="s">
        <v>959</v>
      </c>
      <c r="Q8" s="1980">
        <v>96</v>
      </c>
      <c r="R8" s="3182"/>
      <c r="S8" s="1992" t="s">
        <v>960</v>
      </c>
      <c r="T8" s="3183"/>
      <c r="U8" s="3183"/>
      <c r="V8" s="1992">
        <v>317.93</v>
      </c>
      <c r="W8" s="1992" t="e">
        <f t="shared" ca="1" si="5"/>
        <v>#DIV/0!</v>
      </c>
      <c r="X8" s="1992">
        <v>0.94</v>
      </c>
      <c r="Y8" s="1992">
        <v>1</v>
      </c>
      <c r="Z8" s="1992" t="e">
        <f t="shared" ca="1" si="3"/>
        <v>#DIV/0!</v>
      </c>
      <c r="AB8" s="1980" t="s">
        <v>959</v>
      </c>
      <c r="AC8" s="1980">
        <v>94</v>
      </c>
    </row>
    <row r="9" spans="1:29">
      <c r="A9" s="3164"/>
      <c r="B9" s="1987" t="s">
        <v>961</v>
      </c>
      <c r="C9" s="1987" t="s">
        <v>954</v>
      </c>
      <c r="D9" s="1987" t="s">
        <v>935</v>
      </c>
      <c r="E9" s="3165"/>
      <c r="F9" s="1988"/>
      <c r="G9" s="1989">
        <v>56.56</v>
      </c>
      <c r="H9" s="1990">
        <v>1.02</v>
      </c>
      <c r="I9" s="1990">
        <v>1</v>
      </c>
      <c r="J9" s="1990">
        <v>0.8</v>
      </c>
      <c r="K9" s="1990" t="e">
        <f t="shared" ca="1" si="4"/>
        <v>#DIV/0!</v>
      </c>
      <c r="L9" s="1990" t="e">
        <f t="shared" ca="1" si="0"/>
        <v>#DIV/0!</v>
      </c>
      <c r="M9" s="3177"/>
      <c r="N9" s="1990" t="e">
        <f t="shared" ca="1" si="1"/>
        <v>#DIV/0!</v>
      </c>
      <c r="O9" s="2004" t="e">
        <f t="shared" ca="1" si="2"/>
        <v>#DIV/0!</v>
      </c>
      <c r="V9" s="2005">
        <f>SUM(V2:V8)</f>
        <v>1279.97</v>
      </c>
      <c r="W9" s="2005" t="e">
        <f ca="1">ROUND(Z9*10000/365/V9,2)</f>
        <v>#DIV/0!</v>
      </c>
      <c r="X9" s="2005"/>
      <c r="Y9" s="2005"/>
      <c r="Z9" s="2005" t="e">
        <f ca="1">SUM(Z2:Z8)</f>
        <v>#DIV/0!</v>
      </c>
    </row>
    <row r="10" spans="1:29">
      <c r="A10" s="3164"/>
      <c r="B10" s="1987" t="s">
        <v>962</v>
      </c>
      <c r="C10" s="1987" t="s">
        <v>954</v>
      </c>
      <c r="D10" s="1987" t="s">
        <v>935</v>
      </c>
      <c r="E10" s="3165"/>
      <c r="F10" s="1988"/>
      <c r="G10" s="1989">
        <v>121.49</v>
      </c>
      <c r="H10" s="1990">
        <v>1</v>
      </c>
      <c r="I10" s="1990">
        <v>1</v>
      </c>
      <c r="J10" s="1990">
        <v>0.8</v>
      </c>
      <c r="K10" s="1990" t="e">
        <f t="shared" ca="1" si="4"/>
        <v>#DIV/0!</v>
      </c>
      <c r="L10" s="1990" t="e">
        <f t="shared" ca="1" si="0"/>
        <v>#DIV/0!</v>
      </c>
      <c r="M10" s="3177"/>
      <c r="N10" s="1990" t="e">
        <f t="shared" ca="1" si="1"/>
        <v>#DIV/0!</v>
      </c>
      <c r="O10" s="2004" t="e">
        <f t="shared" ca="1" si="2"/>
        <v>#DIV/0!</v>
      </c>
      <c r="W10" s="1980" t="e">
        <f ca="1">W9*0.9</f>
        <v>#DIV/0!</v>
      </c>
      <c r="Z10" s="1980" t="e">
        <f ca="1">ROUND(W10*V9*365/10000,2)</f>
        <v>#DIV/0!</v>
      </c>
    </row>
    <row r="11" spans="1:29">
      <c r="A11" s="3164"/>
      <c r="B11" s="1987" t="s">
        <v>963</v>
      </c>
      <c r="C11" s="1987" t="s">
        <v>954</v>
      </c>
      <c r="D11" s="1987" t="s">
        <v>935</v>
      </c>
      <c r="E11" s="3165"/>
      <c r="F11" s="1988"/>
      <c r="G11" s="1989">
        <v>120.04</v>
      </c>
      <c r="H11" s="1990">
        <v>1</v>
      </c>
      <c r="I11" s="1990">
        <v>1</v>
      </c>
      <c r="J11" s="1990">
        <v>0.8</v>
      </c>
      <c r="K11" s="1990" t="e">
        <f t="shared" ca="1" si="4"/>
        <v>#DIV/0!</v>
      </c>
      <c r="L11" s="1990" t="e">
        <f t="shared" ca="1" si="0"/>
        <v>#DIV/0!</v>
      </c>
      <c r="M11" s="3177"/>
      <c r="N11" s="1990" t="e">
        <f t="shared" ca="1" si="1"/>
        <v>#DIV/0!</v>
      </c>
      <c r="O11" s="2004" t="e">
        <f t="shared" ca="1" si="2"/>
        <v>#DIV/0!</v>
      </c>
      <c r="P11" s="1">
        <f>SUM(G2:G11)</f>
        <v>948.02</v>
      </c>
      <c r="Q11" s="1" t="e">
        <f ca="1">ROUND(R11*10000/365/P11,2)</f>
        <v>#DIV/0!</v>
      </c>
      <c r="R11" s="1" t="e">
        <f ca="1">SUM(L2:L11)</f>
        <v>#DIV/0!</v>
      </c>
    </row>
    <row r="12" spans="1:29">
      <c r="A12" s="3164"/>
      <c r="B12" s="1984" t="s">
        <v>964</v>
      </c>
      <c r="C12" s="1991"/>
      <c r="D12" s="1987" t="s">
        <v>935</v>
      </c>
      <c r="E12" s="3166" t="s">
        <v>965</v>
      </c>
      <c r="F12" s="3173" t="s">
        <v>459</v>
      </c>
      <c r="G12" s="1986">
        <v>180.53</v>
      </c>
      <c r="H12" s="1992">
        <v>1</v>
      </c>
      <c r="I12" s="1992">
        <f>P17</f>
        <v>0.75</v>
      </c>
      <c r="J12" s="1992">
        <v>0.8</v>
      </c>
      <c r="K12" s="1992" t="e">
        <f t="shared" ca="1" si="4"/>
        <v>#DIV/0!</v>
      </c>
      <c r="L12" s="1992" t="e">
        <f t="shared" ca="1" si="0"/>
        <v>#DIV/0!</v>
      </c>
      <c r="M12" s="3177"/>
      <c r="N12" s="1990" t="e">
        <f t="shared" ca="1" si="1"/>
        <v>#DIV/0!</v>
      </c>
      <c r="O12" s="2004" t="e">
        <f t="shared" ca="1" si="2"/>
        <v>#DIV/0!</v>
      </c>
      <c r="P12" s="1980">
        <v>1</v>
      </c>
      <c r="Q12" s="1980">
        <v>2</v>
      </c>
      <c r="R12" s="1980">
        <v>-1</v>
      </c>
      <c r="S12" s="2006"/>
    </row>
    <row r="13" spans="1:29">
      <c r="A13" s="3164"/>
      <c r="B13" s="1984" t="s">
        <v>966</v>
      </c>
      <c r="C13" s="1993"/>
      <c r="D13" s="1987" t="s">
        <v>935</v>
      </c>
      <c r="E13" s="3167"/>
      <c r="F13" s="3173"/>
      <c r="G13" s="1986">
        <v>173.48</v>
      </c>
      <c r="H13" s="1992">
        <v>1</v>
      </c>
      <c r="I13" s="1992">
        <f>I12</f>
        <v>0.75</v>
      </c>
      <c r="J13" s="1992">
        <v>0.8</v>
      </c>
      <c r="K13" s="1992" t="e">
        <f t="shared" ref="K13:K26" ca="1" si="6">ROUND($K$2*H13*I13*J13,1)</f>
        <v>#DIV/0!</v>
      </c>
      <c r="L13" s="1992" t="e">
        <f t="shared" ca="1" si="0"/>
        <v>#DIV/0!</v>
      </c>
      <c r="M13" s="3177"/>
      <c r="N13" s="1990" t="e">
        <f t="shared" ca="1" si="1"/>
        <v>#DIV/0!</v>
      </c>
      <c r="O13" s="2004" t="e">
        <f t="shared" ca="1" si="2"/>
        <v>#DIV/0!</v>
      </c>
      <c r="P13" s="1980">
        <v>1</v>
      </c>
      <c r="Q13" s="1980">
        <v>0.5</v>
      </c>
      <c r="R13" s="1980">
        <v>0.4</v>
      </c>
    </row>
    <row r="14" spans="1:29">
      <c r="A14" s="3164"/>
      <c r="B14" s="1984" t="s">
        <v>967</v>
      </c>
      <c r="C14" s="1993"/>
      <c r="D14" s="1987" t="s">
        <v>935</v>
      </c>
      <c r="E14" s="3167"/>
      <c r="F14" s="3173"/>
      <c r="G14" s="1986">
        <v>228.07</v>
      </c>
      <c r="H14" s="1992">
        <v>0.98</v>
      </c>
      <c r="I14" s="1992">
        <f>I13</f>
        <v>0.75</v>
      </c>
      <c r="J14" s="1992">
        <v>0.8</v>
      </c>
      <c r="K14" s="1992" t="e">
        <f t="shared" ca="1" si="6"/>
        <v>#DIV/0!</v>
      </c>
      <c r="L14" s="1992" t="e">
        <f t="shared" ca="1" si="0"/>
        <v>#DIV/0!</v>
      </c>
      <c r="M14" s="3177"/>
      <c r="N14" s="1990" t="e">
        <f t="shared" ca="1" si="1"/>
        <v>#DIV/0!</v>
      </c>
      <c r="O14" s="2004" t="e">
        <f t="shared" ca="1" si="2"/>
        <v>#DIV/0!</v>
      </c>
    </row>
    <row r="15" spans="1:29">
      <c r="A15" s="3164"/>
      <c r="B15" s="1984" t="s">
        <v>968</v>
      </c>
      <c r="C15" s="1993"/>
      <c r="D15" s="1987" t="s">
        <v>935</v>
      </c>
      <c r="E15" s="3167"/>
      <c r="F15" s="3173"/>
      <c r="G15" s="1986">
        <v>193.55</v>
      </c>
      <c r="H15" s="1992">
        <v>1</v>
      </c>
      <c r="I15" s="1992">
        <f>I14</f>
        <v>0.75</v>
      </c>
      <c r="J15" s="1992">
        <v>0.8</v>
      </c>
      <c r="K15" s="1992" t="e">
        <f t="shared" ca="1" si="6"/>
        <v>#DIV/0!</v>
      </c>
      <c r="L15" s="1992" t="e">
        <f t="shared" ca="1" si="0"/>
        <v>#DIV/0!</v>
      </c>
      <c r="M15" s="3177"/>
      <c r="N15" s="1990" t="e">
        <f t="shared" ca="1" si="1"/>
        <v>#DIV/0!</v>
      </c>
      <c r="O15" s="2004" t="e">
        <f t="shared" ca="1" si="2"/>
        <v>#DIV/0!</v>
      </c>
      <c r="V15" s="1980">
        <f>V9+P55</f>
        <v>10064.67</v>
      </c>
      <c r="W15" s="1980" t="e">
        <f ca="1">ROUND(Z15*10000/365/V15,2)</f>
        <v>#DIV/0!</v>
      </c>
      <c r="Z15" s="1980" t="e">
        <f ca="1">Z10+R55</f>
        <v>#DIV/0!</v>
      </c>
      <c r="AA15" s="1980">
        <v>0.75</v>
      </c>
    </row>
    <row r="16" spans="1:29">
      <c r="A16" s="3164"/>
      <c r="B16" s="1984" t="s">
        <v>969</v>
      </c>
      <c r="C16" s="1993"/>
      <c r="D16" s="1987" t="s">
        <v>935</v>
      </c>
      <c r="E16" s="3167"/>
      <c r="F16" s="3173"/>
      <c r="G16" s="1986">
        <v>183.14</v>
      </c>
      <c r="H16" s="1992">
        <v>1</v>
      </c>
      <c r="I16" s="1992">
        <f>Q17</f>
        <v>0.67</v>
      </c>
      <c r="J16" s="1992">
        <v>0.8</v>
      </c>
      <c r="K16" s="1992" t="e">
        <f t="shared" ca="1" si="6"/>
        <v>#DIV/0!</v>
      </c>
      <c r="L16" s="1992" t="e">
        <f t="shared" ca="1" si="0"/>
        <v>#DIV/0!</v>
      </c>
      <c r="M16" s="3177"/>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64"/>
      <c r="B17" s="1984" t="s">
        <v>973</v>
      </c>
      <c r="C17" s="1993"/>
      <c r="D17" s="1987" t="s">
        <v>935</v>
      </c>
      <c r="E17" s="3167"/>
      <c r="F17" s="3173"/>
      <c r="G17" s="1986">
        <v>184.08</v>
      </c>
      <c r="H17" s="1992">
        <v>1</v>
      </c>
      <c r="I17" s="1992">
        <f t="shared" ref="I17:I25" si="7">I16</f>
        <v>0.67</v>
      </c>
      <c r="J17" s="1992">
        <v>0.8</v>
      </c>
      <c r="K17" s="1992" t="e">
        <f t="shared" ca="1" si="6"/>
        <v>#DIV/0!</v>
      </c>
      <c r="L17" s="1992" t="e">
        <f t="shared" ca="1" si="0"/>
        <v>#DIV/0!</v>
      </c>
      <c r="M17" s="3177"/>
      <c r="N17" s="1990" t="e">
        <f t="shared" ca="1" si="1"/>
        <v>#DIV/0!</v>
      </c>
      <c r="O17" s="2004" t="e">
        <f t="shared" ca="1" si="2"/>
        <v>#DIV/0!</v>
      </c>
      <c r="P17" s="1980">
        <f>(P13+Q13)/2</f>
        <v>0.75</v>
      </c>
      <c r="Q17" s="1980">
        <f>ROUND((Q13*Q12+P12*P13)/3,2)</f>
        <v>0.67</v>
      </c>
      <c r="R17" s="1980">
        <f>ROUND((R13*2+P13*P12)/3,2)</f>
        <v>0.6</v>
      </c>
    </row>
    <row r="18" spans="1:32">
      <c r="A18" s="3164"/>
      <c r="B18" s="1984" t="s">
        <v>974</v>
      </c>
      <c r="C18" s="1993"/>
      <c r="D18" s="1987" t="s">
        <v>935</v>
      </c>
      <c r="E18" s="3167"/>
      <c r="F18" s="3173"/>
      <c r="G18" s="1986">
        <v>205.65</v>
      </c>
      <c r="H18" s="1992">
        <v>0.98</v>
      </c>
      <c r="I18" s="1992">
        <f t="shared" si="7"/>
        <v>0.67</v>
      </c>
      <c r="J18" s="1992">
        <v>0.8</v>
      </c>
      <c r="K18" s="1992" t="e">
        <f t="shared" ca="1" si="6"/>
        <v>#DIV/0!</v>
      </c>
      <c r="L18" s="1992" t="e">
        <f t="shared" ca="1" si="0"/>
        <v>#DIV/0!</v>
      </c>
      <c r="M18" s="3177"/>
      <c r="N18" s="1990" t="e">
        <f t="shared" ca="1" si="1"/>
        <v>#DIV/0!</v>
      </c>
      <c r="O18" s="2004" t="e">
        <f t="shared" ca="1" si="2"/>
        <v>#DIV/0!</v>
      </c>
    </row>
    <row r="19" spans="1:32">
      <c r="A19" s="3164"/>
      <c r="B19" s="1984" t="s">
        <v>975</v>
      </c>
      <c r="C19" s="1993"/>
      <c r="D19" s="1987" t="s">
        <v>935</v>
      </c>
      <c r="E19" s="3167"/>
      <c r="F19" s="3173"/>
      <c r="G19" s="1986">
        <v>319.12</v>
      </c>
      <c r="H19" s="1992">
        <v>0.96</v>
      </c>
      <c r="I19" s="1992">
        <f t="shared" si="7"/>
        <v>0.67</v>
      </c>
      <c r="J19" s="1992">
        <v>0.8</v>
      </c>
      <c r="K19" s="1992" t="e">
        <f t="shared" ca="1" si="6"/>
        <v>#DIV/0!</v>
      </c>
      <c r="L19" s="1992" t="e">
        <f t="shared" ca="1" si="0"/>
        <v>#DIV/0!</v>
      </c>
      <c r="M19" s="3177"/>
      <c r="N19" s="1990" t="e">
        <f t="shared" ca="1" si="1"/>
        <v>#DIV/0!</v>
      </c>
      <c r="O19" s="2004" t="e">
        <f t="shared" ca="1" si="2"/>
        <v>#DIV/0!</v>
      </c>
    </row>
    <row r="20" spans="1:32">
      <c r="A20" s="3164"/>
      <c r="B20" s="1984" t="s">
        <v>976</v>
      </c>
      <c r="C20" s="1993"/>
      <c r="D20" s="1987" t="s">
        <v>935</v>
      </c>
      <c r="E20" s="3167"/>
      <c r="F20" s="3173"/>
      <c r="G20" s="1986">
        <v>233.7</v>
      </c>
      <c r="H20" s="1992">
        <v>0.98</v>
      </c>
      <c r="I20" s="1992">
        <f t="shared" si="7"/>
        <v>0.67</v>
      </c>
      <c r="J20" s="1992">
        <v>0.9</v>
      </c>
      <c r="K20" s="1992" t="e">
        <f t="shared" ca="1" si="6"/>
        <v>#DIV/0!</v>
      </c>
      <c r="L20" s="1992" t="e">
        <f t="shared" ca="1" si="0"/>
        <v>#DIV/0!</v>
      </c>
      <c r="M20" s="3177"/>
      <c r="N20" s="1990" t="e">
        <f t="shared" ca="1" si="1"/>
        <v>#DIV/0!</v>
      </c>
      <c r="O20" s="2004" t="e">
        <f t="shared" ca="1" si="2"/>
        <v>#DIV/0!</v>
      </c>
      <c r="X20" s="1980" t="s">
        <v>977</v>
      </c>
    </row>
    <row r="21" spans="1:32">
      <c r="A21" s="3164"/>
      <c r="B21" s="1984" t="s">
        <v>978</v>
      </c>
      <c r="C21" s="1993"/>
      <c r="D21" s="1987" t="s">
        <v>935</v>
      </c>
      <c r="E21" s="3167"/>
      <c r="F21" s="3173"/>
      <c r="G21" s="1986">
        <v>279.70999999999998</v>
      </c>
      <c r="H21" s="1992">
        <v>0.98</v>
      </c>
      <c r="I21" s="1992">
        <f t="shared" si="7"/>
        <v>0.67</v>
      </c>
      <c r="J21" s="1992">
        <v>0.9</v>
      </c>
      <c r="K21" s="1992" t="e">
        <f t="shared" ca="1" si="6"/>
        <v>#DIV/0!</v>
      </c>
      <c r="L21" s="1992" t="e">
        <f t="shared" ca="1" si="0"/>
        <v>#DIV/0!</v>
      </c>
      <c r="M21" s="3177"/>
      <c r="N21" s="1990" t="e">
        <f t="shared" ca="1" si="1"/>
        <v>#DIV/0!</v>
      </c>
      <c r="O21" s="2004" t="e">
        <f t="shared" ca="1" si="2"/>
        <v>#DIV/0!</v>
      </c>
      <c r="V21" s="3183" t="s">
        <v>932</v>
      </c>
      <c r="W21" s="1992" t="s">
        <v>979</v>
      </c>
      <c r="X21" s="1992" t="e">
        <f ca="1">ROUND(AA21,2)</f>
        <v>#DIV/0!</v>
      </c>
      <c r="Z21" s="1980" t="e">
        <f ca="1">K2</f>
        <v>#DIV/0!</v>
      </c>
      <c r="AA21" s="1980" t="e">
        <f ca="1">Z21*AA15</f>
        <v>#DIV/0!</v>
      </c>
    </row>
    <row r="22" spans="1:32">
      <c r="A22" s="3164"/>
      <c r="B22" s="1984" t="s">
        <v>980</v>
      </c>
      <c r="C22" s="1993"/>
      <c r="D22" s="1987" t="s">
        <v>935</v>
      </c>
      <c r="E22" s="3167"/>
      <c r="F22" s="3173"/>
      <c r="G22" s="1986">
        <v>263.67</v>
      </c>
      <c r="H22" s="1992">
        <v>0.96</v>
      </c>
      <c r="I22" s="1992">
        <f t="shared" si="7"/>
        <v>0.67</v>
      </c>
      <c r="J22" s="1992">
        <v>0.9</v>
      </c>
      <c r="K22" s="1992" t="e">
        <f t="shared" ca="1" si="6"/>
        <v>#DIV/0!</v>
      </c>
      <c r="L22" s="1992" t="e">
        <f t="shared" ca="1" si="0"/>
        <v>#DIV/0!</v>
      </c>
      <c r="M22" s="3177"/>
      <c r="N22" s="1990" t="e">
        <f t="shared" ca="1" si="1"/>
        <v>#DIV/0!</v>
      </c>
      <c r="O22" s="2004" t="e">
        <f t="shared" ca="1" si="2"/>
        <v>#DIV/0!</v>
      </c>
      <c r="V22" s="3183"/>
      <c r="W22" s="1992" t="s">
        <v>981</v>
      </c>
      <c r="X22" s="1992" t="e">
        <f t="shared" ref="X22:X25" ca="1" si="8">ROUND(AA22,2)</f>
        <v>#DIV/0!</v>
      </c>
      <c r="Z22" s="1980" t="e">
        <f ca="1">Z21*0.7</f>
        <v>#DIV/0!</v>
      </c>
      <c r="AA22" s="1980" t="e">
        <f ca="1">Z22*AA15</f>
        <v>#DIV/0!</v>
      </c>
    </row>
    <row r="23" spans="1:32">
      <c r="A23" s="3164"/>
      <c r="B23" s="1984" t="s">
        <v>982</v>
      </c>
      <c r="C23" s="1993"/>
      <c r="D23" s="1987" t="s">
        <v>935</v>
      </c>
      <c r="E23" s="3167"/>
      <c r="F23" s="3173"/>
      <c r="G23" s="1986">
        <v>342.44</v>
      </c>
      <c r="H23" s="1992">
        <v>0.96</v>
      </c>
      <c r="I23" s="1992">
        <f t="shared" si="7"/>
        <v>0.67</v>
      </c>
      <c r="J23" s="1992">
        <v>0.9</v>
      </c>
      <c r="K23" s="1992" t="e">
        <f t="shared" ca="1" si="6"/>
        <v>#DIV/0!</v>
      </c>
      <c r="L23" s="1992" t="e">
        <f t="shared" ca="1" si="0"/>
        <v>#DIV/0!</v>
      </c>
      <c r="M23" s="3177"/>
      <c r="N23" s="1990" t="e">
        <f t="shared" ca="1" si="1"/>
        <v>#DIV/0!</v>
      </c>
      <c r="O23" s="2004" t="e">
        <f t="shared" ca="1" si="2"/>
        <v>#DIV/0!</v>
      </c>
      <c r="V23" s="3183"/>
      <c r="W23" s="1983" t="s">
        <v>983</v>
      </c>
      <c r="X23" s="1992">
        <f t="shared" si="8"/>
        <v>1.95</v>
      </c>
      <c r="Z23" s="1980">
        <v>2.6</v>
      </c>
      <c r="AA23" s="1980">
        <f>Z23*AA15</f>
        <v>1.9500000000000002</v>
      </c>
    </row>
    <row r="24" spans="1:32">
      <c r="A24" s="3164"/>
      <c r="B24" s="1984" t="s">
        <v>984</v>
      </c>
      <c r="C24" s="1993"/>
      <c r="D24" s="1987" t="s">
        <v>935</v>
      </c>
      <c r="E24" s="3167"/>
      <c r="F24" s="3173"/>
      <c r="G24" s="1986">
        <v>312.77999999999997</v>
      </c>
      <c r="H24" s="1992">
        <v>0.96</v>
      </c>
      <c r="I24" s="1992">
        <f t="shared" si="7"/>
        <v>0.67</v>
      </c>
      <c r="J24" s="1992">
        <v>0.8</v>
      </c>
      <c r="K24" s="1992" t="e">
        <f t="shared" ca="1" si="6"/>
        <v>#DIV/0!</v>
      </c>
      <c r="L24" s="1992" t="e">
        <f t="shared" ca="1" si="0"/>
        <v>#DIV/0!</v>
      </c>
      <c r="M24" s="3177"/>
      <c r="N24" s="1990" t="e">
        <f t="shared" ca="1" si="1"/>
        <v>#DIV/0!</v>
      </c>
      <c r="O24" s="2004" t="e">
        <f t="shared" ca="1" si="2"/>
        <v>#DIV/0!</v>
      </c>
      <c r="V24" s="3183"/>
      <c r="W24" s="1983" t="s">
        <v>985</v>
      </c>
      <c r="X24" s="1992" t="e">
        <f>K39</f>
        <v>#REF!</v>
      </c>
      <c r="Z24" s="1980">
        <v>1.7</v>
      </c>
      <c r="AA24" s="1980">
        <f>Z24*AA15</f>
        <v>1.2749999999999999</v>
      </c>
    </row>
    <row r="25" spans="1:32">
      <c r="A25" s="3164"/>
      <c r="B25" s="1984" t="s">
        <v>986</v>
      </c>
      <c r="C25" s="1994"/>
      <c r="D25" s="1987" t="s">
        <v>935</v>
      </c>
      <c r="E25" s="3168"/>
      <c r="F25" s="3173"/>
      <c r="G25" s="1986">
        <v>283.81</v>
      </c>
      <c r="H25" s="1992">
        <v>0.98</v>
      </c>
      <c r="I25" s="1992">
        <f t="shared" si="7"/>
        <v>0.67</v>
      </c>
      <c r="J25" s="1992">
        <v>0.8</v>
      </c>
      <c r="K25" s="1992" t="e">
        <f t="shared" ca="1" si="6"/>
        <v>#DIV/0!</v>
      </c>
      <c r="L25" s="1992" t="e">
        <f t="shared" ca="1" si="0"/>
        <v>#DIV/0!</v>
      </c>
      <c r="M25" s="3177"/>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64"/>
      <c r="B26" s="1995" t="s">
        <v>987</v>
      </c>
      <c r="C26" s="1995"/>
      <c r="D26" s="1987" t="s">
        <v>935</v>
      </c>
      <c r="E26" s="3169" t="s">
        <v>988</v>
      </c>
      <c r="F26" s="3174" t="s">
        <v>459</v>
      </c>
      <c r="G26" s="1996">
        <v>79.17</v>
      </c>
      <c r="H26" s="1997">
        <v>1.02</v>
      </c>
      <c r="I26" s="1997">
        <f>Q13</f>
        <v>0.5</v>
      </c>
      <c r="J26" s="1997">
        <v>0.9</v>
      </c>
      <c r="K26" s="1997" t="e">
        <f t="shared" ca="1" si="6"/>
        <v>#DIV/0!</v>
      </c>
      <c r="L26" s="1997" t="e">
        <f t="shared" ca="1" si="0"/>
        <v>#DIV/0!</v>
      </c>
      <c r="M26" s="3177"/>
      <c r="N26" s="1990" t="e">
        <f t="shared" ca="1" si="1"/>
        <v>#DIV/0!</v>
      </c>
      <c r="O26" s="2004" t="e">
        <f t="shared" ca="1" si="2"/>
        <v>#DIV/0!</v>
      </c>
    </row>
    <row r="27" spans="1:32">
      <c r="A27" s="3164"/>
      <c r="B27" s="1995" t="s">
        <v>989</v>
      </c>
      <c r="C27" s="1995"/>
      <c r="D27" s="1987" t="s">
        <v>935</v>
      </c>
      <c r="E27" s="3169"/>
      <c r="F27" s="3174"/>
      <c r="G27" s="1996">
        <v>119.32</v>
      </c>
      <c r="H27" s="1997">
        <v>1</v>
      </c>
      <c r="I27" s="1997">
        <f>I26</f>
        <v>0.5</v>
      </c>
      <c r="J27" s="1997">
        <v>0.9</v>
      </c>
      <c r="K27" s="1997" t="e">
        <f t="shared" ref="K27:K33" ca="1" si="9">ROUND($K$2*H27*I27*J27,1)</f>
        <v>#DIV/0!</v>
      </c>
      <c r="L27" s="1997" t="e">
        <f t="shared" ca="1" si="0"/>
        <v>#DIV/0!</v>
      </c>
      <c r="M27" s="3177"/>
      <c r="N27" s="1990" t="e">
        <f t="shared" ca="1" si="1"/>
        <v>#DIV/0!</v>
      </c>
      <c r="O27" s="2004" t="e">
        <f t="shared" ca="1" si="2"/>
        <v>#DIV/0!</v>
      </c>
      <c r="Y27" s="1980">
        <v>0.8</v>
      </c>
      <c r="Z27" s="1980">
        <v>0.6</v>
      </c>
      <c r="AA27" s="1980">
        <v>0.5</v>
      </c>
      <c r="AB27" s="1980">
        <v>0.8</v>
      </c>
      <c r="AC27" s="1980">
        <v>0.7</v>
      </c>
      <c r="AD27" s="1980">
        <v>0.5</v>
      </c>
    </row>
    <row r="28" spans="1:32">
      <c r="A28" s="3164"/>
      <c r="B28" s="1995" t="s">
        <v>990</v>
      </c>
      <c r="C28" s="1995"/>
      <c r="D28" s="1987" t="s">
        <v>935</v>
      </c>
      <c r="E28" s="3169"/>
      <c r="F28" s="3174"/>
      <c r="G28" s="1996">
        <v>117.06</v>
      </c>
      <c r="H28" s="1997">
        <v>1</v>
      </c>
      <c r="I28" s="1997">
        <f>I27</f>
        <v>0.5</v>
      </c>
      <c r="J28" s="1997">
        <v>0.8</v>
      </c>
      <c r="K28" s="1997" t="e">
        <f t="shared" ca="1" si="9"/>
        <v>#DIV/0!</v>
      </c>
      <c r="L28" s="1997" t="e">
        <f t="shared" ca="1" si="0"/>
        <v>#DIV/0!</v>
      </c>
      <c r="M28" s="3177"/>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64"/>
      <c r="B29" s="1995" t="s">
        <v>998</v>
      </c>
      <c r="C29" s="1995"/>
      <c r="D29" s="1987" t="s">
        <v>935</v>
      </c>
      <c r="E29" s="3169"/>
      <c r="F29" s="3174"/>
      <c r="G29" s="1996">
        <v>118.8</v>
      </c>
      <c r="H29" s="1997">
        <v>1</v>
      </c>
      <c r="I29" s="1997">
        <f>I28</f>
        <v>0.5</v>
      </c>
      <c r="J29" s="1997">
        <v>0.8</v>
      </c>
      <c r="K29" s="1997" t="e">
        <f t="shared" ca="1" si="9"/>
        <v>#DIV/0!</v>
      </c>
      <c r="L29" s="1997" t="e">
        <f t="shared" ca="1" si="0"/>
        <v>#DIV/0!</v>
      </c>
      <c r="M29" s="3177"/>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64"/>
      <c r="B30" s="1995" t="s">
        <v>999</v>
      </c>
      <c r="C30" s="1995"/>
      <c r="D30" s="1987" t="s">
        <v>935</v>
      </c>
      <c r="E30" s="3169"/>
      <c r="F30" s="3174"/>
      <c r="G30" s="1996">
        <v>56.77</v>
      </c>
      <c r="H30" s="1997">
        <v>1.02</v>
      </c>
      <c r="I30" s="1997">
        <f>I28</f>
        <v>0.5</v>
      </c>
      <c r="J30" s="1997">
        <v>0.8</v>
      </c>
      <c r="K30" s="1997" t="e">
        <f t="shared" ca="1" si="9"/>
        <v>#DIV/0!</v>
      </c>
      <c r="L30" s="1997" t="e">
        <f t="shared" ca="1" si="0"/>
        <v>#DIV/0!</v>
      </c>
      <c r="M30" s="3177"/>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64"/>
      <c r="B31" s="1995" t="s">
        <v>1000</v>
      </c>
      <c r="C31" s="1995"/>
      <c r="D31" s="1987" t="s">
        <v>935</v>
      </c>
      <c r="E31" s="3169"/>
      <c r="F31" s="3174"/>
      <c r="G31" s="1996">
        <v>112.15</v>
      </c>
      <c r="H31" s="1997">
        <v>1</v>
      </c>
      <c r="I31" s="1997">
        <f>I30</f>
        <v>0.5</v>
      </c>
      <c r="J31" s="1997">
        <v>0.8</v>
      </c>
      <c r="K31" s="1997" t="e">
        <f t="shared" ca="1" si="9"/>
        <v>#DIV/0!</v>
      </c>
      <c r="L31" s="1997" t="e">
        <f t="shared" ca="1" si="0"/>
        <v>#DIV/0!</v>
      </c>
      <c r="M31" s="3177"/>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64"/>
      <c r="B32" s="1995" t="s">
        <v>1001</v>
      </c>
      <c r="C32" s="1995"/>
      <c r="D32" s="1987" t="s">
        <v>935</v>
      </c>
      <c r="E32" s="3169"/>
      <c r="F32" s="3174"/>
      <c r="G32" s="1996">
        <v>109.14</v>
      </c>
      <c r="H32" s="1997">
        <v>1</v>
      </c>
      <c r="I32" s="1997">
        <f>I31</f>
        <v>0.5</v>
      </c>
      <c r="J32" s="1997">
        <v>0.8</v>
      </c>
      <c r="K32" s="1997" t="e">
        <f t="shared" ca="1" si="9"/>
        <v>#DIV/0!</v>
      </c>
      <c r="L32" s="1997" t="e">
        <f t="shared" ca="1" si="0"/>
        <v>#DIV/0!</v>
      </c>
      <c r="M32" s="3177"/>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64"/>
      <c r="B33" s="1984" t="s">
        <v>1002</v>
      </c>
      <c r="C33" s="1991"/>
      <c r="D33" s="1987" t="s">
        <v>935</v>
      </c>
      <c r="E33" s="3166" t="s">
        <v>1003</v>
      </c>
      <c r="F33" s="3173" t="s">
        <v>1004</v>
      </c>
      <c r="G33" s="1986">
        <v>291.33</v>
      </c>
      <c r="H33" s="1992">
        <v>0.98</v>
      </c>
      <c r="I33" s="1992">
        <v>0.6</v>
      </c>
      <c r="J33" s="1992">
        <v>0.8</v>
      </c>
      <c r="K33" s="1992" t="e">
        <f t="shared" ca="1" si="9"/>
        <v>#DIV/0!</v>
      </c>
      <c r="L33" s="1992" t="e">
        <f t="shared" ca="1" si="0"/>
        <v>#DIV/0!</v>
      </c>
      <c r="M33" s="3177"/>
      <c r="N33" s="1990" t="e">
        <f t="shared" ca="1" si="1"/>
        <v>#DIV/0!</v>
      </c>
      <c r="O33" s="2004" t="e">
        <f t="shared" ca="1" si="2"/>
        <v>#DIV/0!</v>
      </c>
    </row>
    <row r="34" spans="1:24">
      <c r="A34" s="3164"/>
      <c r="B34" s="1984" t="s">
        <v>1005</v>
      </c>
      <c r="C34" s="1993"/>
      <c r="D34" s="1987" t="s">
        <v>935</v>
      </c>
      <c r="E34" s="3167"/>
      <c r="F34" s="3173"/>
      <c r="G34" s="1986">
        <v>280.91000000000003</v>
      </c>
      <c r="H34" s="1992">
        <v>0.98</v>
      </c>
      <c r="I34" s="1992">
        <f>I33</f>
        <v>0.6</v>
      </c>
      <c r="J34" s="1992">
        <v>0.8</v>
      </c>
      <c r="K34" s="1992" t="e">
        <f t="shared" ref="K34:K38" ca="1" si="12">ROUND($K$2*H34*I34*J34,1)</f>
        <v>#DIV/0!</v>
      </c>
      <c r="L34" s="1992" t="e">
        <f t="shared" ref="L34:L53" ca="1" si="13">ROUND(K34*G34/10000*365,2)</f>
        <v>#DIV/0!</v>
      </c>
      <c r="M34" s="3177"/>
      <c r="N34" s="1990" t="e">
        <f t="shared" ca="1" si="1"/>
        <v>#DIV/0!</v>
      </c>
      <c r="O34" s="2004" t="e">
        <f t="shared" ca="1" si="2"/>
        <v>#DIV/0!</v>
      </c>
    </row>
    <row r="35" spans="1:24">
      <c r="A35" s="3164"/>
      <c r="B35" s="1984" t="s">
        <v>1006</v>
      </c>
      <c r="C35" s="1993"/>
      <c r="D35" s="1987" t="s">
        <v>935</v>
      </c>
      <c r="E35" s="3167"/>
      <c r="F35" s="3173"/>
      <c r="G35" s="1986">
        <v>186.02</v>
      </c>
      <c r="H35" s="1992">
        <v>1</v>
      </c>
      <c r="I35" s="1992">
        <f>I34</f>
        <v>0.6</v>
      </c>
      <c r="J35" s="1992">
        <v>0.8</v>
      </c>
      <c r="K35" s="1992" t="e">
        <f t="shared" ca="1" si="12"/>
        <v>#DIV/0!</v>
      </c>
      <c r="L35" s="1992" t="e">
        <f t="shared" ca="1" si="13"/>
        <v>#DIV/0!</v>
      </c>
      <c r="M35" s="3177"/>
      <c r="N35" s="1990" t="e">
        <f t="shared" ca="1" si="1"/>
        <v>#DIV/0!</v>
      </c>
      <c r="O35" s="2004" t="e">
        <f t="shared" ca="1" si="2"/>
        <v>#DIV/0!</v>
      </c>
      <c r="V35" s="2007" t="s">
        <v>919</v>
      </c>
      <c r="W35" s="2007" t="s">
        <v>922</v>
      </c>
      <c r="X35" s="2007" t="s">
        <v>924</v>
      </c>
    </row>
    <row r="36" spans="1:24">
      <c r="A36" s="3164"/>
      <c r="B36" s="1984" t="s">
        <v>1007</v>
      </c>
      <c r="C36" s="1993"/>
      <c r="D36" s="1987" t="s">
        <v>935</v>
      </c>
      <c r="E36" s="3167"/>
      <c r="F36" s="3173"/>
      <c r="G36" s="1986">
        <v>359.07</v>
      </c>
      <c r="H36" s="1992">
        <v>0.96</v>
      </c>
      <c r="I36" s="1992">
        <f>I35</f>
        <v>0.6</v>
      </c>
      <c r="J36" s="1992">
        <v>1</v>
      </c>
      <c r="K36" s="1992" t="e">
        <f t="shared" ca="1" si="12"/>
        <v>#DIV/0!</v>
      </c>
      <c r="L36" s="1992" t="e">
        <f t="shared" ca="1" si="13"/>
        <v>#DIV/0!</v>
      </c>
      <c r="M36" s="3177"/>
      <c r="N36" s="1990" t="e">
        <f t="shared" ca="1" si="1"/>
        <v>#DIV/0!</v>
      </c>
      <c r="O36" s="2004" t="e">
        <f t="shared" ca="1" si="2"/>
        <v>#DIV/0!</v>
      </c>
      <c r="V36" s="3179" t="s">
        <v>1008</v>
      </c>
      <c r="W36" s="2007" t="s">
        <v>979</v>
      </c>
      <c r="X36" s="2007">
        <f>SUM(G8:G11)</f>
        <v>360.45</v>
      </c>
    </row>
    <row r="37" spans="1:24">
      <c r="A37" s="3164"/>
      <c r="B37" s="1984" t="s">
        <v>1009</v>
      </c>
      <c r="C37" s="1993"/>
      <c r="D37" s="1987" t="s">
        <v>935</v>
      </c>
      <c r="E37" s="3167"/>
      <c r="F37" s="3173"/>
      <c r="G37" s="1986">
        <v>320.08999999999997</v>
      </c>
      <c r="H37" s="1992">
        <v>0.96</v>
      </c>
      <c r="I37" s="1992">
        <f>I36</f>
        <v>0.6</v>
      </c>
      <c r="J37" s="1992">
        <v>1</v>
      </c>
      <c r="K37" s="1992" t="e">
        <f t="shared" ca="1" si="12"/>
        <v>#DIV/0!</v>
      </c>
      <c r="L37" s="1992" t="e">
        <f t="shared" ca="1" si="13"/>
        <v>#DIV/0!</v>
      </c>
      <c r="M37" s="3177"/>
      <c r="N37" s="1990" t="e">
        <f t="shared" ca="1" si="1"/>
        <v>#DIV/0!</v>
      </c>
      <c r="O37" s="2004" t="e">
        <f t="shared" ca="1" si="2"/>
        <v>#DIV/0!</v>
      </c>
      <c r="P37" s="1">
        <f>SUM(G33:G38)</f>
        <v>1701.5299999999997</v>
      </c>
      <c r="Q37" s="1" t="e">
        <f ca="1">ROUND(R37*10000/P37/365,2)</f>
        <v>#DIV/0!</v>
      </c>
      <c r="R37" s="1" t="e">
        <f ca="1">SUM(L33:L38)</f>
        <v>#DIV/0!</v>
      </c>
      <c r="V37" s="3179"/>
      <c r="W37" s="2007" t="s">
        <v>1010</v>
      </c>
      <c r="X37" s="2007">
        <f>SUM(G16:G25)</f>
        <v>2608.1</v>
      </c>
    </row>
    <row r="38" spans="1:24">
      <c r="A38" s="3164"/>
      <c r="B38" s="1984" t="s">
        <v>1011</v>
      </c>
      <c r="C38" s="1994"/>
      <c r="D38" s="1987" t="s">
        <v>935</v>
      </c>
      <c r="E38" s="3168"/>
      <c r="F38" s="3173"/>
      <c r="G38" s="1986">
        <v>264.11</v>
      </c>
      <c r="H38" s="1992">
        <v>0.98</v>
      </c>
      <c r="I38" s="1992">
        <f>I37</f>
        <v>0.6</v>
      </c>
      <c r="J38" s="1992">
        <v>1</v>
      </c>
      <c r="K38" s="1992" t="e">
        <f t="shared" ca="1" si="12"/>
        <v>#DIV/0!</v>
      </c>
      <c r="L38" s="1992" t="e">
        <f t="shared" ca="1" si="13"/>
        <v>#DIV/0!</v>
      </c>
      <c r="M38" s="3177"/>
      <c r="N38" s="1990" t="e">
        <f t="shared" ca="1" si="1"/>
        <v>#DIV/0!</v>
      </c>
      <c r="O38" s="2004" t="e">
        <f t="shared" ca="1" si="2"/>
        <v>#DIV/0!</v>
      </c>
      <c r="P38" s="2005">
        <f>SUM(G2:G38)</f>
        <v>6745.6900000000005</v>
      </c>
      <c r="Q38" s="2005" t="e">
        <f ca="1">ROUND(R38*10000/365/P38,2)</f>
        <v>#DIV/0!</v>
      </c>
      <c r="R38" s="2005" t="e">
        <f ca="1">SUM(L2:L38)</f>
        <v>#DIV/0!</v>
      </c>
      <c r="V38" s="3179"/>
      <c r="W38" s="2007" t="s">
        <v>981</v>
      </c>
      <c r="X38" s="2007">
        <f>SUM(G26:G32)</f>
        <v>712.41</v>
      </c>
    </row>
    <row r="39" spans="1:24">
      <c r="A39" s="3164"/>
      <c r="B39" s="1998" t="s">
        <v>1012</v>
      </c>
      <c r="C39" s="1999"/>
      <c r="D39" s="1987" t="s">
        <v>935</v>
      </c>
      <c r="E39" s="3170" t="s">
        <v>1013</v>
      </c>
      <c r="F39" s="3175" t="s">
        <v>1014</v>
      </c>
      <c r="G39" s="2000">
        <v>131.88</v>
      </c>
      <c r="H39" s="2001">
        <v>1</v>
      </c>
      <c r="I39" s="2001">
        <v>1</v>
      </c>
      <c r="J39" s="2001"/>
      <c r="K39" s="2001" t="e">
        <f>ROUND(#REF!,1)</f>
        <v>#REF!</v>
      </c>
      <c r="L39" s="2001" t="e">
        <f t="shared" si="13"/>
        <v>#REF!</v>
      </c>
      <c r="M39" s="3177"/>
      <c r="N39" s="1990" t="e">
        <f t="shared" si="1"/>
        <v>#REF!</v>
      </c>
      <c r="O39" s="2004" t="e">
        <f t="shared" si="2"/>
        <v>#REF!</v>
      </c>
      <c r="V39" s="3179"/>
      <c r="W39" s="2008" t="s">
        <v>985</v>
      </c>
      <c r="X39" s="2007">
        <f>SUM(G39:G53)</f>
        <v>2039.01</v>
      </c>
    </row>
    <row r="40" spans="1:24">
      <c r="A40" s="3164"/>
      <c r="B40" s="1998" t="s">
        <v>1015</v>
      </c>
      <c r="C40" s="2002"/>
      <c r="D40" s="1987" t="s">
        <v>935</v>
      </c>
      <c r="E40" s="3171"/>
      <c r="F40" s="3175"/>
      <c r="G40" s="2000">
        <v>134.19</v>
      </c>
      <c r="H40" s="2001">
        <v>1</v>
      </c>
      <c r="I40" s="2001">
        <v>1</v>
      </c>
      <c r="J40" s="2001"/>
      <c r="K40" s="2001" t="e">
        <f>ROUND($K$39*H40*I40,1)</f>
        <v>#REF!</v>
      </c>
      <c r="L40" s="2001" t="e">
        <f t="shared" si="13"/>
        <v>#REF!</v>
      </c>
      <c r="M40" s="3177"/>
      <c r="N40" s="1990" t="e">
        <f t="shared" si="1"/>
        <v>#REF!</v>
      </c>
      <c r="O40" s="2004" t="e">
        <f t="shared" si="2"/>
        <v>#REF!</v>
      </c>
      <c r="V40" s="2007" t="s">
        <v>1016</v>
      </c>
      <c r="W40" s="2007" t="s">
        <v>979</v>
      </c>
      <c r="X40" s="2007"/>
    </row>
    <row r="41" spans="1:24">
      <c r="A41" s="3164"/>
      <c r="B41" s="1998" t="s">
        <v>1017</v>
      </c>
      <c r="C41" s="2002"/>
      <c r="D41" s="1987" t="s">
        <v>935</v>
      </c>
      <c r="E41" s="3171"/>
      <c r="F41" s="3175"/>
      <c r="G41" s="2000">
        <v>137.80000000000001</v>
      </c>
      <c r="H41" s="2001">
        <v>1</v>
      </c>
      <c r="I41" s="2001">
        <v>1</v>
      </c>
      <c r="J41" s="2001"/>
      <c r="K41" s="2001" t="e">
        <f t="shared" ref="K41:K53" si="14">ROUND($K$39*H41*I41,1)</f>
        <v>#REF!</v>
      </c>
      <c r="L41" s="2001" t="e">
        <f t="shared" si="13"/>
        <v>#REF!</v>
      </c>
      <c r="M41" s="3177"/>
      <c r="N41" s="1990" t="e">
        <f t="shared" si="1"/>
        <v>#REF!</v>
      </c>
      <c r="O41" s="2004" t="e">
        <f t="shared" si="2"/>
        <v>#REF!</v>
      </c>
      <c r="V41" s="3179" t="s">
        <v>1018</v>
      </c>
      <c r="W41" s="2007" t="s">
        <v>979</v>
      </c>
      <c r="X41" s="2007"/>
    </row>
    <row r="42" spans="1:24">
      <c r="A42" s="3164"/>
      <c r="B42" s="1998" t="s">
        <v>1019</v>
      </c>
      <c r="C42" s="2002"/>
      <c r="D42" s="1987" t="s">
        <v>935</v>
      </c>
      <c r="E42" s="3171"/>
      <c r="F42" s="3175"/>
      <c r="G42" s="2000">
        <v>153.52000000000001</v>
      </c>
      <c r="H42" s="2001">
        <v>1</v>
      </c>
      <c r="I42" s="2001">
        <v>1</v>
      </c>
      <c r="J42" s="2001"/>
      <c r="K42" s="2001" t="e">
        <f t="shared" si="14"/>
        <v>#REF!</v>
      </c>
      <c r="L42" s="2001" t="e">
        <f t="shared" si="13"/>
        <v>#REF!</v>
      </c>
      <c r="M42" s="3177"/>
      <c r="N42" s="1990" t="e">
        <f t="shared" si="1"/>
        <v>#REF!</v>
      </c>
      <c r="O42" s="2004" t="e">
        <f t="shared" si="2"/>
        <v>#REF!</v>
      </c>
      <c r="V42" s="3179"/>
      <c r="W42" s="2007" t="s">
        <v>1010</v>
      </c>
      <c r="X42" s="2007"/>
    </row>
    <row r="43" spans="1:24">
      <c r="A43" s="3164"/>
      <c r="B43" s="1998" t="s">
        <v>1020</v>
      </c>
      <c r="C43" s="2002"/>
      <c r="D43" s="1987" t="s">
        <v>935</v>
      </c>
      <c r="E43" s="3171"/>
      <c r="F43" s="3175"/>
      <c r="G43" s="2000">
        <v>91.97</v>
      </c>
      <c r="H43" s="2001">
        <v>1.02</v>
      </c>
      <c r="I43" s="2001">
        <v>1</v>
      </c>
      <c r="J43" s="2001"/>
      <c r="K43" s="2001" t="e">
        <f t="shared" si="14"/>
        <v>#REF!</v>
      </c>
      <c r="L43" s="2001" t="e">
        <f t="shared" si="13"/>
        <v>#REF!</v>
      </c>
      <c r="M43" s="3177"/>
      <c r="N43" s="1990" t="e">
        <f t="shared" si="1"/>
        <v>#REF!</v>
      </c>
      <c r="O43" s="2004" t="e">
        <f t="shared" si="2"/>
        <v>#REF!</v>
      </c>
      <c r="V43" s="3179"/>
      <c r="W43" s="2008" t="s">
        <v>997</v>
      </c>
      <c r="X43" s="2007"/>
    </row>
    <row r="44" spans="1:24">
      <c r="A44" s="3164"/>
      <c r="B44" s="1998" t="s">
        <v>1021</v>
      </c>
      <c r="C44" s="2002"/>
      <c r="D44" s="1987" t="s">
        <v>935</v>
      </c>
      <c r="E44" s="3171"/>
      <c r="F44" s="3175"/>
      <c r="G44" s="2000">
        <v>124.97</v>
      </c>
      <c r="H44" s="2001">
        <v>1</v>
      </c>
      <c r="I44" s="2001">
        <v>1</v>
      </c>
      <c r="J44" s="2001"/>
      <c r="K44" s="2001" t="e">
        <f t="shared" si="14"/>
        <v>#REF!</v>
      </c>
      <c r="L44" s="2001" t="e">
        <f t="shared" si="13"/>
        <v>#REF!</v>
      </c>
      <c r="M44" s="3177"/>
      <c r="N44" s="1990" t="e">
        <f t="shared" si="1"/>
        <v>#REF!</v>
      </c>
      <c r="O44" s="2004" t="e">
        <f t="shared" si="2"/>
        <v>#REF!</v>
      </c>
      <c r="V44" s="1980" t="s">
        <v>1022</v>
      </c>
    </row>
    <row r="45" spans="1:24">
      <c r="A45" s="3164"/>
      <c r="B45" s="1998" t="s">
        <v>1023</v>
      </c>
      <c r="C45" s="2002"/>
      <c r="D45" s="1987" t="s">
        <v>935</v>
      </c>
      <c r="E45" s="3171"/>
      <c r="F45" s="3175"/>
      <c r="G45" s="2000">
        <v>123.94</v>
      </c>
      <c r="H45" s="2001">
        <v>1</v>
      </c>
      <c r="I45" s="2001">
        <v>1</v>
      </c>
      <c r="J45" s="2001"/>
      <c r="K45" s="2001" t="e">
        <f t="shared" si="14"/>
        <v>#REF!</v>
      </c>
      <c r="L45" s="2001" t="e">
        <f t="shared" si="13"/>
        <v>#REF!</v>
      </c>
      <c r="M45" s="3177"/>
      <c r="N45" s="1990" t="e">
        <f t="shared" si="1"/>
        <v>#REF!</v>
      </c>
      <c r="O45" s="2004" t="e">
        <f t="shared" si="2"/>
        <v>#REF!</v>
      </c>
    </row>
    <row r="46" spans="1:24">
      <c r="A46" s="3164"/>
      <c r="B46" s="1998" t="s">
        <v>1024</v>
      </c>
      <c r="C46" s="2002"/>
      <c r="D46" s="1987" t="s">
        <v>935</v>
      </c>
      <c r="E46" s="3171"/>
      <c r="F46" s="3175"/>
      <c r="G46" s="2000">
        <v>124.97</v>
      </c>
      <c r="H46" s="2001">
        <v>1</v>
      </c>
      <c r="I46" s="2001">
        <v>1</v>
      </c>
      <c r="J46" s="2001"/>
      <c r="K46" s="2001" t="e">
        <f t="shared" si="14"/>
        <v>#REF!</v>
      </c>
      <c r="L46" s="2001" t="e">
        <f t="shared" si="13"/>
        <v>#REF!</v>
      </c>
      <c r="M46" s="3177"/>
      <c r="N46" s="1990" t="e">
        <f t="shared" si="1"/>
        <v>#REF!</v>
      </c>
      <c r="O46" s="2004" t="e">
        <f t="shared" si="2"/>
        <v>#REF!</v>
      </c>
    </row>
    <row r="47" spans="1:24">
      <c r="A47" s="3164"/>
      <c r="B47" s="1998" t="s">
        <v>1025</v>
      </c>
      <c r="C47" s="2002"/>
      <c r="D47" s="1987" t="s">
        <v>935</v>
      </c>
      <c r="E47" s="3171"/>
      <c r="F47" s="3175"/>
      <c r="G47" s="2000">
        <v>97.68</v>
      </c>
      <c r="H47" s="2001">
        <v>1.02</v>
      </c>
      <c r="I47" s="2001">
        <v>1</v>
      </c>
      <c r="J47" s="2001"/>
      <c r="K47" s="2001" t="e">
        <f t="shared" si="14"/>
        <v>#REF!</v>
      </c>
      <c r="L47" s="2001" t="e">
        <f t="shared" si="13"/>
        <v>#REF!</v>
      </c>
      <c r="M47" s="3177"/>
      <c r="N47" s="1990" t="e">
        <f t="shared" si="1"/>
        <v>#REF!</v>
      </c>
      <c r="O47" s="2004" t="e">
        <f t="shared" si="2"/>
        <v>#REF!</v>
      </c>
    </row>
    <row r="48" spans="1:24">
      <c r="A48" s="3164"/>
      <c r="B48" s="1998" t="s">
        <v>1026</v>
      </c>
      <c r="C48" s="2002"/>
      <c r="D48" s="1987" t="s">
        <v>935</v>
      </c>
      <c r="E48" s="3171"/>
      <c r="F48" s="3175"/>
      <c r="G48" s="2000">
        <v>137.05000000000001</v>
      </c>
      <c r="H48" s="2001">
        <v>1</v>
      </c>
      <c r="I48" s="2001">
        <v>1</v>
      </c>
      <c r="J48" s="2001"/>
      <c r="K48" s="2001" t="e">
        <f t="shared" si="14"/>
        <v>#REF!</v>
      </c>
      <c r="L48" s="2001" t="e">
        <f t="shared" si="13"/>
        <v>#REF!</v>
      </c>
      <c r="M48" s="3177"/>
      <c r="N48" s="1990" t="e">
        <f t="shared" si="1"/>
        <v>#REF!</v>
      </c>
      <c r="O48" s="2004" t="e">
        <f t="shared" si="2"/>
        <v>#REF!</v>
      </c>
    </row>
    <row r="49" spans="1:18">
      <c r="A49" s="3164"/>
      <c r="B49" s="1998" t="s">
        <v>1027</v>
      </c>
      <c r="C49" s="2002"/>
      <c r="D49" s="1987" t="s">
        <v>935</v>
      </c>
      <c r="E49" s="3171"/>
      <c r="F49" s="3175"/>
      <c r="G49" s="2000">
        <v>166.32</v>
      </c>
      <c r="H49" s="2001">
        <v>1</v>
      </c>
      <c r="I49" s="2001">
        <v>1</v>
      </c>
      <c r="J49" s="2001"/>
      <c r="K49" s="2001" t="e">
        <f t="shared" si="14"/>
        <v>#REF!</v>
      </c>
      <c r="L49" s="2001" t="e">
        <f t="shared" si="13"/>
        <v>#REF!</v>
      </c>
      <c r="M49" s="3177"/>
      <c r="N49" s="1990" t="e">
        <f t="shared" si="1"/>
        <v>#REF!</v>
      </c>
      <c r="O49" s="2004" t="e">
        <f t="shared" si="2"/>
        <v>#REF!</v>
      </c>
    </row>
    <row r="50" spans="1:18">
      <c r="A50" s="3164"/>
      <c r="B50" s="1998" t="s">
        <v>1028</v>
      </c>
      <c r="C50" s="2002"/>
      <c r="D50" s="1987" t="s">
        <v>935</v>
      </c>
      <c r="E50" s="3171"/>
      <c r="F50" s="3175"/>
      <c r="G50" s="2000">
        <v>164.96</v>
      </c>
      <c r="H50" s="2001">
        <v>1</v>
      </c>
      <c r="I50" s="2001">
        <v>1</v>
      </c>
      <c r="J50" s="2001"/>
      <c r="K50" s="2001" t="e">
        <f t="shared" si="14"/>
        <v>#REF!</v>
      </c>
      <c r="L50" s="2001" t="e">
        <f t="shared" si="13"/>
        <v>#REF!</v>
      </c>
      <c r="M50" s="3177"/>
      <c r="N50" s="1990" t="e">
        <f t="shared" si="1"/>
        <v>#REF!</v>
      </c>
      <c r="O50" s="2004" t="e">
        <f t="shared" si="2"/>
        <v>#REF!</v>
      </c>
    </row>
    <row r="51" spans="1:18">
      <c r="A51" s="3164"/>
      <c r="B51" s="1998" t="s">
        <v>1029</v>
      </c>
      <c r="C51" s="2002"/>
      <c r="D51" s="1987" t="s">
        <v>935</v>
      </c>
      <c r="E51" s="3171"/>
      <c r="F51" s="3175"/>
      <c r="G51" s="2000">
        <v>168.1</v>
      </c>
      <c r="H51" s="2001">
        <v>1</v>
      </c>
      <c r="I51" s="2001">
        <v>1</v>
      </c>
      <c r="J51" s="2001"/>
      <c r="K51" s="2001" t="e">
        <f t="shared" si="14"/>
        <v>#REF!</v>
      </c>
      <c r="L51" s="2001" t="e">
        <f t="shared" si="13"/>
        <v>#REF!</v>
      </c>
      <c r="M51" s="3177"/>
      <c r="N51" s="1990" t="e">
        <f t="shared" si="1"/>
        <v>#REF!</v>
      </c>
      <c r="O51" s="2004" t="e">
        <f t="shared" si="2"/>
        <v>#REF!</v>
      </c>
    </row>
    <row r="52" spans="1:18">
      <c r="A52" s="3164"/>
      <c r="B52" s="1998" t="s">
        <v>1030</v>
      </c>
      <c r="C52" s="2002"/>
      <c r="D52" s="1987" t="s">
        <v>935</v>
      </c>
      <c r="E52" s="3171"/>
      <c r="F52" s="3175"/>
      <c r="G52" s="2000">
        <v>157.13</v>
      </c>
      <c r="H52" s="2001">
        <v>1</v>
      </c>
      <c r="I52" s="2001">
        <v>1</v>
      </c>
      <c r="J52" s="2001"/>
      <c r="K52" s="2001" t="e">
        <f t="shared" si="14"/>
        <v>#REF!</v>
      </c>
      <c r="L52" s="2001" t="e">
        <f t="shared" si="13"/>
        <v>#REF!</v>
      </c>
      <c r="M52" s="3177"/>
      <c r="N52" s="1990" t="e">
        <f t="shared" si="1"/>
        <v>#REF!</v>
      </c>
      <c r="O52" s="2004" t="e">
        <f t="shared" si="2"/>
        <v>#REF!</v>
      </c>
    </row>
    <row r="53" spans="1:18">
      <c r="A53" s="3164"/>
      <c r="B53" s="1998" t="s">
        <v>1031</v>
      </c>
      <c r="C53" s="2003"/>
      <c r="D53" s="1987" t="s">
        <v>935</v>
      </c>
      <c r="E53" s="3172"/>
      <c r="F53" s="3175"/>
      <c r="G53" s="2000">
        <v>124.53</v>
      </c>
      <c r="H53" s="2001">
        <v>1</v>
      </c>
      <c r="I53" s="2001">
        <v>1</v>
      </c>
      <c r="J53" s="2001"/>
      <c r="K53" s="2001" t="e">
        <f t="shared" si="14"/>
        <v>#REF!</v>
      </c>
      <c r="L53" s="2001" t="e">
        <f t="shared" si="13"/>
        <v>#REF!</v>
      </c>
      <c r="M53" s="3178"/>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76" t="str">
        <f>项目基本情况!B1</f>
        <v>北京市房地产市场价值预评估</v>
      </c>
      <c r="C37" s="2976"/>
      <c r="D37" s="2976"/>
      <c r="E37" s="2976"/>
      <c r="F37" s="2976"/>
      <c r="G37" s="2976"/>
      <c r="H37" s="2976"/>
      <c r="I37" s="2976"/>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184" t="s">
        <v>587</v>
      </c>
      <c r="B1" s="3184"/>
      <c r="C1" s="3184"/>
      <c r="D1" s="3184"/>
      <c r="E1" s="3184"/>
      <c r="F1" s="3184"/>
      <c r="G1" s="3184"/>
      <c r="H1" s="3184"/>
      <c r="I1" s="3184"/>
      <c r="K1" s="3205" t="s">
        <v>1034</v>
      </c>
      <c r="L1" s="557" t="s">
        <v>1035</v>
      </c>
      <c r="M1" s="558">
        <v>0</v>
      </c>
      <c r="N1" s="310"/>
      <c r="O1" s="310"/>
    </row>
    <row r="2" spans="1:16" ht="15.75" customHeight="1">
      <c r="A2" s="525" t="s">
        <v>1036</v>
      </c>
      <c r="B2" s="526" t="s">
        <v>918</v>
      </c>
      <c r="C2" s="3185" t="s">
        <v>1037</v>
      </c>
      <c r="D2" s="3186"/>
      <c r="E2" s="3186"/>
      <c r="F2" s="3187"/>
      <c r="G2" s="529" t="s">
        <v>1038</v>
      </c>
      <c r="H2" s="3188" t="s">
        <v>1039</v>
      </c>
      <c r="I2" s="3188"/>
      <c r="K2" s="3205"/>
      <c r="L2" s="557" t="s">
        <v>1040</v>
      </c>
      <c r="M2" s="559" t="s">
        <v>1041</v>
      </c>
      <c r="N2" s="560">
        <v>2011</v>
      </c>
      <c r="O2" s="560"/>
    </row>
    <row r="3" spans="1:16">
      <c r="A3" s="529" t="s">
        <v>1042</v>
      </c>
      <c r="B3" s="530" t="s">
        <v>322</v>
      </c>
      <c r="C3" s="3185">
        <f>'比较法-商业铂郡'!B3*面积表!G2</f>
        <v>6204741.8800000008</v>
      </c>
      <c r="D3" s="3186"/>
      <c r="E3" s="3186"/>
      <c r="F3" s="3187"/>
      <c r="G3" s="529" t="s">
        <v>1043</v>
      </c>
      <c r="H3" s="530" t="s">
        <v>1044</v>
      </c>
      <c r="I3" s="1978">
        <f>'数据-取费表'!K8</f>
        <v>0</v>
      </c>
      <c r="K3" s="3205"/>
      <c r="L3" s="557" t="s">
        <v>1045</v>
      </c>
      <c r="M3" s="559" t="s">
        <v>1046</v>
      </c>
      <c r="N3" s="560"/>
      <c r="O3" s="560"/>
    </row>
    <row r="4" spans="1:16">
      <c r="A4" s="3188" t="s">
        <v>1047</v>
      </c>
      <c r="B4" s="3201" t="s">
        <v>1048</v>
      </c>
      <c r="C4" s="3213">
        <f>ROUND(C3*(I4-I6)/(1-((1+I6)/(1+I4))^I5),0)</f>
        <v>130419</v>
      </c>
      <c r="D4" s="3214"/>
      <c r="E4" s="3214"/>
      <c r="F4" s="3215"/>
      <c r="G4" s="3188" t="s">
        <v>1049</v>
      </c>
      <c r="H4" s="531" t="s">
        <v>1050</v>
      </c>
      <c r="I4" s="532">
        <f>'数据-取费表'!J8</f>
        <v>0</v>
      </c>
      <c r="K4" s="3205"/>
      <c r="L4" s="557" t="s">
        <v>1051</v>
      </c>
      <c r="M4" s="562">
        <f>ROUND(1-(1-M1)*M2/M3,2)</f>
        <v>0.83</v>
      </c>
      <c r="N4" s="560"/>
      <c r="O4" s="560"/>
    </row>
    <row r="5" spans="1:16" s="522" customFormat="1" ht="18" customHeight="1">
      <c r="A5" s="3188"/>
      <c r="B5" s="3201"/>
      <c r="C5" s="3216"/>
      <c r="D5" s="3217"/>
      <c r="E5" s="3217"/>
      <c r="F5" s="3218"/>
      <c r="G5" s="3188"/>
      <c r="H5" s="530" t="s">
        <v>1052</v>
      </c>
      <c r="I5" s="563">
        <f>'数据-取费表'!F8</f>
        <v>30</v>
      </c>
      <c r="J5" s="564"/>
      <c r="K5" s="3205"/>
      <c r="L5" s="557" t="s">
        <v>1053</v>
      </c>
      <c r="M5" s="565">
        <v>0.5</v>
      </c>
      <c r="N5" s="560"/>
      <c r="O5" s="560"/>
    </row>
    <row r="6" spans="1:16" s="522" customFormat="1" ht="18" customHeight="1">
      <c r="A6" s="3188"/>
      <c r="B6" s="3201"/>
      <c r="C6" s="3219"/>
      <c r="D6" s="3220"/>
      <c r="E6" s="3220"/>
      <c r="F6" s="3221"/>
      <c r="G6" s="3188"/>
      <c r="H6" s="530" t="s">
        <v>1054</v>
      </c>
      <c r="I6" s="532">
        <f>'数据-取费表'!V8</f>
        <v>0.03</v>
      </c>
      <c r="J6" s="566"/>
      <c r="K6" s="3206" t="s">
        <v>1055</v>
      </c>
      <c r="L6" s="567" t="s">
        <v>691</v>
      </c>
      <c r="M6" s="568" t="s">
        <v>1056</v>
      </c>
      <c r="N6" s="568" t="s">
        <v>1057</v>
      </c>
      <c r="O6" s="568" t="s">
        <v>1058</v>
      </c>
      <c r="P6" s="568" t="s">
        <v>1053</v>
      </c>
    </row>
    <row r="7" spans="1:16" s="522" customFormat="1" ht="18" customHeight="1">
      <c r="A7" s="529" t="s">
        <v>1059</v>
      </c>
      <c r="B7" s="530" t="s">
        <v>1060</v>
      </c>
      <c r="C7" s="3185">
        <f ca="1">ROUND(C23*I7,0)</f>
        <v>0</v>
      </c>
      <c r="D7" s="3186"/>
      <c r="E7" s="3186"/>
      <c r="F7" s="3187"/>
      <c r="G7" s="529" t="s">
        <v>1061</v>
      </c>
      <c r="H7" s="530" t="s">
        <v>1062</v>
      </c>
      <c r="I7" s="569">
        <f>'数据-取费表'!N8</f>
        <v>0</v>
      </c>
      <c r="K7" s="3206"/>
      <c r="L7" s="567" t="s">
        <v>1063</v>
      </c>
      <c r="M7" s="568">
        <v>100</v>
      </c>
      <c r="N7" s="568" t="s">
        <v>1064</v>
      </c>
      <c r="O7" s="568">
        <v>90</v>
      </c>
      <c r="P7" s="570">
        <v>0.3</v>
      </c>
    </row>
    <row r="8" spans="1:16" s="522" customFormat="1" ht="18" customHeight="1">
      <c r="A8" s="525" t="s">
        <v>1065</v>
      </c>
      <c r="B8" s="530" t="s">
        <v>1066</v>
      </c>
      <c r="C8" s="3185">
        <f>ROUND(I8*I3,0)</f>
        <v>0</v>
      </c>
      <c r="D8" s="3186"/>
      <c r="E8" s="3186"/>
      <c r="F8" s="3187"/>
      <c r="G8" s="529" t="s">
        <v>1067</v>
      </c>
      <c r="H8" s="530" t="s">
        <v>1068</v>
      </c>
      <c r="I8" s="529">
        <f>'数据-取费表'!L8</f>
        <v>0</v>
      </c>
      <c r="J8" s="571">
        <f>D35</f>
        <v>9.8000000000000007</v>
      </c>
      <c r="K8" s="3206"/>
      <c r="L8" s="567" t="s">
        <v>1069</v>
      </c>
      <c r="M8" s="568">
        <v>100</v>
      </c>
      <c r="N8" s="568" t="s">
        <v>1064</v>
      </c>
      <c r="O8" s="568">
        <v>90</v>
      </c>
      <c r="P8" s="570">
        <v>0.5</v>
      </c>
    </row>
    <row r="9" spans="1:16" s="522" customFormat="1" ht="18" customHeight="1">
      <c r="A9" s="525" t="s">
        <v>1070</v>
      </c>
      <c r="B9" s="530" t="s">
        <v>1071</v>
      </c>
      <c r="C9" s="3185">
        <f>ROUND(C8*H9,0)</f>
        <v>0</v>
      </c>
      <c r="D9" s="3186"/>
      <c r="E9" s="3186"/>
      <c r="F9" s="3187"/>
      <c r="G9" s="529" t="s">
        <v>1072</v>
      </c>
      <c r="H9" s="3189">
        <f>'数据-取费表'!B33</f>
        <v>0.04</v>
      </c>
      <c r="I9" s="3189"/>
      <c r="J9" s="571" t="e">
        <f ca="1">D36</f>
        <v>#DIV/0!</v>
      </c>
      <c r="K9" s="3206"/>
      <c r="L9" s="567" t="s">
        <v>1073</v>
      </c>
      <c r="M9" s="568">
        <v>100</v>
      </c>
      <c r="N9" s="568" t="s">
        <v>1064</v>
      </c>
      <c r="O9" s="568">
        <v>90</v>
      </c>
      <c r="P9" s="570">
        <f>1-P7-P8</f>
        <v>0.19999999999999996</v>
      </c>
    </row>
    <row r="10" spans="1:16" s="522" customFormat="1" ht="18" customHeight="1">
      <c r="A10" s="525" t="s">
        <v>1074</v>
      </c>
      <c r="B10" s="530" t="s">
        <v>1075</v>
      </c>
      <c r="C10" s="3185">
        <f>ROUND(C8*H10,0)</f>
        <v>0</v>
      </c>
      <c r="D10" s="3186"/>
      <c r="E10" s="3186"/>
      <c r="F10" s="3187"/>
      <c r="G10" s="529" t="s">
        <v>1072</v>
      </c>
      <c r="H10" s="3189">
        <f>'数据-取费表'!B34</f>
        <v>0</v>
      </c>
      <c r="I10" s="3189"/>
      <c r="J10" s="571" t="e">
        <f ca="1">D37</f>
        <v>#DIV/0!</v>
      </c>
      <c r="K10" s="3206"/>
      <c r="L10" s="572" t="s">
        <v>1053</v>
      </c>
      <c r="M10" s="573">
        <f>1-M5</f>
        <v>0.5</v>
      </c>
      <c r="N10" s="568" t="s">
        <v>1051</v>
      </c>
      <c r="O10" s="574">
        <f>ROUND((O7*P7+O8*P8+O9*P9)/100,2)</f>
        <v>0.9</v>
      </c>
      <c r="P10" s="575"/>
    </row>
    <row r="11" spans="1:16" s="522" customFormat="1" ht="29.25" customHeight="1">
      <c r="A11" s="525" t="s">
        <v>1076</v>
      </c>
      <c r="B11" s="530" t="s">
        <v>1077</v>
      </c>
      <c r="C11" s="3185">
        <f>ROUND(I11*I3,0)</f>
        <v>0</v>
      </c>
      <c r="D11" s="3186"/>
      <c r="E11" s="3186"/>
      <c r="F11" s="3187"/>
      <c r="G11" s="529" t="s">
        <v>1078</v>
      </c>
      <c r="H11" s="530" t="s">
        <v>1079</v>
      </c>
      <c r="I11" s="529">
        <f>'数据-取费表'!B28</f>
        <v>200</v>
      </c>
      <c r="J11" s="564"/>
      <c r="K11"/>
      <c r="L11"/>
    </row>
    <row r="12" spans="1:16" s="522" customFormat="1" ht="18" customHeight="1">
      <c r="A12" s="525" t="s">
        <v>1080</v>
      </c>
      <c r="B12" s="530" t="s">
        <v>1081</v>
      </c>
      <c r="C12" s="3185">
        <f>ROUND(C8*H12,0)</f>
        <v>0</v>
      </c>
      <c r="D12" s="3186"/>
      <c r="E12" s="3186"/>
      <c r="F12" s="3187"/>
      <c r="G12" s="529" t="s">
        <v>1072</v>
      </c>
      <c r="H12" s="3189">
        <f>'数据-取费表'!B36</f>
        <v>1.4999999999999999E-2</v>
      </c>
      <c r="I12" s="3189"/>
      <c r="J12" s="576" t="s">
        <v>1082</v>
      </c>
      <c r="L12" s="577"/>
    </row>
    <row r="13" spans="1:16" s="522" customFormat="1" ht="18" customHeight="1">
      <c r="A13" s="525" t="s">
        <v>1083</v>
      </c>
      <c r="B13" s="530" t="s">
        <v>1084</v>
      </c>
      <c r="C13" s="3185">
        <f>SUM(C8:F12)</f>
        <v>0</v>
      </c>
      <c r="D13" s="3186"/>
      <c r="E13" s="3186"/>
      <c r="F13" s="3187"/>
      <c r="G13" s="3188" t="s">
        <v>1085</v>
      </c>
      <c r="H13" s="3188"/>
      <c r="I13" s="3188"/>
      <c r="J13" s="576" t="s">
        <v>1086</v>
      </c>
      <c r="L13" s="577"/>
    </row>
    <row r="14" spans="1:16" s="522" customFormat="1" ht="18" customHeight="1">
      <c r="A14" s="525" t="s">
        <v>988</v>
      </c>
      <c r="B14" s="530" t="s">
        <v>1087</v>
      </c>
      <c r="C14" s="3185">
        <f>ROUND(C13*H14,0)</f>
        <v>0</v>
      </c>
      <c r="D14" s="3186"/>
      <c r="E14" s="3186"/>
      <c r="F14" s="3187"/>
      <c r="G14" s="529" t="s">
        <v>1088</v>
      </c>
      <c r="H14" s="3189">
        <f>'数据-取费表'!B37</f>
        <v>0.02</v>
      </c>
      <c r="I14" s="3189"/>
      <c r="J14" s="564"/>
      <c r="L14" s="577"/>
    </row>
    <row r="15" spans="1:16" s="522" customFormat="1" ht="18" customHeight="1">
      <c r="A15" s="525" t="s">
        <v>1089</v>
      </c>
      <c r="B15" s="530" t="s">
        <v>1090</v>
      </c>
      <c r="C15" s="3190">
        <f>H15</f>
        <v>0.02</v>
      </c>
      <c r="D15" s="3191"/>
      <c r="E15" s="3192" t="str">
        <f>E18</f>
        <v>V</v>
      </c>
      <c r="F15" s="3193"/>
      <c r="G15" s="529" t="s">
        <v>1091</v>
      </c>
      <c r="H15" s="3189">
        <f>'数据-取费表'!B38</f>
        <v>0.02</v>
      </c>
      <c r="I15" s="3189"/>
      <c r="J15" s="578"/>
      <c r="K15" s="579"/>
    </row>
    <row r="16" spans="1:16" s="522" customFormat="1" ht="18" customHeight="1">
      <c r="A16" s="535" t="s">
        <v>1092</v>
      </c>
      <c r="B16" s="536" t="s">
        <v>1093</v>
      </c>
      <c r="C16" s="527">
        <f ca="1">C17</f>
        <v>0</v>
      </c>
      <c r="D16" s="528" t="s">
        <v>1094</v>
      </c>
      <c r="E16" s="537">
        <f ca="1">C18</f>
        <v>9.5E-4</v>
      </c>
      <c r="F16" s="534" t="str">
        <f>E18</f>
        <v>V</v>
      </c>
      <c r="G16" s="3185" t="s">
        <v>1095</v>
      </c>
      <c r="H16" s="3186"/>
      <c r="I16" s="3187"/>
      <c r="J16" s="564"/>
      <c r="K16"/>
    </row>
    <row r="17" spans="1:12" s="522" customFormat="1" ht="18" customHeight="1">
      <c r="A17" s="525" t="s">
        <v>1096</v>
      </c>
      <c r="B17" s="530" t="s">
        <v>1097</v>
      </c>
      <c r="C17" s="3185">
        <f ca="1">ROUND((C13+C14)*I18*(I17/2),0)</f>
        <v>0</v>
      </c>
      <c r="D17" s="3186"/>
      <c r="E17" s="3186"/>
      <c r="F17" s="3187"/>
      <c r="G17" s="527" t="s">
        <v>1098</v>
      </c>
      <c r="H17" s="530" t="s">
        <v>1099</v>
      </c>
      <c r="I17" s="529">
        <f>'数据-取费表'!B20</f>
        <v>2</v>
      </c>
      <c r="J17" s="576" t="s">
        <v>1100</v>
      </c>
      <c r="K17"/>
      <c r="L17"/>
    </row>
    <row r="18" spans="1:12" s="522" customFormat="1" ht="18" customHeight="1">
      <c r="A18" s="525" t="s">
        <v>1101</v>
      </c>
      <c r="B18" s="530" t="s">
        <v>1102</v>
      </c>
      <c r="C18" s="3222">
        <f ca="1">H15*I18*I17/2</f>
        <v>9.5E-4</v>
      </c>
      <c r="D18" s="3223"/>
      <c r="E18" s="3192" t="s">
        <v>1103</v>
      </c>
      <c r="F18" s="3193"/>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185" t="s">
        <v>1109</v>
      </c>
      <c r="H19" s="3186"/>
      <c r="I19" s="3187"/>
      <c r="J19" s="564"/>
      <c r="K19"/>
      <c r="L19"/>
    </row>
    <row r="20" spans="1:12" s="522" customFormat="1" ht="26.25" customHeight="1">
      <c r="A20" s="525" t="s">
        <v>1110</v>
      </c>
      <c r="B20" s="530" t="s">
        <v>1111</v>
      </c>
      <c r="C20" s="3185">
        <f>ROUND((C13+C14)*I20,0)</f>
        <v>0</v>
      </c>
      <c r="D20" s="3186"/>
      <c r="E20" s="3186"/>
      <c r="F20" s="3187"/>
      <c r="G20" s="529" t="s">
        <v>1112</v>
      </c>
      <c r="H20" s="3202" t="s">
        <v>1113</v>
      </c>
      <c r="I20" s="3204">
        <f>'数据-取费表'!Q8</f>
        <v>0.2</v>
      </c>
      <c r="J20" s="576" t="s">
        <v>1114</v>
      </c>
      <c r="K20"/>
      <c r="L20"/>
    </row>
    <row r="21" spans="1:12" s="522" customFormat="1" ht="27" customHeight="1">
      <c r="A21" s="525" t="s">
        <v>1110</v>
      </c>
      <c r="B21" s="530" t="s">
        <v>1115</v>
      </c>
      <c r="C21" s="3190">
        <f>H15*I20</f>
        <v>4.0000000000000001E-3</v>
      </c>
      <c r="D21" s="3191"/>
      <c r="E21" s="3192" t="s">
        <v>1103</v>
      </c>
      <c r="F21" s="3193"/>
      <c r="G21" s="529" t="s">
        <v>1116</v>
      </c>
      <c r="H21" s="3203"/>
      <c r="I21" s="3204"/>
      <c r="J21" s="564"/>
      <c r="K21"/>
      <c r="L21"/>
    </row>
    <row r="22" spans="1:12"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2" s="522" customFormat="1" ht="18" customHeight="1">
      <c r="A23" s="525" t="s">
        <v>1120</v>
      </c>
      <c r="B23" s="530" t="s">
        <v>1121</v>
      </c>
      <c r="C23" s="3185">
        <f ca="1">ROUND((C13+C14+C17+C20)/(1-H15-C18-C21-C22),0)</f>
        <v>0</v>
      </c>
      <c r="D23" s="3186"/>
      <c r="E23" s="3186"/>
      <c r="F23" s="3187"/>
      <c r="G23" s="3185" t="s">
        <v>1122</v>
      </c>
      <c r="H23" s="3186"/>
      <c r="I23" s="3187"/>
      <c r="J23" s="583"/>
      <c r="K23"/>
      <c r="L23"/>
    </row>
    <row r="24" spans="1:12" s="522" customFormat="1" ht="18" customHeight="1">
      <c r="A24" s="525" t="s">
        <v>1123</v>
      </c>
      <c r="B24" s="530" t="s">
        <v>1124</v>
      </c>
      <c r="C24" s="533">
        <f ca="1">C26+C27</f>
        <v>0</v>
      </c>
      <c r="D24" s="538" t="s">
        <v>1125</v>
      </c>
      <c r="E24" s="3198">
        <f>H25+H28</f>
        <v>0.12</v>
      </c>
      <c r="F24" s="3199"/>
      <c r="G24" s="3188" t="s">
        <v>1126</v>
      </c>
      <c r="H24" s="3188"/>
      <c r="I24" s="3188"/>
      <c r="J24" s="583"/>
      <c r="K24"/>
      <c r="L24"/>
    </row>
    <row r="25" spans="1:12" s="522" customFormat="1" ht="18" customHeight="1">
      <c r="A25" s="525" t="s">
        <v>1083</v>
      </c>
      <c r="B25" s="530" t="s">
        <v>1127</v>
      </c>
      <c r="C25" s="3190" t="s">
        <v>1128</v>
      </c>
      <c r="D25" s="3191"/>
      <c r="E25" s="3198">
        <f>H25</f>
        <v>0.12</v>
      </c>
      <c r="F25" s="3199"/>
      <c r="G25" s="529" t="s">
        <v>1129</v>
      </c>
      <c r="H25" s="3200">
        <v>0.12</v>
      </c>
      <c r="I25" s="3200"/>
      <c r="J25" s="578"/>
      <c r="K25"/>
      <c r="L25"/>
    </row>
    <row r="26" spans="1:12" s="522" customFormat="1" ht="18" customHeight="1">
      <c r="A26" s="525" t="s">
        <v>988</v>
      </c>
      <c r="B26" s="530" t="s">
        <v>1130</v>
      </c>
      <c r="C26" s="3185">
        <f ca="1">ROUND(C23*H26,0)</f>
        <v>0</v>
      </c>
      <c r="D26" s="3186"/>
      <c r="E26" s="3186"/>
      <c r="F26" s="3187"/>
      <c r="G26" s="529" t="s">
        <v>1131</v>
      </c>
      <c r="H26" s="3200">
        <f>'数据-取费表'!AK8</f>
        <v>0</v>
      </c>
      <c r="I26" s="3200"/>
      <c r="J26" s="578"/>
      <c r="K26"/>
      <c r="L26"/>
    </row>
    <row r="27" spans="1:12" s="522" customFormat="1" ht="18" customHeight="1">
      <c r="A27" s="525" t="s">
        <v>1089</v>
      </c>
      <c r="B27" s="530" t="s">
        <v>1132</v>
      </c>
      <c r="C27" s="3185">
        <f ca="1">ROUND(C7*H27,0)</f>
        <v>0</v>
      </c>
      <c r="D27" s="3186"/>
      <c r="E27" s="3186"/>
      <c r="F27" s="3187"/>
      <c r="G27" s="529" t="s">
        <v>1133</v>
      </c>
      <c r="H27" s="3197">
        <f>'数据-取费表'!AL8</f>
        <v>0</v>
      </c>
      <c r="I27" s="3197"/>
      <c r="J27" s="564"/>
      <c r="K27"/>
      <c r="L27"/>
    </row>
    <row r="28" spans="1:12" s="522" customFormat="1" ht="18" customHeight="1">
      <c r="A28" s="525" t="s">
        <v>1092</v>
      </c>
      <c r="B28" s="530" t="s">
        <v>1087</v>
      </c>
      <c r="C28" s="3190" t="s">
        <v>1128</v>
      </c>
      <c r="D28" s="3191"/>
      <c r="E28" s="3198">
        <f>H28</f>
        <v>0</v>
      </c>
      <c r="F28" s="3199"/>
      <c r="G28" s="529" t="s">
        <v>1134</v>
      </c>
      <c r="H28" s="3200">
        <f>'数据-取费表'!AM8</f>
        <v>0</v>
      </c>
      <c r="I28" s="3200"/>
      <c r="J28" s="584"/>
      <c r="K28"/>
      <c r="L28"/>
    </row>
    <row r="29" spans="1:12" s="522" customFormat="1" ht="18" customHeight="1">
      <c r="A29" s="529" t="s">
        <v>1135</v>
      </c>
      <c r="B29" s="530" t="s">
        <v>1136</v>
      </c>
      <c r="C29" s="3185">
        <f ca="1">ROUND((C4+C24)/(1-E24),0)</f>
        <v>148203</v>
      </c>
      <c r="D29" s="3186"/>
      <c r="E29" s="3186"/>
      <c r="F29" s="3187"/>
      <c r="G29" s="3188" t="s">
        <v>1137</v>
      </c>
      <c r="H29" s="3188"/>
      <c r="I29" s="3188"/>
      <c r="J29" s="585" t="s">
        <v>1138</v>
      </c>
      <c r="K29"/>
      <c r="L29"/>
    </row>
    <row r="30" spans="1:12" s="522" customFormat="1" ht="21" customHeight="1">
      <c r="A30" s="3188" t="s">
        <v>1139</v>
      </c>
      <c r="B30" s="3201" t="s">
        <v>1140</v>
      </c>
      <c r="C30" s="3207" t="e">
        <f ca="1">ROUND(C29/I30/I31/I3,2)</f>
        <v>#DIV/0!</v>
      </c>
      <c r="D30" s="3208"/>
      <c r="E30" s="3208"/>
      <c r="F30" s="3209"/>
      <c r="G30" s="3188" t="s">
        <v>1141</v>
      </c>
      <c r="H30" s="530" t="s">
        <v>1142</v>
      </c>
      <c r="I30" s="529">
        <v>365</v>
      </c>
      <c r="J30" s="586"/>
      <c r="K30"/>
      <c r="L30"/>
    </row>
    <row r="31" spans="1:12" s="522" customFormat="1" ht="18" customHeight="1">
      <c r="A31" s="3188"/>
      <c r="B31" s="3201"/>
      <c r="C31" s="3210"/>
      <c r="D31" s="3211"/>
      <c r="E31" s="3211"/>
      <c r="F31" s="3212"/>
      <c r="G31" s="3188"/>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94" t="s">
        <v>1144</v>
      </c>
      <c r="C33" s="3194"/>
      <c r="D33" s="3194"/>
      <c r="E33" s="3194"/>
      <c r="F33" s="3194"/>
      <c r="G33" s="540"/>
      <c r="H33" s="541"/>
      <c r="I33" s="513"/>
      <c r="J33" s="564"/>
      <c r="K33"/>
      <c r="L33"/>
      <c r="M33" s="513"/>
    </row>
    <row r="34" spans="1:13" s="522" customFormat="1" ht="18" customHeight="1">
      <c r="A34" s="513"/>
      <c r="B34" s="542" t="s">
        <v>1145</v>
      </c>
      <c r="C34" s="542" t="s">
        <v>1053</v>
      </c>
      <c r="D34" s="3195" t="s">
        <v>1146</v>
      </c>
      <c r="E34" s="3195"/>
      <c r="F34" s="3195"/>
      <c r="G34" s="540"/>
      <c r="H34" s="541"/>
      <c r="I34" s="513"/>
      <c r="J34" s="583"/>
      <c r="K34" s="513"/>
      <c r="L34" s="513"/>
      <c r="M34" s="513"/>
    </row>
    <row r="35" spans="1:13">
      <c r="B35" s="542" t="s">
        <v>1147</v>
      </c>
      <c r="C35" s="544">
        <v>0.7</v>
      </c>
      <c r="D35" s="3196">
        <f>'比较法-商业铂郡租金'!C48</f>
        <v>9.8000000000000007</v>
      </c>
      <c r="E35" s="3196"/>
      <c r="F35" s="3196"/>
      <c r="G35" s="540" t="e">
        <f ca="1">(D35-D36)/D36</f>
        <v>#DIV/0!</v>
      </c>
      <c r="H35" s="541"/>
      <c r="K35" s="513"/>
      <c r="L35" s="513"/>
    </row>
    <row r="36" spans="1:13" ht="20.100000000000001" customHeight="1">
      <c r="B36" s="542" t="s">
        <v>587</v>
      </c>
      <c r="C36" s="544">
        <f>1-C35</f>
        <v>0.30000000000000004</v>
      </c>
      <c r="D36" s="3196" t="e">
        <f ca="1">C30</f>
        <v>#DIV/0!</v>
      </c>
      <c r="E36" s="3196"/>
      <c r="F36" s="3196"/>
      <c r="G36" s="540"/>
      <c r="H36" s="541"/>
      <c r="J36" s="513"/>
      <c r="K36" s="513"/>
      <c r="L36" s="513"/>
    </row>
    <row r="37" spans="1:13" ht="22.5" customHeight="1">
      <c r="B37" s="3195" t="s">
        <v>1148</v>
      </c>
      <c r="C37" s="3195"/>
      <c r="D37" s="3196" t="e">
        <f ca="1">ROUND(C35*D35+C36*D36,2)</f>
        <v>#DIV/0!</v>
      </c>
      <c r="E37" s="3196"/>
      <c r="F37" s="3196"/>
      <c r="G37" s="540" t="e">
        <f ca="1">ROUND(D37*I3/10000,2)</f>
        <v>#DIV/0!</v>
      </c>
      <c r="H37" s="541"/>
      <c r="J37" s="513"/>
      <c r="K37" s="513"/>
      <c r="L37" s="513"/>
    </row>
    <row r="38" spans="1:13" ht="22.5" customHeight="1">
      <c r="B38" s="542" t="s">
        <v>1149</v>
      </c>
      <c r="C38" s="542" t="e">
        <f ca="1">ROUND(D37*0.9,2)</f>
        <v>#DIV/0!</v>
      </c>
      <c r="D38" s="545" t="s">
        <v>1150</v>
      </c>
      <c r="E38" s="3196" t="e">
        <f ca="1">ROUND(D37*1.1,2)</f>
        <v>#DIV/0!</v>
      </c>
      <c r="F38" s="3196"/>
      <c r="G38" s="540" t="s">
        <v>1151</v>
      </c>
      <c r="H38" s="546">
        <v>12</v>
      </c>
      <c r="J38" s="513"/>
      <c r="K38" s="513"/>
      <c r="L38" s="513"/>
    </row>
    <row r="39" spans="1:13" ht="18" customHeight="1">
      <c r="B39" s="542" t="s">
        <v>1152</v>
      </c>
      <c r="C39" s="542" t="e">
        <f ca="1">ROUND(C38+H39,2)</f>
        <v>#DIV/0!</v>
      </c>
      <c r="D39" s="545" t="s">
        <v>1150</v>
      </c>
      <c r="E39" s="3196" t="e">
        <f ca="1">ROUND(E38+H39,2)</f>
        <v>#DIV/0!</v>
      </c>
      <c r="F39" s="3196"/>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7755</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1173</v>
      </c>
      <c r="D5" s="3229"/>
      <c r="E5" s="3230" t="s">
        <v>1174</v>
      </c>
      <c r="F5" s="3231"/>
      <c r="G5" s="3228" t="s">
        <v>1174</v>
      </c>
      <c r="H5" s="3229"/>
      <c r="I5" s="3228" t="s">
        <v>932</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42" t="s">
        <v>1193</v>
      </c>
      <c r="Q15" s="983" t="str">
        <f t="shared" si="6"/>
        <v>商业繁华度</v>
      </c>
      <c r="R15" s="1402" t="s">
        <v>1179</v>
      </c>
      <c r="S15" s="1403">
        <f t="shared" si="0"/>
        <v>103</v>
      </c>
      <c r="T15" s="1402" t="s">
        <v>1179</v>
      </c>
      <c r="U15" s="1403">
        <f t="shared" si="1"/>
        <v>103</v>
      </c>
      <c r="V15" s="1402" t="s">
        <v>1179</v>
      </c>
      <c r="W15" s="1403">
        <f t="shared" si="2"/>
        <v>103</v>
      </c>
      <c r="X15" s="1397"/>
      <c r="Y15" s="3247"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3"/>
      <c r="Q27" s="1135" t="str">
        <f t="shared" si="11"/>
        <v>人流量</v>
      </c>
      <c r="R27" s="1398" t="s">
        <v>1179</v>
      </c>
      <c r="S27" s="1399">
        <f>F27</f>
        <v>115</v>
      </c>
      <c r="T27" s="1398" t="s">
        <v>1179</v>
      </c>
      <c r="U27" s="1399">
        <f>H27</f>
        <v>115</v>
      </c>
      <c r="V27" s="1398" t="s">
        <v>1179</v>
      </c>
      <c r="W27" s="1399">
        <f>J27</f>
        <v>115</v>
      </c>
      <c r="X27" s="1400"/>
      <c r="Y27" s="3248"/>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100</v>
      </c>
      <c r="V33" s="1404" t="s">
        <v>1179</v>
      </c>
      <c r="W33" s="1405">
        <f t="shared" si="14"/>
        <v>100</v>
      </c>
      <c r="X33" s="1406"/>
      <c r="Y33" s="3249"/>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45"/>
      <c r="Q42" s="983" t="str">
        <f t="shared" si="11"/>
        <v>内部装修</v>
      </c>
      <c r="R42" s="1402" t="s">
        <v>1179</v>
      </c>
      <c r="S42" s="1403">
        <f t="shared" si="12"/>
        <v>100</v>
      </c>
      <c r="T42" s="1402" t="s">
        <v>1179</v>
      </c>
      <c r="U42" s="1403">
        <f t="shared" si="13"/>
        <v>100</v>
      </c>
      <c r="V42" s="1402" t="s">
        <v>1179</v>
      </c>
      <c r="W42" s="1403">
        <f t="shared" si="14"/>
        <v>100</v>
      </c>
      <c r="X42" s="1397"/>
      <c r="Y42" s="3249"/>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39" t="str">
        <f>A47</f>
        <v>成交单价（元/平方米）</v>
      </c>
      <c r="Q47" s="3239"/>
      <c r="R47" s="3240">
        <f>E47</f>
        <v>50000</v>
      </c>
      <c r="S47" s="3240"/>
      <c r="T47" s="3240">
        <f>G47</f>
        <v>50000</v>
      </c>
      <c r="U47" s="3240"/>
      <c r="V47" s="3240">
        <f>I47</f>
        <v>50000</v>
      </c>
      <c r="W47" s="3240"/>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39" t="str">
        <f>A48</f>
        <v>比较价值（元/平方米）</v>
      </c>
      <c r="Q48" s="3239"/>
      <c r="R48" s="3240">
        <f>IF(F1="售价",ROUND(PRODUCT(R47,AA7:AA46),0),ROUND(PRODUCT(R47,AA7:AA46),1))</f>
        <v>42212</v>
      </c>
      <c r="S48" s="3240"/>
      <c r="T48" s="3240">
        <f>IF(F1="售价",ROUND(PRODUCT(T47,AB7:AB46),0),ROUND(PRODUCT(T47,AB7:AB46),1))</f>
        <v>42212</v>
      </c>
      <c r="U48" s="3240"/>
      <c r="V48" s="3240">
        <f>IF(F1="售价",ROUND(PRODUCT(V47,AC7:AC46),0),ROUND(PRODUCT(V47,AC7:AC46),1))</f>
        <v>42212</v>
      </c>
      <c r="W48" s="3240"/>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IF(F1="售价",ROUND(IF(D48="简单平均",AVERAGE(R48:V48),R48*F48+T48*H48+V48*J48),0),ROUND(IF(D48="简单平均",AVERAGE(R48:V48),R48*F48+T48*H48+V48*J48),1))</f>
        <v>42212</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cfRule type="containsText" dxfId="160" priority="17" stopIfTrue="1" operator="containsText" text="超过">
      <formula>NOT(ISERROR(SEARCH("超过",F52)))</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G54">
    <cfRule type="expression" dxfId="157" priority="13"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conditionalFormatting sqref="J52:J54">
    <cfRule type="containsText" dxfId="151"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2</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932</v>
      </c>
      <c r="D5" s="3229"/>
      <c r="E5" s="3230" t="s">
        <v>1265</v>
      </c>
      <c r="F5" s="3231"/>
      <c r="G5" s="3228" t="s">
        <v>1265</v>
      </c>
      <c r="H5" s="3229"/>
      <c r="I5" s="3228" t="s">
        <v>1265</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42" t="s">
        <v>1193</v>
      </c>
      <c r="Q15" s="983" t="str">
        <f t="shared" si="6"/>
        <v>商业繁华度</v>
      </c>
      <c r="R15" s="1402" t="s">
        <v>1179</v>
      </c>
      <c r="S15" s="1403">
        <f t="shared" si="0"/>
        <v>100</v>
      </c>
      <c r="T15" s="1402" t="s">
        <v>1179</v>
      </c>
      <c r="U15" s="1403">
        <f t="shared" si="1"/>
        <v>100</v>
      </c>
      <c r="V15" s="1402" t="s">
        <v>1179</v>
      </c>
      <c r="W15" s="1403">
        <f t="shared" si="2"/>
        <v>100</v>
      </c>
      <c r="X15" s="1397"/>
      <c r="Y15" s="3247"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3"/>
      <c r="Q27" s="1135" t="str">
        <f t="shared" si="11"/>
        <v>人流量</v>
      </c>
      <c r="R27" s="1398" t="s">
        <v>1179</v>
      </c>
      <c r="S27" s="1399">
        <f>F27</f>
        <v>115</v>
      </c>
      <c r="T27" s="1398" t="s">
        <v>1179</v>
      </c>
      <c r="U27" s="1399">
        <f>H27</f>
        <v>115</v>
      </c>
      <c r="V27" s="1398" t="s">
        <v>1179</v>
      </c>
      <c r="W27" s="1399">
        <f>J27</f>
        <v>115</v>
      </c>
      <c r="X27" s="1400"/>
      <c r="Y27" s="3248"/>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96</v>
      </c>
      <c r="V33" s="1404" t="s">
        <v>1179</v>
      </c>
      <c r="W33" s="1405">
        <f t="shared" si="14"/>
        <v>100</v>
      </c>
      <c r="X33" s="1406"/>
      <c r="Y33" s="3249"/>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45"/>
      <c r="Q42" s="983" t="str">
        <f t="shared" si="11"/>
        <v>内部装修</v>
      </c>
      <c r="R42" s="1402" t="s">
        <v>1179</v>
      </c>
      <c r="S42" s="1403">
        <f t="shared" si="12"/>
        <v>98</v>
      </c>
      <c r="T42" s="1402" t="s">
        <v>1179</v>
      </c>
      <c r="U42" s="1403">
        <f t="shared" si="13"/>
        <v>100</v>
      </c>
      <c r="V42" s="1402" t="s">
        <v>1179</v>
      </c>
      <c r="W42" s="1403">
        <f t="shared" si="14"/>
        <v>100</v>
      </c>
      <c r="X42" s="1397"/>
      <c r="Y42" s="3249"/>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0</v>
      </c>
      <c r="R44" s="1398" t="s">
        <v>1179</v>
      </c>
      <c r="S44" s="1399">
        <f t="shared" si="12"/>
        <v>100</v>
      </c>
      <c r="T44" s="1398" t="s">
        <v>1179</v>
      </c>
      <c r="U44" s="1399">
        <f t="shared" si="13"/>
        <v>100</v>
      </c>
      <c r="V44" s="1398" t="s">
        <v>1179</v>
      </c>
      <c r="W44" s="1399">
        <f t="shared" si="14"/>
        <v>100</v>
      </c>
      <c r="X44" s="1400"/>
      <c r="Y44" s="3249"/>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39" t="str">
        <f>A47</f>
        <v>成交单价（元/平方米）</v>
      </c>
      <c r="Q47" s="3239"/>
      <c r="R47" s="3240">
        <f>E47</f>
        <v>11</v>
      </c>
      <c r="S47" s="3240"/>
      <c r="T47" s="3240">
        <f>G47</f>
        <v>10</v>
      </c>
      <c r="U47" s="3240"/>
      <c r="V47" s="3240">
        <f>I47</f>
        <v>12</v>
      </c>
      <c r="W47" s="3240"/>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39" t="str">
        <f>A48</f>
        <v>比较价值（元/平方米）</v>
      </c>
      <c r="Q48" s="3239"/>
      <c r="R48" s="3240">
        <f>IF(F1="售价",ROUND(PRODUCT(R47,AA7:AA46),0),ROUND(PRODUCT(R47,AA7:AA46),1))</f>
        <v>9.8000000000000007</v>
      </c>
      <c r="S48" s="3240"/>
      <c r="T48" s="3240">
        <f>IF(F1="售价",ROUND(PRODUCT(T47,AB7:AB46),0),ROUND(PRODUCT(T47,AB7:AB46),1))</f>
        <v>9.1</v>
      </c>
      <c r="U48" s="3240"/>
      <c r="V48" s="3240">
        <f>IF(F1="售价",ROUND(PRODUCT(V47,AC7:AC46),0),ROUND(PRODUCT(V47,AC7:AC46),1))</f>
        <v>10.4</v>
      </c>
      <c r="W48" s="3240"/>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IF(F1="售价",ROUND(IF(D48="简单平均",AVERAGE(R48:V48),R48*F48+T48*H48+V48*J48),0),ROUND(IF(D48="简单平均",AVERAGE(R48:V48),R48*F48+T48*H48+V48*J48),1))</f>
        <v>9.8000000000000007</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cfRule type="containsText" dxfId="145" priority="17" stopIfTrue="1" operator="containsText" text="超过">
      <formula>NOT(ISERROR(SEARCH("超过",F52)))</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G54">
    <cfRule type="expression" dxfId="142" priority="13"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conditionalFormatting sqref="J52:J54">
    <cfRule type="containsText" dxfId="136"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184" t="s">
        <v>587</v>
      </c>
      <c r="B1" s="3184"/>
      <c r="C1" s="3184"/>
      <c r="D1" s="3184"/>
      <c r="E1" s="3184"/>
      <c r="F1" s="3184"/>
      <c r="G1" s="3184"/>
      <c r="H1" s="3184"/>
      <c r="I1" s="3184"/>
      <c r="K1" s="3205" t="s">
        <v>1034</v>
      </c>
      <c r="L1" s="557" t="s">
        <v>1035</v>
      </c>
      <c r="M1" s="558">
        <v>0</v>
      </c>
      <c r="N1" s="310"/>
      <c r="O1" s="310"/>
    </row>
    <row r="2" spans="1:17" ht="15.75" customHeight="1">
      <c r="A2" s="525" t="s">
        <v>1036</v>
      </c>
      <c r="B2" s="526" t="s">
        <v>918</v>
      </c>
      <c r="C2" s="3185" t="s">
        <v>1037</v>
      </c>
      <c r="D2" s="3186"/>
      <c r="E2" s="3186"/>
      <c r="F2" s="3187"/>
      <c r="G2" s="529" t="s">
        <v>1038</v>
      </c>
      <c r="H2" s="3188" t="s">
        <v>1039</v>
      </c>
      <c r="I2" s="3188"/>
      <c r="K2" s="3205"/>
      <c r="L2" s="557" t="s">
        <v>1040</v>
      </c>
      <c r="M2" s="1977">
        <f>2022-N2</f>
        <v>12</v>
      </c>
      <c r="N2" s="560">
        <v>2010</v>
      </c>
      <c r="O2" s="560">
        <v>2022</v>
      </c>
      <c r="P2" s="513">
        <f>O2-N2</f>
        <v>12</v>
      </c>
      <c r="Q2" s="513">
        <f>P2+2</f>
        <v>14</v>
      </c>
    </row>
    <row r="3" spans="1:17">
      <c r="A3" s="529" t="s">
        <v>1042</v>
      </c>
      <c r="B3" s="530" t="s">
        <v>322</v>
      </c>
      <c r="C3" s="3185" t="e">
        <f>ROUND(I3*'比较法-商业售价'!C48,0)</f>
        <v>#DIV/0!</v>
      </c>
      <c r="D3" s="3186"/>
      <c r="E3" s="3186"/>
      <c r="F3" s="3187"/>
      <c r="G3" s="529" t="s">
        <v>1043</v>
      </c>
      <c r="H3" s="530" t="s">
        <v>1044</v>
      </c>
      <c r="I3" s="1978">
        <f>'数据-基础表'!I13</f>
        <v>1837.06</v>
      </c>
      <c r="K3" s="3205"/>
      <c r="L3" s="557" t="s">
        <v>1045</v>
      </c>
      <c r="M3" s="559" t="s">
        <v>1046</v>
      </c>
      <c r="N3" s="560"/>
      <c r="O3" s="560"/>
      <c r="Q3" s="513">
        <f>40-Q2</f>
        <v>26</v>
      </c>
    </row>
    <row r="4" spans="1:17">
      <c r="A4" s="3188" t="s">
        <v>1047</v>
      </c>
      <c r="B4" s="3201" t="s">
        <v>1048</v>
      </c>
      <c r="C4" s="3213" t="e">
        <f>ROUND(C3*(I4-I6)/(1-((1+I6)/(1+I4))^I5),0)</f>
        <v>#DIV/0!</v>
      </c>
      <c r="D4" s="3214"/>
      <c r="E4" s="3214"/>
      <c r="F4" s="3215"/>
      <c r="G4" s="3188" t="s">
        <v>1049</v>
      </c>
      <c r="H4" s="531" t="s">
        <v>1050</v>
      </c>
      <c r="I4" s="532">
        <v>0.05</v>
      </c>
      <c r="K4" s="3205"/>
      <c r="L4" s="557" t="s">
        <v>1051</v>
      </c>
      <c r="M4" s="562">
        <f>ROUND(1-(1-M1)*M2/M3,2)</f>
        <v>0.8</v>
      </c>
      <c r="N4" s="560"/>
      <c r="O4" s="560"/>
    </row>
    <row r="5" spans="1:17" s="522" customFormat="1" ht="18" customHeight="1">
      <c r="A5" s="3188"/>
      <c r="B5" s="3201"/>
      <c r="C5" s="3216"/>
      <c r="D5" s="3217"/>
      <c r="E5" s="3217"/>
      <c r="F5" s="3218"/>
      <c r="G5" s="3188"/>
      <c r="H5" s="530" t="s">
        <v>1052</v>
      </c>
      <c r="I5" s="563">
        <v>26</v>
      </c>
      <c r="J5" s="564"/>
      <c r="K5" s="3205"/>
      <c r="L5" s="557" t="s">
        <v>1053</v>
      </c>
      <c r="M5" s="565">
        <v>0.5</v>
      </c>
      <c r="N5" s="560"/>
      <c r="O5" s="560"/>
    </row>
    <row r="6" spans="1:17" s="522" customFormat="1" ht="18" customHeight="1">
      <c r="A6" s="3188"/>
      <c r="B6" s="3201"/>
      <c r="C6" s="3219"/>
      <c r="D6" s="3220"/>
      <c r="E6" s="3220"/>
      <c r="F6" s="3221"/>
      <c r="G6" s="3188"/>
      <c r="H6" s="530" t="s">
        <v>1054</v>
      </c>
      <c r="I6" s="532">
        <v>3.5000000000000003E-2</v>
      </c>
      <c r="J6" s="566"/>
      <c r="K6" s="3206" t="s">
        <v>1055</v>
      </c>
      <c r="L6" s="567" t="s">
        <v>691</v>
      </c>
      <c r="M6" s="568" t="s">
        <v>1056</v>
      </c>
      <c r="N6" s="568" t="s">
        <v>1057</v>
      </c>
      <c r="O6" s="568" t="s">
        <v>1058</v>
      </c>
      <c r="P6" s="568" t="s">
        <v>1053</v>
      </c>
    </row>
    <row r="7" spans="1:17" s="522" customFormat="1" ht="18" customHeight="1">
      <c r="A7" s="529" t="s">
        <v>1059</v>
      </c>
      <c r="B7" s="530" t="s">
        <v>1060</v>
      </c>
      <c r="C7" s="3185">
        <f ca="1">ROUND(C23*I7,0)</f>
        <v>8028821</v>
      </c>
      <c r="D7" s="3186"/>
      <c r="E7" s="3186"/>
      <c r="F7" s="3187"/>
      <c r="G7" s="529" t="s">
        <v>1061</v>
      </c>
      <c r="H7" s="530" t="s">
        <v>1062</v>
      </c>
      <c r="I7" s="569">
        <v>0.8</v>
      </c>
      <c r="K7" s="3206"/>
      <c r="L7" s="567" t="s">
        <v>1063</v>
      </c>
      <c r="M7" s="568">
        <v>100</v>
      </c>
      <c r="N7" s="568" t="s">
        <v>1064</v>
      </c>
      <c r="O7" s="568">
        <v>90</v>
      </c>
      <c r="P7" s="570">
        <v>0.3</v>
      </c>
    </row>
    <row r="8" spans="1:17" s="522" customFormat="1" ht="18" customHeight="1">
      <c r="A8" s="525" t="s">
        <v>1065</v>
      </c>
      <c r="B8" s="530" t="s">
        <v>1066</v>
      </c>
      <c r="C8" s="3185">
        <f>ROUND(I8*I3,0)</f>
        <v>6429710</v>
      </c>
      <c r="D8" s="3186"/>
      <c r="E8" s="3186"/>
      <c r="F8" s="3187"/>
      <c r="G8" s="529" t="s">
        <v>1067</v>
      </c>
      <c r="H8" s="530" t="s">
        <v>1068</v>
      </c>
      <c r="I8" s="529">
        <v>3500</v>
      </c>
      <c r="J8" s="571">
        <f>D35</f>
        <v>2.75</v>
      </c>
      <c r="K8" s="3206"/>
      <c r="L8" s="567" t="s">
        <v>1069</v>
      </c>
      <c r="M8" s="568">
        <v>100</v>
      </c>
      <c r="N8" s="568" t="s">
        <v>1064</v>
      </c>
      <c r="O8" s="568">
        <v>90</v>
      </c>
      <c r="P8" s="570">
        <v>0.5</v>
      </c>
    </row>
    <row r="9" spans="1:17" s="522" customFormat="1" ht="18" customHeight="1">
      <c r="A9" s="525" t="s">
        <v>1070</v>
      </c>
      <c r="B9" s="530" t="s">
        <v>1071</v>
      </c>
      <c r="C9" s="3185">
        <f>ROUND(C8*H9,0)</f>
        <v>257188</v>
      </c>
      <c r="D9" s="3186"/>
      <c r="E9" s="3186"/>
      <c r="F9" s="3187"/>
      <c r="G9" s="529" t="s">
        <v>1072</v>
      </c>
      <c r="H9" s="3189">
        <v>0.04</v>
      </c>
      <c r="I9" s="3189"/>
      <c r="J9" s="571" t="e">
        <f ca="1">D36</f>
        <v>#DIV/0!</v>
      </c>
      <c r="K9" s="3206"/>
      <c r="L9" s="567" t="s">
        <v>1073</v>
      </c>
      <c r="M9" s="568">
        <v>100</v>
      </c>
      <c r="N9" s="568" t="s">
        <v>1064</v>
      </c>
      <c r="O9" s="568">
        <v>90</v>
      </c>
      <c r="P9" s="570">
        <f>1-P7-P8</f>
        <v>0.19999999999999996</v>
      </c>
    </row>
    <row r="10" spans="1:17" s="522" customFormat="1" ht="18" customHeight="1">
      <c r="A10" s="525" t="s">
        <v>1074</v>
      </c>
      <c r="B10" s="530" t="s">
        <v>1075</v>
      </c>
      <c r="C10" s="3185">
        <f>ROUND(C8*H10,0)</f>
        <v>0</v>
      </c>
      <c r="D10" s="3186"/>
      <c r="E10" s="3186"/>
      <c r="F10" s="3187"/>
      <c r="G10" s="529" t="s">
        <v>1072</v>
      </c>
      <c r="H10" s="3189">
        <f>'数据-取费表'!B34</f>
        <v>0</v>
      </c>
      <c r="I10" s="3189"/>
      <c r="J10" s="571" t="e">
        <f ca="1">D37</f>
        <v>#DIV/0!</v>
      </c>
      <c r="K10" s="3206"/>
      <c r="L10" s="572" t="s">
        <v>1053</v>
      </c>
      <c r="M10" s="573">
        <f>1-M5</f>
        <v>0.5</v>
      </c>
      <c r="N10" s="568" t="s">
        <v>1051</v>
      </c>
      <c r="O10" s="574">
        <f>ROUND((O7*P7+O8*P8+O9*P9)/100,2)</f>
        <v>0.9</v>
      </c>
      <c r="P10" s="575"/>
    </row>
    <row r="11" spans="1:17" s="522" customFormat="1" ht="29.25" customHeight="1">
      <c r="A11" s="525" t="s">
        <v>1076</v>
      </c>
      <c r="B11" s="530" t="s">
        <v>1077</v>
      </c>
      <c r="C11" s="3185">
        <f>ROUND(I11*I3,0)</f>
        <v>367412</v>
      </c>
      <c r="D11" s="3186"/>
      <c r="E11" s="3186"/>
      <c r="F11" s="3187"/>
      <c r="G11" s="529" t="s">
        <v>1078</v>
      </c>
      <c r="H11" s="530" t="s">
        <v>1079</v>
      </c>
      <c r="I11" s="529">
        <f>'数据-取费表'!B28</f>
        <v>200</v>
      </c>
      <c r="J11" s="564"/>
      <c r="K11"/>
      <c r="L11"/>
    </row>
    <row r="12" spans="1:17" s="522" customFormat="1" ht="18" customHeight="1">
      <c r="A12" s="525" t="s">
        <v>1080</v>
      </c>
      <c r="B12" s="530" t="s">
        <v>1081</v>
      </c>
      <c r="C12" s="3185">
        <f>ROUND(C8*H12,0)</f>
        <v>96446</v>
      </c>
      <c r="D12" s="3186"/>
      <c r="E12" s="3186"/>
      <c r="F12" s="3187"/>
      <c r="G12" s="529" t="s">
        <v>1072</v>
      </c>
      <c r="H12" s="3189">
        <f>'数据-取费表'!B36</f>
        <v>1.4999999999999999E-2</v>
      </c>
      <c r="I12" s="3189"/>
      <c r="J12" s="576" t="s">
        <v>1082</v>
      </c>
      <c r="L12" s="577"/>
    </row>
    <row r="13" spans="1:17" s="522" customFormat="1" ht="18" customHeight="1">
      <c r="A13" s="525" t="s">
        <v>1083</v>
      </c>
      <c r="B13" s="530" t="s">
        <v>1084</v>
      </c>
      <c r="C13" s="3185">
        <f>SUM(C8:F12)</f>
        <v>7150756</v>
      </c>
      <c r="D13" s="3186"/>
      <c r="E13" s="3186"/>
      <c r="F13" s="3187"/>
      <c r="G13" s="3188" t="s">
        <v>1085</v>
      </c>
      <c r="H13" s="3188"/>
      <c r="I13" s="3188"/>
      <c r="J13" s="576" t="s">
        <v>1086</v>
      </c>
      <c r="L13" s="577"/>
      <c r="N13" s="522">
        <v>2011</v>
      </c>
    </row>
    <row r="14" spans="1:17" s="522" customFormat="1" ht="18" customHeight="1">
      <c r="A14" s="525" t="s">
        <v>988</v>
      </c>
      <c r="B14" s="530" t="s">
        <v>1087</v>
      </c>
      <c r="C14" s="3185">
        <f>ROUND(C13*H14,0)</f>
        <v>71508</v>
      </c>
      <c r="D14" s="3186"/>
      <c r="E14" s="3186"/>
      <c r="F14" s="3187"/>
      <c r="G14" s="529" t="s">
        <v>1088</v>
      </c>
      <c r="H14" s="3189">
        <v>0.01</v>
      </c>
      <c r="I14" s="3189"/>
      <c r="J14" s="564"/>
      <c r="L14" s="577"/>
    </row>
    <row r="15" spans="1:17" s="522" customFormat="1" ht="18" customHeight="1">
      <c r="A15" s="525" t="s">
        <v>1089</v>
      </c>
      <c r="B15" s="530" t="s">
        <v>1090</v>
      </c>
      <c r="C15" s="3190">
        <f>H15</f>
        <v>0.01</v>
      </c>
      <c r="D15" s="3191"/>
      <c r="E15" s="3192" t="str">
        <f>E18</f>
        <v>V</v>
      </c>
      <c r="F15" s="3193"/>
      <c r="G15" s="529" t="s">
        <v>1091</v>
      </c>
      <c r="H15" s="3189">
        <v>0.01</v>
      </c>
      <c r="I15" s="3189"/>
      <c r="J15" s="578"/>
      <c r="K15" s="579"/>
    </row>
    <row r="16" spans="1:17" s="522" customFormat="1" ht="18" customHeight="1">
      <c r="A16" s="535" t="s">
        <v>1092</v>
      </c>
      <c r="B16" s="536" t="s">
        <v>1093</v>
      </c>
      <c r="C16" s="527">
        <f ca="1">C17</f>
        <v>343058</v>
      </c>
      <c r="D16" s="528" t="s">
        <v>1094</v>
      </c>
      <c r="E16" s="537">
        <f ca="1">C18</f>
        <v>4.75E-4</v>
      </c>
      <c r="F16" s="534" t="str">
        <f>E18</f>
        <v>V</v>
      </c>
      <c r="G16" s="3185" t="s">
        <v>1095</v>
      </c>
      <c r="H16" s="3186"/>
      <c r="I16" s="3187"/>
      <c r="J16" s="564"/>
      <c r="K16"/>
    </row>
    <row r="17" spans="1:12" s="522" customFormat="1" ht="18" customHeight="1">
      <c r="A17" s="525" t="s">
        <v>1096</v>
      </c>
      <c r="B17" s="530" t="s">
        <v>1097</v>
      </c>
      <c r="C17" s="3185">
        <f ca="1">ROUND((C13+C14)*I18*(I17/2),0)</f>
        <v>343058</v>
      </c>
      <c r="D17" s="3186"/>
      <c r="E17" s="3186"/>
      <c r="F17" s="3187"/>
      <c r="G17" s="527" t="s">
        <v>1098</v>
      </c>
      <c r="H17" s="530" t="s">
        <v>1099</v>
      </c>
      <c r="I17" s="529">
        <f>'数据-取费表'!B20</f>
        <v>2</v>
      </c>
      <c r="J17" s="576" t="s">
        <v>1100</v>
      </c>
      <c r="K17"/>
      <c r="L17"/>
    </row>
    <row r="18" spans="1:12" s="522" customFormat="1" ht="18" customHeight="1">
      <c r="A18" s="525" t="s">
        <v>1101</v>
      </c>
      <c r="B18" s="530" t="s">
        <v>1102</v>
      </c>
      <c r="C18" s="3222">
        <f ca="1">H15*I18*I17/2</f>
        <v>4.75E-4</v>
      </c>
      <c r="D18" s="3223"/>
      <c r="E18" s="3192" t="s">
        <v>1103</v>
      </c>
      <c r="F18" s="3193"/>
      <c r="G18" s="527" t="s">
        <v>1104</v>
      </c>
      <c r="H18" s="530" t="s">
        <v>1105</v>
      </c>
      <c r="I18" s="539">
        <f ca="1">'数据-取费表'!B40</f>
        <v>4.7500000000000001E-2</v>
      </c>
      <c r="J18" s="576" t="s">
        <v>1106</v>
      </c>
      <c r="K18"/>
      <c r="L18"/>
    </row>
    <row r="19" spans="1:12" s="522" customFormat="1" ht="27" customHeight="1">
      <c r="A19" s="525" t="s">
        <v>1107</v>
      </c>
      <c r="B19" s="530" t="s">
        <v>1108</v>
      </c>
      <c r="C19" s="527">
        <f>C20</f>
        <v>1805566</v>
      </c>
      <c r="D19" s="528" t="s">
        <v>1094</v>
      </c>
      <c r="E19" s="528">
        <f>C21</f>
        <v>2.5000000000000001E-3</v>
      </c>
      <c r="F19" s="534" t="str">
        <f>E21</f>
        <v>V</v>
      </c>
      <c r="G19" s="3185" t="s">
        <v>1109</v>
      </c>
      <c r="H19" s="3186"/>
      <c r="I19" s="3187"/>
      <c r="J19" s="564"/>
      <c r="K19"/>
      <c r="L19"/>
    </row>
    <row r="20" spans="1:12" s="522" customFormat="1" ht="26.25" customHeight="1">
      <c r="A20" s="525" t="s">
        <v>1110</v>
      </c>
      <c r="B20" s="530" t="s">
        <v>1111</v>
      </c>
      <c r="C20" s="3185">
        <f>ROUND((C13+C14)*I20,0)</f>
        <v>1805566</v>
      </c>
      <c r="D20" s="3186"/>
      <c r="E20" s="3186"/>
      <c r="F20" s="3187"/>
      <c r="G20" s="529" t="s">
        <v>1112</v>
      </c>
      <c r="H20" s="3202" t="s">
        <v>1113</v>
      </c>
      <c r="I20" s="3204">
        <v>0.25</v>
      </c>
      <c r="J20" s="576" t="s">
        <v>1114</v>
      </c>
      <c r="K20"/>
      <c r="L20"/>
    </row>
    <row r="21" spans="1:12" s="522" customFormat="1" ht="27" customHeight="1">
      <c r="A21" s="525" t="s">
        <v>1110</v>
      </c>
      <c r="B21" s="530" t="s">
        <v>1115</v>
      </c>
      <c r="C21" s="3190">
        <f>H15*I20</f>
        <v>2.5000000000000001E-3</v>
      </c>
      <c r="D21" s="3191"/>
      <c r="E21" s="3192" t="s">
        <v>1103</v>
      </c>
      <c r="F21" s="3193"/>
      <c r="G21" s="529" t="s">
        <v>1116</v>
      </c>
      <c r="H21" s="3203"/>
      <c r="I21" s="3204"/>
      <c r="J21" s="564"/>
      <c r="K21"/>
      <c r="L21"/>
    </row>
    <row r="22" spans="1:12"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2" s="522" customFormat="1" ht="18" customHeight="1">
      <c r="A23" s="525" t="s">
        <v>1120</v>
      </c>
      <c r="B23" s="530" t="s">
        <v>1121</v>
      </c>
      <c r="C23" s="3185">
        <f ca="1">ROUND((C13+C14+C17+C20)/(1-H15-C18-C21-C22),0)</f>
        <v>10036026</v>
      </c>
      <c r="D23" s="3186"/>
      <c r="E23" s="3186"/>
      <c r="F23" s="3187"/>
      <c r="G23" s="3185" t="s">
        <v>1122</v>
      </c>
      <c r="H23" s="3186"/>
      <c r="I23" s="3187"/>
      <c r="J23" s="583"/>
      <c r="K23"/>
      <c r="L23"/>
    </row>
    <row r="24" spans="1:12" s="522" customFormat="1" ht="18" customHeight="1">
      <c r="A24" s="525" t="s">
        <v>1123</v>
      </c>
      <c r="B24" s="530" t="s">
        <v>1124</v>
      </c>
      <c r="C24" s="533">
        <f ca="1">C26+C27</f>
        <v>22079</v>
      </c>
      <c r="D24" s="538" t="s">
        <v>1125</v>
      </c>
      <c r="E24" s="3198">
        <f>H25+H28</f>
        <v>0.125</v>
      </c>
      <c r="F24" s="3199"/>
      <c r="G24" s="3188" t="s">
        <v>1126</v>
      </c>
      <c r="H24" s="3188"/>
      <c r="I24" s="3188"/>
      <c r="J24" s="583"/>
      <c r="K24"/>
      <c r="L24"/>
    </row>
    <row r="25" spans="1:12" s="522" customFormat="1" ht="18" customHeight="1">
      <c r="A25" s="525" t="s">
        <v>1083</v>
      </c>
      <c r="B25" s="530" t="s">
        <v>1127</v>
      </c>
      <c r="C25" s="3190" t="s">
        <v>1128</v>
      </c>
      <c r="D25" s="3191"/>
      <c r="E25" s="3198">
        <f>H25</f>
        <v>0.12</v>
      </c>
      <c r="F25" s="3199"/>
      <c r="G25" s="529" t="s">
        <v>1129</v>
      </c>
      <c r="H25" s="3200">
        <v>0.12</v>
      </c>
      <c r="I25" s="3200"/>
      <c r="J25" s="578"/>
      <c r="K25"/>
      <c r="L25"/>
    </row>
    <row r="26" spans="1:12" s="522" customFormat="1" ht="18" customHeight="1">
      <c r="A26" s="525" t="s">
        <v>988</v>
      </c>
      <c r="B26" s="530" t="s">
        <v>1130</v>
      </c>
      <c r="C26" s="3185">
        <f ca="1">ROUND(C23*H26,0)</f>
        <v>10036</v>
      </c>
      <c r="D26" s="3186"/>
      <c r="E26" s="3186"/>
      <c r="F26" s="3187"/>
      <c r="G26" s="529" t="s">
        <v>1131</v>
      </c>
      <c r="H26" s="3200">
        <v>1E-3</v>
      </c>
      <c r="I26" s="3200"/>
      <c r="J26" s="578"/>
      <c r="K26"/>
      <c r="L26"/>
    </row>
    <row r="27" spans="1:12" s="522" customFormat="1" ht="18" customHeight="1">
      <c r="A27" s="525" t="s">
        <v>1089</v>
      </c>
      <c r="B27" s="530" t="s">
        <v>1132</v>
      </c>
      <c r="C27" s="3185">
        <f ca="1">ROUND(C7*H27,0)</f>
        <v>12043</v>
      </c>
      <c r="D27" s="3186"/>
      <c r="E27" s="3186"/>
      <c r="F27" s="3187"/>
      <c r="G27" s="529" t="s">
        <v>1133</v>
      </c>
      <c r="H27" s="3197">
        <v>1.5E-3</v>
      </c>
      <c r="I27" s="3197"/>
      <c r="J27" s="564"/>
      <c r="K27"/>
      <c r="L27"/>
    </row>
    <row r="28" spans="1:12" s="522" customFormat="1" ht="18" customHeight="1">
      <c r="A28" s="525" t="s">
        <v>1092</v>
      </c>
      <c r="B28" s="530" t="s">
        <v>1087</v>
      </c>
      <c r="C28" s="3190" t="s">
        <v>1128</v>
      </c>
      <c r="D28" s="3191"/>
      <c r="E28" s="3198">
        <f>H28</f>
        <v>5.0000000000000001E-3</v>
      </c>
      <c r="F28" s="3199"/>
      <c r="G28" s="529" t="s">
        <v>1134</v>
      </c>
      <c r="H28" s="3200">
        <v>5.0000000000000001E-3</v>
      </c>
      <c r="I28" s="3200"/>
      <c r="J28" s="584"/>
      <c r="K28"/>
      <c r="L28"/>
    </row>
    <row r="29" spans="1:12" s="522" customFormat="1" ht="18" customHeight="1">
      <c r="A29" s="529" t="s">
        <v>1135</v>
      </c>
      <c r="B29" s="530" t="s">
        <v>1136</v>
      </c>
      <c r="C29" s="3185" t="e">
        <f ca="1">ROUND((C4+C24)/(1-E24),0)</f>
        <v>#DIV/0!</v>
      </c>
      <c r="D29" s="3186"/>
      <c r="E29" s="3186"/>
      <c r="F29" s="3187"/>
      <c r="G29" s="3188" t="s">
        <v>1137</v>
      </c>
      <c r="H29" s="3188"/>
      <c r="I29" s="3188"/>
      <c r="J29" s="1979" t="s">
        <v>1268</v>
      </c>
      <c r="K29"/>
      <c r="L29"/>
    </row>
    <row r="30" spans="1:12" s="522" customFormat="1" ht="21" customHeight="1">
      <c r="A30" s="3188" t="s">
        <v>1139</v>
      </c>
      <c r="B30" s="3201" t="s">
        <v>1140</v>
      </c>
      <c r="C30" s="3207" t="e">
        <f ca="1">ROUND(C29/I30/I31/I3,1)</f>
        <v>#DIV/0!</v>
      </c>
      <c r="D30" s="3208"/>
      <c r="E30" s="3208"/>
      <c r="F30" s="3209"/>
      <c r="G30" s="3188" t="s">
        <v>1141</v>
      </c>
      <c r="H30" s="530" t="s">
        <v>1142</v>
      </c>
      <c r="I30" s="529">
        <v>365</v>
      </c>
      <c r="J30" s="586"/>
      <c r="K30"/>
      <c r="L30"/>
    </row>
    <row r="31" spans="1:12" s="522" customFormat="1" ht="18" customHeight="1">
      <c r="A31" s="3188"/>
      <c r="B31" s="3201"/>
      <c r="C31" s="3210"/>
      <c r="D31" s="3211"/>
      <c r="E31" s="3211"/>
      <c r="F31" s="3212"/>
      <c r="G31" s="3188"/>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94" t="s">
        <v>1144</v>
      </c>
      <c r="C33" s="3194"/>
      <c r="D33" s="3194"/>
      <c r="E33" s="3194"/>
      <c r="F33" s="3194"/>
      <c r="G33" s="540"/>
      <c r="H33" s="541"/>
      <c r="I33" s="513"/>
      <c r="J33" s="564"/>
      <c r="K33"/>
      <c r="L33"/>
      <c r="M33" s="513"/>
    </row>
    <row r="34" spans="1:13" s="522" customFormat="1" ht="18" customHeight="1">
      <c r="A34" s="513"/>
      <c r="B34" s="542" t="s">
        <v>1145</v>
      </c>
      <c r="C34" s="542" t="s">
        <v>1053</v>
      </c>
      <c r="D34" s="3195" t="s">
        <v>1146</v>
      </c>
      <c r="E34" s="3195"/>
      <c r="F34" s="3195"/>
      <c r="G34" s="540"/>
      <c r="H34" s="541"/>
      <c r="I34" s="513"/>
      <c r="J34" s="583"/>
      <c r="K34" s="513"/>
      <c r="L34" s="513"/>
      <c r="M34" s="513"/>
    </row>
    <row r="35" spans="1:13">
      <c r="B35" s="542" t="s">
        <v>1147</v>
      </c>
      <c r="C35" s="544">
        <v>0.7</v>
      </c>
      <c r="D35" s="3196">
        <f>'比较法-商业租金'!C49</f>
        <v>2.75</v>
      </c>
      <c r="E35" s="3196"/>
      <c r="F35" s="3196"/>
      <c r="G35" s="540" t="e">
        <f ca="1">D36/D35</f>
        <v>#DIV/0!</v>
      </c>
      <c r="H35" s="541"/>
      <c r="K35" s="513"/>
      <c r="L35" s="513"/>
    </row>
    <row r="36" spans="1:13" ht="20.100000000000001" customHeight="1">
      <c r="B36" s="542" t="s">
        <v>587</v>
      </c>
      <c r="C36" s="544">
        <f>1-C35</f>
        <v>0.30000000000000004</v>
      </c>
      <c r="D36" s="3196" t="e">
        <f ca="1">C30</f>
        <v>#DIV/0!</v>
      </c>
      <c r="E36" s="3196"/>
      <c r="F36" s="3196"/>
      <c r="G36" s="540"/>
      <c r="H36" s="541"/>
      <c r="J36" s="513"/>
      <c r="K36" s="513"/>
      <c r="L36" s="513"/>
    </row>
    <row r="37" spans="1:13" ht="22.5" customHeight="1">
      <c r="B37" s="3195" t="s">
        <v>1148</v>
      </c>
      <c r="C37" s="3195"/>
      <c r="D37" s="3196" t="e">
        <f ca="1">ROUND(C35*D35+C36*D36,1)</f>
        <v>#DIV/0!</v>
      </c>
      <c r="E37" s="3196"/>
      <c r="F37" s="3196"/>
      <c r="G37" s="540" t="e">
        <f ca="1">ROUND(D37*I3/10000,2)</f>
        <v>#DIV/0!</v>
      </c>
      <c r="H37" s="541"/>
      <c r="J37" s="513"/>
      <c r="K37" s="513"/>
      <c r="L37" s="513"/>
    </row>
    <row r="38" spans="1:13" ht="22.5" customHeight="1">
      <c r="B38" s="542" t="s">
        <v>1149</v>
      </c>
      <c r="C38" s="542" t="e">
        <f ca="1">ROUND(D37*0.9,2)</f>
        <v>#DIV/0!</v>
      </c>
      <c r="D38" s="545" t="s">
        <v>1150</v>
      </c>
      <c r="E38" s="3196" t="e">
        <f ca="1">ROUND(D37*1.1,2)</f>
        <v>#DIV/0!</v>
      </c>
      <c r="F38" s="3196"/>
      <c r="G38" s="540" t="s">
        <v>1151</v>
      </c>
      <c r="H38" s="546">
        <v>12</v>
      </c>
      <c r="J38" s="513"/>
      <c r="K38" s="513"/>
      <c r="L38" s="513"/>
    </row>
    <row r="39" spans="1:13" ht="18" customHeight="1">
      <c r="B39" s="542" t="s">
        <v>1152</v>
      </c>
      <c r="C39" s="542" t="e">
        <f ca="1">ROUND(C38+H39,2)</f>
        <v>#DIV/0!</v>
      </c>
      <c r="D39" s="545" t="s">
        <v>1150</v>
      </c>
      <c r="E39" s="3196" t="e">
        <f ca="1">ROUND(E38+H39,2)</f>
        <v>#DIV/0!</v>
      </c>
      <c r="F39" s="3196"/>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-45</v>
      </c>
      <c r="C2" s="1897" t="s">
        <v>1270</v>
      </c>
      <c r="D2" s="1897"/>
      <c r="E2" s="1895"/>
      <c r="F2" s="1895"/>
      <c r="G2" s="1895"/>
      <c r="H2" s="1895"/>
      <c r="I2" s="1895"/>
      <c r="J2" s="1895"/>
      <c r="K2" s="1895"/>
    </row>
    <row r="3" spans="1:33" ht="18" customHeight="1">
      <c r="A3" s="444" t="s">
        <v>1164</v>
      </c>
      <c r="B3" s="445">
        <f ca="1">ROUND(B2*10000/IF(C1="",'数据-汇总表'!E3,INDIRECT("'数据-取费表'!K"&amp;$K$1)),0)</f>
        <v>-245</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1837.06</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1837.06</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37</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37</v>
      </c>
      <c r="D20" s="1921">
        <f ca="1">IF(C1="",'数据-汇总表'!E6,IF(INDIRECT("'数据-取费表'!c"&amp;$K$1)="住宅",INDIRECT("'数据-取费表'!s"&amp;$K$1),INDIRECT("'数据-取费表'!k"&amp;$K$1)+INDIRECT("'数据-取费表'!s"&amp;$K$1)))</f>
        <v>1837.06</v>
      </c>
      <c r="E20" s="75">
        <f>'数据-取费表'!B28</f>
        <v>200</v>
      </c>
      <c r="F20" s="1920"/>
      <c r="G20" s="198"/>
      <c r="H20" s="1929"/>
      <c r="I20" s="1929"/>
      <c r="J20" s="1929"/>
      <c r="K20" s="1972"/>
    </row>
    <row r="21" spans="1:33" s="1886" customFormat="1" ht="13.5" customHeight="1">
      <c r="A21" s="1904" t="s">
        <v>829</v>
      </c>
      <c r="B21" s="1930" t="s">
        <v>1306</v>
      </c>
      <c r="C21" s="1931">
        <f ca="1">C16+C17+C18</f>
        <v>37</v>
      </c>
      <c r="D21" s="1932"/>
      <c r="E21" s="1933"/>
      <c r="F21" s="1933"/>
      <c r="G21" s="82" t="s">
        <v>1307</v>
      </c>
      <c r="H21" s="199"/>
      <c r="I21" s="199"/>
      <c r="J21" s="199"/>
      <c r="K21" s="200"/>
    </row>
    <row r="22" spans="1:33" s="1886" customFormat="1" ht="13.5" customHeight="1">
      <c r="A22" s="1904" t="s">
        <v>833</v>
      </c>
      <c r="B22" s="1930" t="s">
        <v>1308</v>
      </c>
      <c r="C22" s="1931">
        <f ca="1">ROUND(C21*F22,0)</f>
        <v>1</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8</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8</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-45</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ROUND(F6*F8*F7*(1-F9),0)</f>
        <v>0</v>
      </c>
      <c r="D6" s="38" t="s">
        <v>1343</v>
      </c>
      <c r="E6" s="39" t="s">
        <v>1344</v>
      </c>
      <c r="F6" s="40">
        <f ca="1">INDIRECT("'数据-取费表'!u"&amp;$G$1)</f>
        <v>0</v>
      </c>
      <c r="G6" s="4"/>
      <c r="H6" s="36" t="s">
        <v>829</v>
      </c>
      <c r="I6" s="3271" t="s">
        <v>1342</v>
      </c>
      <c r="J6" s="115">
        <f ca="1">ROUND(M6*M8*M7*(1-M9),0)</f>
        <v>0</v>
      </c>
      <c r="K6" s="1881" t="s">
        <v>1345</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0</v>
      </c>
      <c r="G7" s="4"/>
      <c r="H7" s="45"/>
      <c r="I7" s="3272"/>
      <c r="J7" s="46"/>
      <c r="K7" s="43"/>
      <c r="L7" s="39" t="s">
        <v>1346</v>
      </c>
      <c r="M7" s="40">
        <f ca="1">F7</f>
        <v>0</v>
      </c>
    </row>
    <row r="8" spans="1:37" ht="18" customHeight="1">
      <c r="A8" s="45"/>
      <c r="B8" s="3272"/>
      <c r="C8" s="46"/>
      <c r="D8" s="43"/>
      <c r="E8" s="39" t="s">
        <v>1347</v>
      </c>
      <c r="F8" s="40">
        <f ca="1">INDIRECT("'数据-取费表'!ai"&amp;$G$1)</f>
        <v>0</v>
      </c>
      <c r="G8" s="4"/>
      <c r="H8" s="45"/>
      <c r="I8" s="3272"/>
      <c r="J8" s="46"/>
      <c r="K8" s="43"/>
      <c r="L8" s="39" t="s">
        <v>1347</v>
      </c>
      <c r="M8" s="40">
        <f ca="1">INDIRECT("'数据-取费表'!ai"&amp;$G$1)</f>
        <v>0</v>
      </c>
    </row>
    <row r="9" spans="1:37" ht="18" customHeight="1">
      <c r="A9" s="45"/>
      <c r="B9" s="3273"/>
      <c r="C9" s="46"/>
      <c r="D9" s="43"/>
      <c r="E9" s="39" t="s">
        <v>1348</v>
      </c>
      <c r="F9" s="47">
        <f ca="1">INDIRECT("'数据-取费表'!w"&amp;$G$1)</f>
        <v>0.15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69" t="s">
        <v>1467</v>
      </c>
      <c r="L53" s="3270"/>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1837.06</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74" t="s">
        <v>1523</v>
      </c>
      <c r="C5" s="3275"/>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1837.06</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76" t="s">
        <v>1527</v>
      </c>
      <c r="B1" s="3277"/>
      <c r="C1" s="3278"/>
      <c r="D1" s="3279">
        <f>SUM(I10,I15,I20,I21,I23)</f>
        <v>0</v>
      </c>
      <c r="E1" s="3279"/>
      <c r="F1" s="3279"/>
      <c r="G1" s="3279"/>
      <c r="H1" s="3279"/>
      <c r="I1" s="3280"/>
    </row>
    <row r="2" spans="1:9">
      <c r="A2" s="3288" t="s">
        <v>1528</v>
      </c>
      <c r="B2" s="3281" t="s">
        <v>1529</v>
      </c>
      <c r="C2" s="3281"/>
      <c r="D2" s="1831" t="s">
        <v>1530</v>
      </c>
      <c r="E2" s="1831" t="s">
        <v>1039</v>
      </c>
      <c r="F2" s="1831" t="s">
        <v>1051</v>
      </c>
      <c r="G2" s="1831" t="s">
        <v>1531</v>
      </c>
      <c r="H2" s="1831" t="s">
        <v>1532</v>
      </c>
      <c r="I2" s="1852" t="s">
        <v>1533</v>
      </c>
    </row>
    <row r="3" spans="1:9">
      <c r="A3" s="3288"/>
      <c r="B3" s="3281" t="s">
        <v>1534</v>
      </c>
      <c r="C3" s="3281"/>
      <c r="D3" s="1832"/>
      <c r="E3" s="1831"/>
      <c r="F3" s="1833"/>
      <c r="G3" s="1833"/>
      <c r="H3" s="1834"/>
      <c r="I3" s="1853">
        <f>ROUND(D3*E3*F3*G3*H3/10000,0)</f>
        <v>0</v>
      </c>
    </row>
    <row r="4" spans="1:9">
      <c r="A4" s="3288"/>
      <c r="B4" s="3281" t="s">
        <v>1535</v>
      </c>
      <c r="C4" s="3281"/>
      <c r="D4" s="1832"/>
      <c r="E4" s="1831"/>
      <c r="F4" s="1833"/>
      <c r="G4" s="1833"/>
      <c r="H4" s="1834"/>
      <c r="I4" s="1853">
        <f t="shared" ref="I4:I9" si="0">ROUND(D4*E4*F4*G4*H4/10000,0)</f>
        <v>0</v>
      </c>
    </row>
    <row r="5" spans="1:9">
      <c r="A5" s="3288"/>
      <c r="B5" s="3281" t="s">
        <v>1536</v>
      </c>
      <c r="C5" s="3281"/>
      <c r="D5" s="1832"/>
      <c r="E5" s="1831"/>
      <c r="F5" s="1833"/>
      <c r="G5" s="1833"/>
      <c r="H5" s="1834"/>
      <c r="I5" s="1853">
        <f t="shared" si="0"/>
        <v>0</v>
      </c>
    </row>
    <row r="6" spans="1:9">
      <c r="A6" s="3288"/>
      <c r="B6" s="3281" t="s">
        <v>1537</v>
      </c>
      <c r="C6" s="3281"/>
      <c r="D6" s="1832"/>
      <c r="E6" s="1831"/>
      <c r="F6" s="1833"/>
      <c r="G6" s="1833"/>
      <c r="H6" s="1834"/>
      <c r="I6" s="1853">
        <f t="shared" si="0"/>
        <v>0</v>
      </c>
    </row>
    <row r="7" spans="1:9">
      <c r="A7" s="3288"/>
      <c r="B7" s="3281" t="s">
        <v>1538</v>
      </c>
      <c r="C7" s="3281"/>
      <c r="D7" s="1832"/>
      <c r="E7" s="1831"/>
      <c r="F7" s="1833"/>
      <c r="G7" s="1833"/>
      <c r="H7" s="1834"/>
      <c r="I7" s="1853">
        <f t="shared" si="0"/>
        <v>0</v>
      </c>
    </row>
    <row r="8" spans="1:9">
      <c r="A8" s="3288"/>
      <c r="B8" s="3281" t="s">
        <v>1539</v>
      </c>
      <c r="C8" s="3281"/>
      <c r="D8" s="1832"/>
      <c r="E8" s="1831"/>
      <c r="F8" s="1833"/>
      <c r="G8" s="1833"/>
      <c r="H8" s="1834"/>
      <c r="I8" s="1853">
        <f t="shared" si="0"/>
        <v>0</v>
      </c>
    </row>
    <row r="9" spans="1:9">
      <c r="A9" s="3288"/>
      <c r="B9" s="3281" t="s">
        <v>1540</v>
      </c>
      <c r="C9" s="3281"/>
      <c r="D9" s="1832"/>
      <c r="E9" s="1831"/>
      <c r="F9" s="1833"/>
      <c r="G9" s="1833"/>
      <c r="H9" s="1834"/>
      <c r="I9" s="1853">
        <f t="shared" si="0"/>
        <v>0</v>
      </c>
    </row>
    <row r="10" spans="1:9">
      <c r="A10" s="3288"/>
      <c r="B10" s="3282" t="s">
        <v>480</v>
      </c>
      <c r="C10" s="3282"/>
      <c r="D10" s="1835"/>
      <c r="E10" s="1835" t="e">
        <f>ROUND(D1*10000/D10/H9,0)</f>
        <v>#DIV/0!</v>
      </c>
      <c r="F10" s="1836"/>
      <c r="G10" s="1836"/>
      <c r="H10" s="1837"/>
      <c r="I10" s="1854">
        <f>SUM(I3:I9)</f>
        <v>0</v>
      </c>
    </row>
    <row r="11" spans="1:9" ht="14.25">
      <c r="A11" s="3288" t="s">
        <v>1541</v>
      </c>
      <c r="B11" s="3281" t="s">
        <v>1542</v>
      </c>
      <c r="C11" s="3281"/>
      <c r="D11" s="1832" t="s">
        <v>1543</v>
      </c>
      <c r="E11" s="1832" t="s">
        <v>1544</v>
      </c>
      <c r="F11" s="1833" t="s">
        <v>1545</v>
      </c>
      <c r="G11" s="1833" t="s">
        <v>1532</v>
      </c>
      <c r="H11" s="1838" t="s">
        <v>124</v>
      </c>
      <c r="I11" s="1852" t="s">
        <v>1533</v>
      </c>
    </row>
    <row r="12" spans="1:9">
      <c r="A12" s="3288"/>
      <c r="B12" s="3281" t="s">
        <v>1546</v>
      </c>
      <c r="C12" s="3281"/>
      <c r="D12" s="1832"/>
      <c r="E12" s="1832"/>
      <c r="F12" s="1833"/>
      <c r="G12" s="1834"/>
      <c r="H12" s="829"/>
      <c r="I12" s="1852">
        <f>ROUND(D12*E12*F12*G12/10000,0)</f>
        <v>0</v>
      </c>
    </row>
    <row r="13" spans="1:9">
      <c r="A13" s="3288"/>
      <c r="B13" s="3281" t="s">
        <v>1547</v>
      </c>
      <c r="C13" s="3281"/>
      <c r="D13" s="1832"/>
      <c r="E13" s="1832"/>
      <c r="F13" s="1833"/>
      <c r="G13" s="1834"/>
      <c r="H13" s="829"/>
      <c r="I13" s="1852">
        <f>ROUND(D13*E13*F13*G13/10000,0)</f>
        <v>0</v>
      </c>
    </row>
    <row r="14" spans="1:9">
      <c r="A14" s="3288"/>
      <c r="B14" s="3281" t="s">
        <v>1548</v>
      </c>
      <c r="C14" s="3281"/>
      <c r="D14" s="1832"/>
      <c r="E14" s="1832"/>
      <c r="F14" s="1833"/>
      <c r="G14" s="1834"/>
      <c r="H14" s="829"/>
      <c r="I14" s="1852">
        <f>ROUND(D14*E14*F14*G14/10000,0)</f>
        <v>0</v>
      </c>
    </row>
    <row r="15" spans="1:9">
      <c r="A15" s="3288"/>
      <c r="B15" s="3282" t="s">
        <v>480</v>
      </c>
      <c r="C15" s="3282"/>
      <c r="D15" s="1835"/>
      <c r="E15" s="1835">
        <f>SUM(E12:E14)</f>
        <v>0</v>
      </c>
      <c r="F15" s="1836"/>
      <c r="G15" s="1834"/>
      <c r="H15" s="829"/>
      <c r="I15" s="1855">
        <f>SUM(I12:I14)</f>
        <v>0</v>
      </c>
    </row>
    <row r="16" spans="1:9" ht="24">
      <c r="A16" s="3288" t="s">
        <v>1549</v>
      </c>
      <c r="B16" s="3281" t="s">
        <v>1550</v>
      </c>
      <c r="C16" s="3281"/>
      <c r="D16" s="1832" t="s">
        <v>1530</v>
      </c>
      <c r="E16" s="1839" t="s">
        <v>1551</v>
      </c>
      <c r="F16" s="1833" t="s">
        <v>1552</v>
      </c>
      <c r="G16" s="1834" t="s">
        <v>1532</v>
      </c>
      <c r="H16" s="1838" t="s">
        <v>124</v>
      </c>
      <c r="I16" s="1852" t="s">
        <v>1533</v>
      </c>
    </row>
    <row r="17" spans="1:9" ht="14.25">
      <c r="A17" s="3288"/>
      <c r="B17" s="3281" t="s">
        <v>1553</v>
      </c>
      <c r="C17" s="3281"/>
      <c r="D17" s="1832"/>
      <c r="E17" s="1832"/>
      <c r="F17" s="1833"/>
      <c r="G17" s="1834"/>
      <c r="H17" s="1840"/>
      <c r="I17" s="1856">
        <f>ROUND(D17*E17*F17*G17/10000,0)</f>
        <v>0</v>
      </c>
    </row>
    <row r="18" spans="1:9" ht="14.25">
      <c r="A18" s="3288"/>
      <c r="B18" s="3281" t="s">
        <v>1554</v>
      </c>
      <c r="C18" s="3281"/>
      <c r="D18" s="1832"/>
      <c r="E18" s="1832"/>
      <c r="F18" s="1833"/>
      <c r="G18" s="1834"/>
      <c r="H18" s="1840"/>
      <c r="I18" s="1856">
        <f>ROUND(D18*E18*F18*G18/10000,0)</f>
        <v>0</v>
      </c>
    </row>
    <row r="19" spans="1:9" ht="14.25">
      <c r="A19" s="3288"/>
      <c r="B19" s="3281" t="s">
        <v>1555</v>
      </c>
      <c r="C19" s="3281"/>
      <c r="D19" s="1832"/>
      <c r="E19" s="1832"/>
      <c r="F19" s="1833"/>
      <c r="G19" s="1834"/>
      <c r="H19" s="1840"/>
      <c r="I19" s="1856">
        <f>ROUND(D19*E19*F19*G19/10000,0)</f>
        <v>0</v>
      </c>
    </row>
    <row r="20" spans="1:9">
      <c r="A20" s="3288"/>
      <c r="B20" s="3282" t="s">
        <v>480</v>
      </c>
      <c r="C20" s="3282"/>
      <c r="D20" s="1835">
        <f>SUM(D17:D19)</f>
        <v>0</v>
      </c>
      <c r="E20" s="1835"/>
      <c r="F20" s="1836"/>
      <c r="G20" s="1834"/>
      <c r="H20" s="829"/>
      <c r="I20" s="1855">
        <f>SUM(I17:I19)</f>
        <v>0</v>
      </c>
    </row>
    <row r="21" spans="1:9">
      <c r="A21" s="3288" t="s">
        <v>1556</v>
      </c>
      <c r="B21" s="3296"/>
      <c r="C21" s="3296"/>
      <c r="D21" s="3296"/>
      <c r="E21" s="3296"/>
      <c r="F21" s="3296"/>
      <c r="G21" s="3296"/>
      <c r="H21" s="1841">
        <v>0.1</v>
      </c>
      <c r="I21" s="1854">
        <f>ROUND(I10*H21,0)</f>
        <v>0</v>
      </c>
    </row>
    <row r="22" spans="1:9" ht="14.25">
      <c r="A22" s="3289" t="s">
        <v>1557</v>
      </c>
      <c r="B22" s="3290"/>
      <c r="C22" s="3291"/>
      <c r="D22" s="1832" t="s">
        <v>476</v>
      </c>
      <c r="E22" s="1832" t="s">
        <v>1558</v>
      </c>
      <c r="F22" s="1842" t="s">
        <v>1532</v>
      </c>
      <c r="G22" s="1842" t="s">
        <v>1559</v>
      </c>
      <c r="H22" s="1838" t="s">
        <v>124</v>
      </c>
      <c r="I22" s="1852" t="s">
        <v>1533</v>
      </c>
    </row>
    <row r="23" spans="1:9">
      <c r="A23" s="3292"/>
      <c r="B23" s="3293"/>
      <c r="C23" s="3294"/>
      <c r="D23" s="1843"/>
      <c r="E23" s="1843"/>
      <c r="F23" s="1843"/>
      <c r="G23" s="1844"/>
      <c r="H23" s="1845"/>
      <c r="I23" s="1857">
        <f>ROUND(E23*D23*F23*(1-G23)/10000,0)</f>
        <v>0</v>
      </c>
    </row>
    <row r="26" spans="1:9">
      <c r="A26" s="1846" t="s">
        <v>1560</v>
      </c>
      <c r="B26" s="1846"/>
      <c r="C26" s="1846"/>
      <c r="D26" s="1846"/>
      <c r="E26" s="3287">
        <f>C27-C30-C31-C32</f>
        <v>0</v>
      </c>
      <c r="F26" s="3287"/>
      <c r="G26" s="3287"/>
      <c r="H26" s="1847" t="s">
        <v>1561</v>
      </c>
    </row>
    <row r="27" spans="1:9">
      <c r="A27" s="1848">
        <v>1</v>
      </c>
      <c r="B27" s="1849" t="s">
        <v>1562</v>
      </c>
      <c r="C27" s="1849">
        <f>C28+C29</f>
        <v>0</v>
      </c>
      <c r="D27" s="1849"/>
      <c r="E27" s="3283"/>
      <c r="F27" s="3283"/>
      <c r="G27" s="3283"/>
    </row>
    <row r="28" spans="1:9">
      <c r="A28" s="1850" t="s">
        <v>1563</v>
      </c>
      <c r="B28" s="1849" t="s">
        <v>1564</v>
      </c>
      <c r="C28" s="1849"/>
      <c r="D28" s="1849"/>
      <c r="E28" s="3283"/>
      <c r="F28" s="3283"/>
      <c r="G28" s="3283"/>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95"/>
      <c r="F32" s="3295"/>
      <c r="G32" s="3295"/>
    </row>
    <row r="33" spans="1:7" hidden="1">
      <c r="A33" s="3284" t="s">
        <v>1573</v>
      </c>
      <c r="B33" s="3285"/>
      <c r="C33" s="3285"/>
      <c r="D33" s="3286"/>
      <c r="E33" s="3287"/>
      <c r="F33" s="3287"/>
      <c r="G33" s="3287"/>
    </row>
    <row r="34" spans="1:7" hidden="1">
      <c r="A34" s="1848">
        <v>1</v>
      </c>
      <c r="B34" s="1849" t="s">
        <v>1574</v>
      </c>
      <c r="C34" s="1849"/>
      <c r="D34" s="1849"/>
      <c r="E34" s="3283"/>
      <c r="F34" s="3283"/>
      <c r="G34" s="3283"/>
    </row>
    <row r="35" spans="1:7" hidden="1">
      <c r="A35" s="1848">
        <v>2</v>
      </c>
      <c r="B35" s="1849" t="s">
        <v>1132</v>
      </c>
      <c r="C35" s="1849"/>
      <c r="D35" s="1849"/>
      <c r="E35" s="3283"/>
      <c r="F35" s="3283"/>
      <c r="G35" s="3283"/>
    </row>
    <row r="36" spans="1:7" hidden="1">
      <c r="A36" s="1848">
        <v>3</v>
      </c>
      <c r="B36" s="1849" t="s">
        <v>1130</v>
      </c>
      <c r="C36" s="1849"/>
      <c r="D36" s="1849"/>
      <c r="E36" s="3283"/>
      <c r="F36" s="3283"/>
      <c r="G36" s="3283"/>
    </row>
    <row r="37" spans="1:7" hidden="1">
      <c r="A37" s="1848">
        <v>4</v>
      </c>
      <c r="B37" s="1849" t="s">
        <v>1575</v>
      </c>
      <c r="C37" s="1849"/>
      <c r="D37" s="1849"/>
      <c r="E37" s="3283"/>
      <c r="F37" s="3283"/>
      <c r="G37" s="3283"/>
    </row>
    <row r="38" spans="1:7" hidden="1">
      <c r="A38" s="3284" t="s">
        <v>1576</v>
      </c>
      <c r="B38" s="3285"/>
      <c r="C38" s="3285"/>
      <c r="D38" s="3286"/>
      <c r="E38" s="3287"/>
      <c r="F38" s="3287"/>
      <c r="G38" s="328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1837.06</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24" t="s">
        <v>1167</v>
      </c>
      <c r="D4" s="3225"/>
      <c r="E4" s="3226" t="s">
        <v>1168</v>
      </c>
      <c r="F4" s="3227"/>
      <c r="G4" s="3224" t="s">
        <v>1169</v>
      </c>
      <c r="H4" s="3225"/>
      <c r="I4" s="3224" t="s">
        <v>1170</v>
      </c>
      <c r="J4" s="3225"/>
      <c r="K4" s="1767"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4" t="s">
        <v>1169</v>
      </c>
      <c r="AC4" s="3254" t="s">
        <v>1170</v>
      </c>
    </row>
    <row r="5" spans="1:29" ht="15">
      <c r="A5" s="1216"/>
      <c r="B5" s="1217"/>
      <c r="C5" s="3297" t="s">
        <v>1579</v>
      </c>
      <c r="D5" s="3229"/>
      <c r="E5" s="3298" t="s">
        <v>1580</v>
      </c>
      <c r="F5" s="3231"/>
      <c r="G5" s="3297" t="s">
        <v>1581</v>
      </c>
      <c r="H5" s="3229"/>
      <c r="I5" s="3297" t="s">
        <v>1582</v>
      </c>
      <c r="J5" s="3229"/>
      <c r="K5" s="1768"/>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768"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41"/>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42" t="s">
        <v>1193</v>
      </c>
      <c r="Q15" s="983" t="str">
        <f t="shared" si="6"/>
        <v>居住社区成熟度</v>
      </c>
      <c r="R15" s="1402" t="s">
        <v>1179</v>
      </c>
      <c r="S15" s="1403">
        <f t="shared" si="0"/>
        <v>100</v>
      </c>
      <c r="T15" s="1402" t="s">
        <v>1179</v>
      </c>
      <c r="U15" s="1403">
        <f t="shared" si="1"/>
        <v>100</v>
      </c>
      <c r="V15" s="1402" t="s">
        <v>1179</v>
      </c>
      <c r="W15" s="1403">
        <f t="shared" si="2"/>
        <v>100</v>
      </c>
      <c r="X15" s="1397"/>
      <c r="Y15" s="3247"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43"/>
      <c r="Q16" s="983"/>
      <c r="R16" s="1402"/>
      <c r="S16" s="1403"/>
      <c r="T16" s="1402"/>
      <c r="U16" s="1403"/>
      <c r="V16" s="1402"/>
      <c r="W16" s="1403"/>
      <c r="X16" s="1397"/>
      <c r="Y16" s="3248"/>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43"/>
      <c r="Q18" s="983"/>
      <c r="R18" s="1402"/>
      <c r="S18" s="1403"/>
      <c r="T18" s="1402"/>
      <c r="U18" s="1403"/>
      <c r="V18" s="1402"/>
      <c r="W18" s="1403"/>
      <c r="X18" s="1397"/>
      <c r="Y18" s="3248"/>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43"/>
      <c r="Q22" s="983"/>
      <c r="R22" s="1402"/>
      <c r="S22" s="1403"/>
      <c r="T22" s="1402"/>
      <c r="U22" s="1403"/>
      <c r="V22" s="1402"/>
      <c r="W22" s="1403"/>
      <c r="X22" s="1397"/>
      <c r="Y22" s="3248"/>
      <c r="Z22" s="1387"/>
      <c r="AA22" s="1387">
        <v>1</v>
      </c>
      <c r="AB22" s="1387">
        <v>1</v>
      </c>
      <c r="AC22" s="1387">
        <v>1</v>
      </c>
    </row>
    <row r="23" spans="1:29" ht="71.2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43"/>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48"/>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43"/>
      <c r="Q26" s="983" t="str">
        <f t="shared" si="11"/>
        <v>朝向</v>
      </c>
      <c r="R26" s="1402" t="s">
        <v>1179</v>
      </c>
      <c r="S26" s="1403">
        <f t="shared" si="12"/>
        <v>100</v>
      </c>
      <c r="T26" s="1402" t="s">
        <v>1179</v>
      </c>
      <c r="U26" s="1403">
        <f t="shared" si="13"/>
        <v>100</v>
      </c>
      <c r="V26" s="1402" t="s">
        <v>1179</v>
      </c>
      <c r="W26" s="1403">
        <f t="shared" si="14"/>
        <v>100</v>
      </c>
      <c r="X26" s="1397"/>
      <c r="Y26" s="3248"/>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43"/>
      <c r="Q27" s="1135">
        <f t="shared" si="11"/>
        <v>111</v>
      </c>
      <c r="R27" s="1398" t="s">
        <v>1179</v>
      </c>
      <c r="S27" s="1399">
        <f t="shared" si="12"/>
        <v>100</v>
      </c>
      <c r="T27" s="1398" t="s">
        <v>1179</v>
      </c>
      <c r="U27" s="1399">
        <f t="shared" si="13"/>
        <v>100</v>
      </c>
      <c r="V27" s="1398" t="s">
        <v>1179</v>
      </c>
      <c r="W27" s="1399">
        <f t="shared" si="14"/>
        <v>100</v>
      </c>
      <c r="X27" s="1400"/>
      <c r="Y27" s="3248"/>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43"/>
      <c r="Q28" s="983">
        <f t="shared" si="11"/>
        <v>111</v>
      </c>
      <c r="R28" s="1402" t="s">
        <v>1179</v>
      </c>
      <c r="S28" s="1403">
        <f t="shared" si="12"/>
        <v>100</v>
      </c>
      <c r="T28" s="1402" t="s">
        <v>1179</v>
      </c>
      <c r="U28" s="1403">
        <f t="shared" si="13"/>
        <v>100</v>
      </c>
      <c r="V28" s="1402" t="s">
        <v>1179</v>
      </c>
      <c r="W28" s="1403">
        <f t="shared" si="14"/>
        <v>100</v>
      </c>
      <c r="X28" s="1397"/>
      <c r="Y28" s="3248"/>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44" t="s">
        <v>1211</v>
      </c>
      <c r="Q32" s="983" t="str">
        <f t="shared" si="11"/>
        <v>建筑类型</v>
      </c>
      <c r="R32" s="1402" t="s">
        <v>1179</v>
      </c>
      <c r="S32" s="1403">
        <f t="shared" si="12"/>
        <v>100</v>
      </c>
      <c r="T32" s="1402" t="s">
        <v>1179</v>
      </c>
      <c r="U32" s="1403">
        <f t="shared" si="13"/>
        <v>100</v>
      </c>
      <c r="V32" s="1402" t="s">
        <v>1179</v>
      </c>
      <c r="W32" s="1403">
        <f t="shared" si="14"/>
        <v>100</v>
      </c>
      <c r="X32" s="1397"/>
      <c r="Y32" s="3249"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45"/>
      <c r="Q33" s="1625" t="str">
        <f t="shared" si="11"/>
        <v>项目建筑规模</v>
      </c>
      <c r="R33" s="1404" t="s">
        <v>1179</v>
      </c>
      <c r="S33" s="1405" t="e">
        <f t="shared" si="12"/>
        <v>#N/A</v>
      </c>
      <c r="T33" s="1404" t="s">
        <v>1179</v>
      </c>
      <c r="U33" s="1405" t="e">
        <f t="shared" si="13"/>
        <v>#N/A</v>
      </c>
      <c r="V33" s="1404" t="s">
        <v>1179</v>
      </c>
      <c r="W33" s="1405" t="e">
        <f t="shared" si="14"/>
        <v>#N/A</v>
      </c>
      <c r="X33" s="1406"/>
      <c r="Y33" s="3249"/>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45"/>
      <c r="Q35" s="983" t="str">
        <f t="shared" si="11"/>
        <v>建筑品质</v>
      </c>
      <c r="R35" s="1402" t="s">
        <v>1179</v>
      </c>
      <c r="S35" s="1403">
        <f t="shared" si="12"/>
        <v>100</v>
      </c>
      <c r="T35" s="1402" t="s">
        <v>1179</v>
      </c>
      <c r="U35" s="1403">
        <f t="shared" si="13"/>
        <v>100</v>
      </c>
      <c r="V35" s="1402" t="s">
        <v>1179</v>
      </c>
      <c r="W35" s="1403">
        <f t="shared" si="14"/>
        <v>100</v>
      </c>
      <c r="X35" s="1397"/>
      <c r="Y35" s="3249"/>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45"/>
      <c r="Q36" s="983" t="str">
        <f t="shared" si="11"/>
        <v>公共部分装修</v>
      </c>
      <c r="R36" s="1402" t="s">
        <v>1179</v>
      </c>
      <c r="S36" s="1403">
        <f t="shared" si="12"/>
        <v>100</v>
      </c>
      <c r="T36" s="1402" t="s">
        <v>1179</v>
      </c>
      <c r="U36" s="1403">
        <f t="shared" si="13"/>
        <v>100</v>
      </c>
      <c r="V36" s="1402" t="s">
        <v>1179</v>
      </c>
      <c r="W36" s="1403">
        <f t="shared" si="14"/>
        <v>100</v>
      </c>
      <c r="X36" s="1397"/>
      <c r="Y36" s="3249"/>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45"/>
      <c r="Q37" s="1135" t="str">
        <f t="shared" si="11"/>
        <v>成新度</v>
      </c>
      <c r="R37" s="1398" t="s">
        <v>1179</v>
      </c>
      <c r="S37" s="1399" t="e">
        <f t="shared" si="12"/>
        <v>#N/A</v>
      </c>
      <c r="T37" s="1398" t="s">
        <v>1179</v>
      </c>
      <c r="U37" s="1399" t="e">
        <f t="shared" si="13"/>
        <v>#N/A</v>
      </c>
      <c r="V37" s="1398" t="s">
        <v>1179</v>
      </c>
      <c r="W37" s="1399" t="e">
        <f t="shared" si="14"/>
        <v>#N/A</v>
      </c>
      <c r="X37" s="1400"/>
      <c r="Y37" s="3249"/>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45" t="s">
        <v>1211</v>
      </c>
      <c r="Q38" s="983" t="str">
        <f t="shared" si="11"/>
        <v>物业管理</v>
      </c>
      <c r="R38" s="1402" t="s">
        <v>1179</v>
      </c>
      <c r="S38" s="1403">
        <f t="shared" si="12"/>
        <v>100</v>
      </c>
      <c r="T38" s="1402" t="s">
        <v>1179</v>
      </c>
      <c r="U38" s="1403">
        <f t="shared" si="13"/>
        <v>100</v>
      </c>
      <c r="V38" s="1402" t="s">
        <v>1179</v>
      </c>
      <c r="W38" s="1403">
        <f t="shared" si="14"/>
        <v>100</v>
      </c>
      <c r="X38" s="1397"/>
      <c r="Y38" s="3249"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45"/>
      <c r="Q39" s="983" t="str">
        <f t="shared" si="11"/>
        <v>市政基础设施</v>
      </c>
      <c r="R39" s="1402" t="s">
        <v>1179</v>
      </c>
      <c r="S39" s="1403">
        <f t="shared" si="12"/>
        <v>100</v>
      </c>
      <c r="T39" s="1402" t="s">
        <v>1179</v>
      </c>
      <c r="U39" s="1403">
        <f t="shared" si="13"/>
        <v>100</v>
      </c>
      <c r="V39" s="1402" t="s">
        <v>1179</v>
      </c>
      <c r="W39" s="1403">
        <f t="shared" si="14"/>
        <v>100</v>
      </c>
      <c r="X39" s="1397"/>
      <c r="Y39" s="3249"/>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45"/>
      <c r="Q40" s="983" t="str">
        <f t="shared" si="11"/>
        <v>房型</v>
      </c>
      <c r="R40" s="1402" t="s">
        <v>1179</v>
      </c>
      <c r="S40" s="1403">
        <f t="shared" si="12"/>
        <v>100</v>
      </c>
      <c r="T40" s="1402" t="s">
        <v>1179</v>
      </c>
      <c r="U40" s="1403">
        <f t="shared" si="13"/>
        <v>100</v>
      </c>
      <c r="V40" s="1402" t="s">
        <v>1179</v>
      </c>
      <c r="W40" s="1403">
        <f t="shared" si="14"/>
        <v>100</v>
      </c>
      <c r="X40" s="1397"/>
      <c r="Y40" s="3249"/>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45"/>
      <c r="Q41" s="1625" t="str">
        <f t="shared" si="11"/>
        <v>单套/主力户型建筑面积</v>
      </c>
      <c r="R41" s="1404" t="s">
        <v>1179</v>
      </c>
      <c r="S41" s="1405">
        <f t="shared" si="12"/>
        <v>100</v>
      </c>
      <c r="T41" s="1404" t="s">
        <v>1179</v>
      </c>
      <c r="U41" s="1405">
        <f t="shared" si="13"/>
        <v>100</v>
      </c>
      <c r="V41" s="1404" t="s">
        <v>1179</v>
      </c>
      <c r="W41" s="1405">
        <f t="shared" si="14"/>
        <v>100</v>
      </c>
      <c r="X41" s="1406"/>
      <c r="Y41" s="3249"/>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45"/>
      <c r="Q42" s="983" t="str">
        <f t="shared" si="11"/>
        <v>内部装修</v>
      </c>
      <c r="R42" s="1402" t="s">
        <v>1179</v>
      </c>
      <c r="S42" s="1403">
        <f t="shared" si="12"/>
        <v>100</v>
      </c>
      <c r="T42" s="1402" t="s">
        <v>1179</v>
      </c>
      <c r="U42" s="1403">
        <f t="shared" si="13"/>
        <v>100</v>
      </c>
      <c r="V42" s="1402" t="s">
        <v>1179</v>
      </c>
      <c r="W42" s="1403">
        <f t="shared" si="14"/>
        <v>100</v>
      </c>
      <c r="X42" s="1397"/>
      <c r="Y42" s="3249"/>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39" t="str">
        <f>A47</f>
        <v>成交单价（元/平方米）</v>
      </c>
      <c r="Q47" s="3239"/>
      <c r="R47" s="3240">
        <f>E47</f>
        <v>0</v>
      </c>
      <c r="S47" s="3240"/>
      <c r="T47" s="3240">
        <f>G47</f>
        <v>0</v>
      </c>
      <c r="U47" s="3240"/>
      <c r="V47" s="3240">
        <f>I47</f>
        <v>0</v>
      </c>
      <c r="W47" s="3240"/>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51" t="str">
        <f>A49</f>
        <v>估价对象XX用房的比较价值（楼面单价，元/平方米）</v>
      </c>
      <c r="Q49" s="3252"/>
      <c r="R49" s="3253" t="e">
        <f>IF(F1="售价",ROUND(IF(D48="简单平均",AVERAGE(R48:V48),R48*F48+T48*H48+V48*J48),0),ROUND(IF(D48="简单平均",AVERAGE(R48:V48),R48*F48+T48*H48+V48*J48),1))</f>
        <v>#DIV/0!</v>
      </c>
      <c r="S49" s="3253"/>
      <c r="T49" s="3253"/>
      <c r="U49" s="3253"/>
      <c r="V49" s="3253"/>
      <c r="W49" s="3253"/>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2024-5</v>
      </c>
      <c r="D58" s="1604">
        <f>EDATE(C58,-1)</f>
        <v>45383</v>
      </c>
      <c r="E58" s="1604">
        <f>EDATE(D58,-1)</f>
        <v>45352</v>
      </c>
      <c r="F58" s="1604">
        <f t="shared" ref="F58:O58" si="19">EDATE(E58,-1)</f>
        <v>45323</v>
      </c>
      <c r="G58" s="1604">
        <f t="shared" si="19"/>
        <v>45292</v>
      </c>
      <c r="H58" s="1604">
        <f t="shared" si="19"/>
        <v>45261</v>
      </c>
      <c r="I58" s="1604">
        <f t="shared" si="19"/>
        <v>45231</v>
      </c>
      <c r="J58" s="1604">
        <f t="shared" si="19"/>
        <v>45200</v>
      </c>
      <c r="K58" s="1604">
        <f t="shared" si="19"/>
        <v>45170</v>
      </c>
      <c r="L58" s="1604">
        <f t="shared" si="19"/>
        <v>45139</v>
      </c>
      <c r="M58" s="1604">
        <f t="shared" si="19"/>
        <v>45108</v>
      </c>
      <c r="N58" s="1604">
        <f t="shared" si="19"/>
        <v>45078</v>
      </c>
      <c r="O58" s="1604">
        <f t="shared" si="19"/>
        <v>45047</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估价对象为北京市房地产，为所有。根据《国有土地使用证》[]，估价对象（分摊）出让国有建设用地使用权面积为0平方米，建筑面积为1837.06平方米。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估价对象为北京市房地产,属开发建设的，该项目尚在开发建设中。根据《国有土地使用证》[]，估价对象（分摊）出让国有建设用地使用权面积为0平方米，规划建筑面积为1837.06平方米。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2024年5月10日（评估专业人员实地查勘之日）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1610</v>
      </c>
      <c r="D5" s="3229"/>
      <c r="E5" s="3230" t="str">
        <f>售价案例!L73</f>
        <v>帅府园商铺</v>
      </c>
      <c r="F5" s="3231"/>
      <c r="G5" s="3228" t="str">
        <f>售价案例!L96</f>
        <v>杨庄小区</v>
      </c>
      <c r="H5" s="3229"/>
      <c r="I5" s="3228" t="str">
        <f>售价案例!L36</f>
        <v>新华西街</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5</v>
      </c>
      <c r="L15" s="1367"/>
      <c r="M15" s="1309"/>
      <c r="N15" s="1309"/>
      <c r="O15" s="1309"/>
      <c r="P15" s="3242" t="s">
        <v>1193</v>
      </c>
      <c r="Q15" s="983" t="str">
        <f t="shared" si="6"/>
        <v>商业繁华度</v>
      </c>
      <c r="R15" s="1402" t="s">
        <v>1179</v>
      </c>
      <c r="S15" s="1403">
        <f t="shared" si="0"/>
        <v>100</v>
      </c>
      <c r="T15" s="1402" t="s">
        <v>1179</v>
      </c>
      <c r="U15" s="1403">
        <f t="shared" si="1"/>
        <v>100</v>
      </c>
      <c r="V15" s="1402" t="s">
        <v>1179</v>
      </c>
      <c r="W15" s="1403">
        <f t="shared" si="2"/>
        <v>100</v>
      </c>
      <c r="X15" s="1397"/>
      <c r="Y15" s="3247"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1</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1</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10</v>
      </c>
      <c r="L27" s="1357"/>
      <c r="M27" s="1358"/>
      <c r="N27" s="1358"/>
      <c r="O27" s="1358"/>
      <c r="P27" s="3243"/>
      <c r="Q27" s="1135" t="str">
        <f t="shared" si="11"/>
        <v>人流量</v>
      </c>
      <c r="R27" s="1398" t="s">
        <v>1179</v>
      </c>
      <c r="S27" s="1399">
        <f>F27</f>
        <v>100</v>
      </c>
      <c r="T27" s="1398" t="s">
        <v>1179</v>
      </c>
      <c r="U27" s="1399">
        <f>H27</f>
        <v>100</v>
      </c>
      <c r="V27" s="1398" t="s">
        <v>1179</v>
      </c>
      <c r="W27" s="1399">
        <f>J27</f>
        <v>100</v>
      </c>
      <c r="X27" s="1400"/>
      <c r="Y27" s="3248"/>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0</v>
      </c>
      <c r="R29" s="1402" t="s">
        <v>1179</v>
      </c>
      <c r="S29" s="1403">
        <f t="shared" si="12"/>
        <v>100</v>
      </c>
      <c r="T29" s="1402" t="s">
        <v>1179</v>
      </c>
      <c r="U29" s="1403">
        <f t="shared" si="13"/>
        <v>100</v>
      </c>
      <c r="V29" s="1402" t="s">
        <v>1179</v>
      </c>
      <c r="W29" s="1403">
        <f t="shared" si="14"/>
        <v>100</v>
      </c>
      <c r="X29" s="1397"/>
      <c r="Y29" s="3248"/>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99</v>
      </c>
      <c r="V33" s="1404" t="s">
        <v>1179</v>
      </c>
      <c r="W33" s="1405">
        <f t="shared" si="14"/>
        <v>100</v>
      </c>
      <c r="X33" s="1406"/>
      <c r="Y33" s="3249"/>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0.5</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45"/>
      <c r="Q37" s="1135" t="str">
        <f t="shared" si="11"/>
        <v>市政基础设施</v>
      </c>
      <c r="R37" s="1398" t="s">
        <v>1179</v>
      </c>
      <c r="S37" s="1399">
        <f t="shared" si="12"/>
        <v>102</v>
      </c>
      <c r="T37" s="1398" t="s">
        <v>1179</v>
      </c>
      <c r="U37" s="1399">
        <f t="shared" si="13"/>
        <v>102</v>
      </c>
      <c r="V37" s="1398" t="s">
        <v>1179</v>
      </c>
      <c r="W37" s="1399">
        <f t="shared" si="14"/>
        <v>102</v>
      </c>
      <c r="X37" s="1400"/>
      <c r="Y37" s="3249"/>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105</v>
      </c>
      <c r="I42" s="1286" t="s">
        <v>1216</v>
      </c>
      <c r="J42" s="1106">
        <f>SUMIF(122:122,I42,123:123)-SUMIF(122:122,C42,123:123)+100</f>
        <v>105</v>
      </c>
      <c r="K42" s="1373">
        <f>'比较法-商业租金'!K42</f>
        <v>5</v>
      </c>
      <c r="L42" s="1367"/>
      <c r="M42" s="1309"/>
      <c r="N42" s="1309"/>
      <c r="O42" s="1309"/>
      <c r="P42" s="3245"/>
      <c r="Q42" s="983" t="str">
        <f t="shared" si="11"/>
        <v>内部装修</v>
      </c>
      <c r="R42" s="1402" t="s">
        <v>1179</v>
      </c>
      <c r="S42" s="1403">
        <f t="shared" si="12"/>
        <v>100</v>
      </c>
      <c r="T42" s="1402" t="s">
        <v>1179</v>
      </c>
      <c r="U42" s="1403">
        <f t="shared" si="13"/>
        <v>105</v>
      </c>
      <c r="V42" s="1402" t="s">
        <v>1179</v>
      </c>
      <c r="W42" s="1403">
        <f t="shared" si="14"/>
        <v>105</v>
      </c>
      <c r="X42" s="1397"/>
      <c r="Y42" s="3249"/>
      <c r="Z42" s="1387" t="str">
        <f t="shared" si="15"/>
        <v>内部装修</v>
      </c>
      <c r="AA42" s="1387">
        <f t="shared" si="3"/>
        <v>1</v>
      </c>
      <c r="AB42" s="1387">
        <f t="shared" si="4"/>
        <v>0.95238095238095233</v>
      </c>
      <c r="AC42" s="1387">
        <f t="shared" si="5"/>
        <v>0.95238095238095233</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39" t="str">
        <f>A47</f>
        <v>成交单价（元/平方米）</v>
      </c>
      <c r="Q47" s="3239"/>
      <c r="R47" s="3240">
        <f>E47</f>
        <v>36000</v>
      </c>
      <c r="S47" s="3240"/>
      <c r="T47" s="3240">
        <f>G47</f>
        <v>35000</v>
      </c>
      <c r="U47" s="3240"/>
      <c r="V47" s="3240">
        <f>I47</f>
        <v>38200</v>
      </c>
      <c r="W47" s="3240"/>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51" t="str">
        <f>A49</f>
        <v>估价对象XX用房的比较价值（楼面单价，元/平方米）</v>
      </c>
      <c r="Q49" s="3252"/>
      <c r="R49" s="3253" t="e">
        <f>IF(F1="售价",ROUND(IF(D48="简单平均",AVERAGE(R48:V48),R48*F48+T48*H48+V48*J48),0),ROUND(IF(D48="简单平均",AVERAGE(R48:V48),R48*F48+T48*H48+V48*J48),1))</f>
        <v>#DIV/0!</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95</v>
      </c>
      <c r="E123" s="1432">
        <f t="shared" si="30"/>
        <v>90</v>
      </c>
      <c r="F123" s="1432">
        <f t="shared" si="30"/>
        <v>85</v>
      </c>
      <c r="G123" s="1432">
        <f t="shared" si="30"/>
        <v>80</v>
      </c>
      <c r="H123" s="1432">
        <f t="shared" si="30"/>
        <v>75</v>
      </c>
      <c r="I123" s="1432">
        <f t="shared" si="30"/>
        <v>70</v>
      </c>
      <c r="J123" s="1432">
        <f t="shared" si="30"/>
        <v>65</v>
      </c>
      <c r="K123" s="1432">
        <f t="shared" si="30"/>
        <v>60</v>
      </c>
      <c r="L123" s="1432">
        <f t="shared" si="30"/>
        <v>55</v>
      </c>
      <c r="M123" s="1474">
        <f t="shared" si="30"/>
        <v>50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307" t="s">
        <v>1172</v>
      </c>
      <c r="Q4" s="3308"/>
      <c r="R4" s="3311" t="s">
        <v>1168</v>
      </c>
      <c r="S4" s="3312"/>
      <c r="T4" s="3311" t="s">
        <v>1169</v>
      </c>
      <c r="U4" s="3312"/>
      <c r="V4" s="3313" t="s">
        <v>1170</v>
      </c>
      <c r="W4" s="3313"/>
      <c r="X4" s="1743"/>
      <c r="Y4" s="3311" t="s">
        <v>1172</v>
      </c>
      <c r="Z4" s="3312"/>
      <c r="AA4" s="3303" t="s">
        <v>1168</v>
      </c>
      <c r="AB4" s="3303" t="s">
        <v>1169</v>
      </c>
      <c r="AC4" s="3304" t="s">
        <v>1170</v>
      </c>
    </row>
    <row r="5" spans="1:29" ht="15">
      <c r="A5" s="1216"/>
      <c r="B5" s="1217"/>
      <c r="C5" s="3297" t="s">
        <v>1579</v>
      </c>
      <c r="D5" s="3229"/>
      <c r="E5" s="3298" t="s">
        <v>1580</v>
      </c>
      <c r="F5" s="3231"/>
      <c r="G5" s="3297" t="s">
        <v>1581</v>
      </c>
      <c r="H5" s="3229"/>
      <c r="I5" s="3297" t="s">
        <v>1582</v>
      </c>
      <c r="J5" s="3229"/>
      <c r="K5" s="1354"/>
      <c r="L5" s="1355"/>
      <c r="M5" s="1309"/>
      <c r="N5" s="1309"/>
      <c r="O5" s="1309"/>
      <c r="P5" s="3309"/>
      <c r="Q5" s="3260"/>
      <c r="R5" s="3265"/>
      <c r="S5" s="3266"/>
      <c r="T5" s="3265"/>
      <c r="U5" s="3266"/>
      <c r="V5" s="3240"/>
      <c r="W5" s="3240"/>
      <c r="X5" s="1397"/>
      <c r="Y5" s="3265"/>
      <c r="Z5" s="3266"/>
      <c r="AA5" s="3255"/>
      <c r="AB5" s="3255"/>
      <c r="AC5" s="3305"/>
    </row>
    <row r="6" spans="1:29" ht="15">
      <c r="A6" s="1218"/>
      <c r="B6" s="1219"/>
      <c r="C6" s="3232" t="s">
        <v>1175</v>
      </c>
      <c r="D6" s="3233"/>
      <c r="E6" s="3234" t="s">
        <v>1175</v>
      </c>
      <c r="F6" s="3235"/>
      <c r="G6" s="3232" t="s">
        <v>1175</v>
      </c>
      <c r="H6" s="3233"/>
      <c r="I6" s="3232" t="s">
        <v>1175</v>
      </c>
      <c r="J6" s="3233"/>
      <c r="K6" s="1354" t="s">
        <v>1176</v>
      </c>
      <c r="L6" s="1355"/>
      <c r="M6" s="1309"/>
      <c r="N6" s="1309"/>
      <c r="O6" s="1309"/>
      <c r="P6" s="3310"/>
      <c r="Q6" s="3262"/>
      <c r="R6" s="3265"/>
      <c r="S6" s="3266"/>
      <c r="T6" s="3267"/>
      <c r="U6" s="3268"/>
      <c r="V6" s="3240"/>
      <c r="W6" s="3240"/>
      <c r="X6" s="1397"/>
      <c r="Y6" s="3267"/>
      <c r="Z6" s="3268"/>
      <c r="AA6" s="3256"/>
      <c r="AB6" s="3256"/>
      <c r="AC6" s="3306"/>
    </row>
    <row r="7" spans="1:29" s="1195" customFormat="1" ht="15">
      <c r="A7" s="1220" t="s">
        <v>1177</v>
      </c>
      <c r="B7" s="1221"/>
      <c r="C7" s="1222">
        <f>'数据-取费表'!B2</f>
        <v>45422</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299"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299" t="s">
        <v>1183</v>
      </c>
      <c r="Q8" s="3238"/>
      <c r="R8" s="1398" t="s">
        <v>1179</v>
      </c>
      <c r="S8" s="1399">
        <f t="shared" si="0"/>
        <v>0</v>
      </c>
      <c r="T8" s="1398" t="s">
        <v>1179</v>
      </c>
      <c r="U8" s="1399">
        <f t="shared" si="1"/>
        <v>0</v>
      </c>
      <c r="V8" s="1398" t="s">
        <v>1179</v>
      </c>
      <c r="W8" s="1399">
        <f t="shared" si="2"/>
        <v>0</v>
      </c>
      <c r="X8" s="1400"/>
      <c r="Y8" s="3236" t="s">
        <v>1183</v>
      </c>
      <c r="Z8" s="3238"/>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41"/>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42" t="s">
        <v>1193</v>
      </c>
      <c r="Q15" s="983" t="str">
        <f t="shared" si="6"/>
        <v>办公集聚程度</v>
      </c>
      <c r="R15" s="1402" t="s">
        <v>1179</v>
      </c>
      <c r="S15" s="1403">
        <f t="shared" si="0"/>
        <v>100</v>
      </c>
      <c r="T15" s="1402" t="s">
        <v>1179</v>
      </c>
      <c r="U15" s="1403">
        <f t="shared" si="1"/>
        <v>100</v>
      </c>
      <c r="V15" s="1402" t="s">
        <v>1179</v>
      </c>
      <c r="W15" s="1403">
        <f t="shared" si="2"/>
        <v>100</v>
      </c>
      <c r="X15" s="1397"/>
      <c r="Y15" s="3247"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43"/>
      <c r="Q16" s="983"/>
      <c r="R16" s="1402"/>
      <c r="S16" s="1403"/>
      <c r="T16" s="1402"/>
      <c r="U16" s="1403"/>
      <c r="V16" s="1402"/>
      <c r="W16" s="1403"/>
      <c r="X16" s="1397"/>
      <c r="Y16" s="3248"/>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43"/>
      <c r="Q18" s="983"/>
      <c r="R18" s="1402"/>
      <c r="S18" s="1403"/>
      <c r="T18" s="1402"/>
      <c r="U18" s="1403"/>
      <c r="V18" s="1402"/>
      <c r="W18" s="1403"/>
      <c r="X18" s="1397"/>
      <c r="Y18" s="3248"/>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43"/>
      <c r="Q20" s="983"/>
      <c r="R20" s="1402"/>
      <c r="S20" s="1403"/>
      <c r="T20" s="1402"/>
      <c r="U20" s="1403"/>
      <c r="V20" s="1402"/>
      <c r="W20" s="1403"/>
      <c r="X20" s="1397"/>
      <c r="Y20" s="3248"/>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43"/>
      <c r="Q22" s="983"/>
      <c r="R22" s="1402"/>
      <c r="S22" s="1403"/>
      <c r="T22" s="1402"/>
      <c r="U22" s="1403"/>
      <c r="V22" s="1402"/>
      <c r="W22" s="1403"/>
      <c r="X22" s="1397"/>
      <c r="Y22" s="3248"/>
      <c r="Z22" s="1387"/>
      <c r="AA22" s="1387">
        <v>1</v>
      </c>
      <c r="AB22" s="1387">
        <v>1</v>
      </c>
      <c r="AC22" s="1746">
        <v>1</v>
      </c>
    </row>
    <row r="23" spans="1:29" ht="57">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43"/>
      <c r="Q23" s="983" t="str">
        <f>B23</f>
        <v>环境质量</v>
      </c>
      <c r="R23" s="1402" t="s">
        <v>1179</v>
      </c>
      <c r="S23" s="1403">
        <f>F23</f>
        <v>100</v>
      </c>
      <c r="T23" s="1402" t="s">
        <v>1179</v>
      </c>
      <c r="U23" s="1403">
        <f>H23</f>
        <v>100</v>
      </c>
      <c r="V23" s="1402" t="s">
        <v>1179</v>
      </c>
      <c r="W23" s="1403">
        <f>J23</f>
        <v>100</v>
      </c>
      <c r="X23" s="1397"/>
      <c r="Y23" s="3248"/>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43"/>
      <c r="Q24" s="983"/>
      <c r="R24" s="1402"/>
      <c r="S24" s="1403"/>
      <c r="T24" s="1402"/>
      <c r="U24" s="1403"/>
      <c r="V24" s="1402"/>
      <c r="W24" s="1403"/>
      <c r="X24" s="1397"/>
      <c r="Y24" s="3248"/>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43"/>
      <c r="Q25" s="983" t="str">
        <f>B25</f>
        <v>毗邻道路的类型与等级</v>
      </c>
      <c r="R25" s="1402" t="s">
        <v>1179</v>
      </c>
      <c r="S25" s="1403">
        <f>F25</f>
        <v>100</v>
      </c>
      <c r="T25" s="1402" t="s">
        <v>1179</v>
      </c>
      <c r="U25" s="1403">
        <f>H25</f>
        <v>100</v>
      </c>
      <c r="V25" s="1402" t="s">
        <v>1179</v>
      </c>
      <c r="W25" s="1403">
        <f>J25</f>
        <v>100</v>
      </c>
      <c r="X25" s="1397"/>
      <c r="Y25" s="3248"/>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43"/>
      <c r="Q26" s="983"/>
      <c r="R26" s="1402"/>
      <c r="S26" s="1403"/>
      <c r="T26" s="1402"/>
      <c r="U26" s="1403"/>
      <c r="V26" s="1402"/>
      <c r="W26" s="1403"/>
      <c r="X26" s="1397"/>
      <c r="Y26" s="3248"/>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43"/>
      <c r="Q27" s="983" t="str">
        <f t="shared" ref="Q27:Q47" si="11">B27</f>
        <v>楼层</v>
      </c>
      <c r="R27" s="1402" t="s">
        <v>1179</v>
      </c>
      <c r="S27" s="1403">
        <f>F27</f>
        <v>100</v>
      </c>
      <c r="T27" s="1402" t="s">
        <v>1179</v>
      </c>
      <c r="U27" s="1403">
        <f>H27</f>
        <v>100</v>
      </c>
      <c r="V27" s="1402" t="s">
        <v>1179</v>
      </c>
      <c r="W27" s="1403">
        <f>J27</f>
        <v>100</v>
      </c>
      <c r="X27" s="1397"/>
      <c r="Y27" s="3248"/>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43"/>
      <c r="Q28" s="1135" t="str">
        <f t="shared" si="11"/>
        <v>朝向</v>
      </c>
      <c r="R28" s="1398" t="s">
        <v>1179</v>
      </c>
      <c r="S28" s="1399">
        <f>F28</f>
        <v>100</v>
      </c>
      <c r="T28" s="1398" t="s">
        <v>1179</v>
      </c>
      <c r="U28" s="1399">
        <f>H28</f>
        <v>100</v>
      </c>
      <c r="V28" s="1398" t="s">
        <v>1179</v>
      </c>
      <c r="W28" s="1399">
        <f>J28</f>
        <v>100</v>
      </c>
      <c r="X28" s="1400"/>
      <c r="Y28" s="3248"/>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43"/>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48"/>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43"/>
      <c r="Q32" s="983">
        <f t="shared" si="11"/>
        <v>111</v>
      </c>
      <c r="R32" s="1402" t="s">
        <v>1179</v>
      </c>
      <c r="S32" s="1403">
        <f t="shared" si="12"/>
        <v>100</v>
      </c>
      <c r="T32" s="1402" t="s">
        <v>1179</v>
      </c>
      <c r="U32" s="1403">
        <f t="shared" si="13"/>
        <v>100</v>
      </c>
      <c r="V32" s="1402" t="s">
        <v>1179</v>
      </c>
      <c r="W32" s="1403">
        <f t="shared" si="14"/>
        <v>100</v>
      </c>
      <c r="X32" s="1397"/>
      <c r="Y32" s="3248"/>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44" t="s">
        <v>1211</v>
      </c>
      <c r="Q33" s="983" t="str">
        <f t="shared" si="11"/>
        <v>建筑类型</v>
      </c>
      <c r="R33" s="1402" t="s">
        <v>1179</v>
      </c>
      <c r="S33" s="1403">
        <f t="shared" si="12"/>
        <v>100</v>
      </c>
      <c r="T33" s="1402" t="s">
        <v>1179</v>
      </c>
      <c r="U33" s="1403">
        <f t="shared" si="13"/>
        <v>100</v>
      </c>
      <c r="V33" s="1402" t="s">
        <v>1179</v>
      </c>
      <c r="W33" s="1403">
        <f t="shared" si="14"/>
        <v>100</v>
      </c>
      <c r="X33" s="1397"/>
      <c r="Y33" s="3249"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45"/>
      <c r="Q34" s="1625" t="str">
        <f t="shared" si="11"/>
        <v>项目建筑规模</v>
      </c>
      <c r="R34" s="1404" t="s">
        <v>1179</v>
      </c>
      <c r="S34" s="1405" t="e">
        <f t="shared" si="12"/>
        <v>#N/A</v>
      </c>
      <c r="T34" s="1404" t="s">
        <v>1179</v>
      </c>
      <c r="U34" s="1405" t="e">
        <f t="shared" si="13"/>
        <v>#N/A</v>
      </c>
      <c r="V34" s="1404" t="s">
        <v>1179</v>
      </c>
      <c r="W34" s="1405" t="e">
        <f t="shared" si="14"/>
        <v>#N/A</v>
      </c>
      <c r="X34" s="1406"/>
      <c r="Y34" s="3249"/>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45"/>
      <c r="Q35" s="983" t="str">
        <f t="shared" si="11"/>
        <v>建筑结构</v>
      </c>
      <c r="R35" s="1402" t="s">
        <v>1179</v>
      </c>
      <c r="S35" s="1403">
        <f t="shared" si="12"/>
        <v>100</v>
      </c>
      <c r="T35" s="1402" t="s">
        <v>1179</v>
      </c>
      <c r="U35" s="1403">
        <f t="shared" si="13"/>
        <v>100</v>
      </c>
      <c r="V35" s="1402" t="s">
        <v>1179</v>
      </c>
      <c r="W35" s="1403">
        <f t="shared" si="14"/>
        <v>100</v>
      </c>
      <c r="X35" s="1397"/>
      <c r="Y35" s="3249"/>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45"/>
      <c r="Q36" s="983" t="str">
        <f t="shared" si="11"/>
        <v>公共部分装修</v>
      </c>
      <c r="R36" s="1402" t="s">
        <v>1179</v>
      </c>
      <c r="S36" s="1403">
        <f t="shared" si="12"/>
        <v>100</v>
      </c>
      <c r="T36" s="1402" t="s">
        <v>1179</v>
      </c>
      <c r="U36" s="1403">
        <f t="shared" si="13"/>
        <v>100</v>
      </c>
      <c r="V36" s="1402" t="s">
        <v>1179</v>
      </c>
      <c r="W36" s="1403">
        <f t="shared" si="14"/>
        <v>100</v>
      </c>
      <c r="X36" s="1397"/>
      <c r="Y36" s="3249"/>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45"/>
      <c r="Q37" s="983" t="str">
        <f t="shared" si="11"/>
        <v>成新度</v>
      </c>
      <c r="R37" s="1402" t="s">
        <v>1179</v>
      </c>
      <c r="S37" s="1403" t="e">
        <f t="shared" si="12"/>
        <v>#N/A</v>
      </c>
      <c r="T37" s="1402" t="s">
        <v>1179</v>
      </c>
      <c r="U37" s="1403" t="e">
        <f t="shared" si="13"/>
        <v>#N/A</v>
      </c>
      <c r="V37" s="1402" t="s">
        <v>1179</v>
      </c>
      <c r="W37" s="1403" t="e">
        <f t="shared" si="14"/>
        <v>#N/A</v>
      </c>
      <c r="X37" s="1397"/>
      <c r="Y37" s="3249"/>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45"/>
      <c r="Q38" s="1135" t="str">
        <f t="shared" si="11"/>
        <v>写字楼等级</v>
      </c>
      <c r="R38" s="1398" t="s">
        <v>1179</v>
      </c>
      <c r="S38" s="1399">
        <f t="shared" si="12"/>
        <v>100</v>
      </c>
      <c r="T38" s="1398" t="s">
        <v>1179</v>
      </c>
      <c r="U38" s="1399">
        <f t="shared" si="13"/>
        <v>100</v>
      </c>
      <c r="V38" s="1398" t="s">
        <v>1179</v>
      </c>
      <c r="W38" s="1399">
        <f t="shared" si="14"/>
        <v>100</v>
      </c>
      <c r="X38" s="1400"/>
      <c r="Y38" s="3249"/>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45" t="s">
        <v>1211</v>
      </c>
      <c r="Q39" s="983" t="str">
        <f t="shared" si="11"/>
        <v>物业管理</v>
      </c>
      <c r="R39" s="1402" t="s">
        <v>1179</v>
      </c>
      <c r="S39" s="1403">
        <f t="shared" si="12"/>
        <v>100</v>
      </c>
      <c r="T39" s="1402" t="s">
        <v>1179</v>
      </c>
      <c r="U39" s="1403">
        <f t="shared" si="13"/>
        <v>100</v>
      </c>
      <c r="V39" s="1402" t="s">
        <v>1179</v>
      </c>
      <c r="W39" s="1403">
        <f t="shared" si="14"/>
        <v>100</v>
      </c>
      <c r="X39" s="1397"/>
      <c r="Y39" s="3249"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45"/>
      <c r="Q40" s="983" t="str">
        <f t="shared" si="11"/>
        <v>市政基础设施</v>
      </c>
      <c r="R40" s="1402" t="s">
        <v>1179</v>
      </c>
      <c r="S40" s="1403">
        <f t="shared" si="12"/>
        <v>100</v>
      </c>
      <c r="T40" s="1402" t="s">
        <v>1179</v>
      </c>
      <c r="U40" s="1403">
        <f t="shared" si="13"/>
        <v>100</v>
      </c>
      <c r="V40" s="1402" t="s">
        <v>1179</v>
      </c>
      <c r="W40" s="1403">
        <f t="shared" si="14"/>
        <v>100</v>
      </c>
      <c r="X40" s="1397"/>
      <c r="Y40" s="3249"/>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45"/>
      <c r="Q41" s="983" t="str">
        <f t="shared" si="11"/>
        <v>层高</v>
      </c>
      <c r="R41" s="1402" t="s">
        <v>1179</v>
      </c>
      <c r="S41" s="1403">
        <f t="shared" si="12"/>
        <v>100</v>
      </c>
      <c r="T41" s="1402" t="s">
        <v>1179</v>
      </c>
      <c r="U41" s="1403">
        <f t="shared" si="13"/>
        <v>100</v>
      </c>
      <c r="V41" s="1402" t="s">
        <v>1179</v>
      </c>
      <c r="W41" s="1403">
        <f t="shared" si="14"/>
        <v>100</v>
      </c>
      <c r="X41" s="1397"/>
      <c r="Y41" s="3249"/>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45"/>
      <c r="Q42" s="1625" t="str">
        <f t="shared" si="11"/>
        <v>单套建筑面积</v>
      </c>
      <c r="R42" s="1404" t="s">
        <v>1179</v>
      </c>
      <c r="S42" s="1405">
        <f t="shared" si="12"/>
        <v>100</v>
      </c>
      <c r="T42" s="1404" t="s">
        <v>1179</v>
      </c>
      <c r="U42" s="1405">
        <f t="shared" si="13"/>
        <v>100</v>
      </c>
      <c r="V42" s="1404" t="s">
        <v>1179</v>
      </c>
      <c r="W42" s="1405">
        <f t="shared" si="14"/>
        <v>100</v>
      </c>
      <c r="X42" s="1406"/>
      <c r="Y42" s="3249"/>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45"/>
      <c r="Q43" s="983" t="str">
        <f t="shared" si="11"/>
        <v>内部装修</v>
      </c>
      <c r="R43" s="1402" t="s">
        <v>1179</v>
      </c>
      <c r="S43" s="1403">
        <f t="shared" si="12"/>
        <v>100</v>
      </c>
      <c r="T43" s="1402" t="s">
        <v>1179</v>
      </c>
      <c r="U43" s="1403">
        <f t="shared" si="13"/>
        <v>100</v>
      </c>
      <c r="V43" s="1402" t="s">
        <v>1179</v>
      </c>
      <c r="W43" s="1403">
        <f t="shared" si="14"/>
        <v>100</v>
      </c>
      <c r="X43" s="1397"/>
      <c r="Y43" s="3249"/>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45"/>
      <c r="Q44" s="983" t="str">
        <f t="shared" si="11"/>
        <v>内部装修维护情况</v>
      </c>
      <c r="R44" s="1402" t="s">
        <v>1179</v>
      </c>
      <c r="S44" s="1403">
        <f t="shared" si="12"/>
        <v>100</v>
      </c>
      <c r="T44" s="1402" t="s">
        <v>1179</v>
      </c>
      <c r="U44" s="1403">
        <f t="shared" si="13"/>
        <v>100</v>
      </c>
      <c r="V44" s="1402" t="s">
        <v>1179</v>
      </c>
      <c r="W44" s="1403">
        <f t="shared" si="14"/>
        <v>100</v>
      </c>
      <c r="X44" s="1397"/>
      <c r="Y44" s="3249"/>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45"/>
      <c r="Q45" s="1135">
        <f t="shared" si="11"/>
        <v>111</v>
      </c>
      <c r="R45" s="1398" t="s">
        <v>1179</v>
      </c>
      <c r="S45" s="1399">
        <f t="shared" si="12"/>
        <v>100</v>
      </c>
      <c r="T45" s="1398" t="s">
        <v>1179</v>
      </c>
      <c r="U45" s="1399">
        <f t="shared" si="13"/>
        <v>100</v>
      </c>
      <c r="V45" s="1398" t="s">
        <v>1179</v>
      </c>
      <c r="W45" s="1399">
        <f t="shared" si="14"/>
        <v>100</v>
      </c>
      <c r="X45" s="1400"/>
      <c r="Y45" s="3249"/>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45"/>
      <c r="Q46" s="983">
        <f t="shared" si="11"/>
        <v>111</v>
      </c>
      <c r="R46" s="1402" t="s">
        <v>1179</v>
      </c>
      <c r="S46" s="1403">
        <f t="shared" si="12"/>
        <v>100</v>
      </c>
      <c r="T46" s="1402" t="s">
        <v>1179</v>
      </c>
      <c r="U46" s="1403">
        <f t="shared" si="13"/>
        <v>100</v>
      </c>
      <c r="V46" s="1402" t="s">
        <v>1179</v>
      </c>
      <c r="W46" s="1403">
        <f t="shared" si="14"/>
        <v>100</v>
      </c>
      <c r="X46" s="1397"/>
      <c r="Y46" s="3249"/>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46"/>
      <c r="Q47" s="983">
        <f t="shared" si="11"/>
        <v>111</v>
      </c>
      <c r="R47" s="1402" t="s">
        <v>1179</v>
      </c>
      <c r="S47" s="1403">
        <f t="shared" si="12"/>
        <v>100</v>
      </c>
      <c r="T47" s="1402" t="s">
        <v>1179</v>
      </c>
      <c r="U47" s="1403">
        <f t="shared" si="13"/>
        <v>100</v>
      </c>
      <c r="V47" s="1402" t="s">
        <v>1179</v>
      </c>
      <c r="W47" s="1403">
        <f t="shared" si="14"/>
        <v>100</v>
      </c>
      <c r="X47" s="1397"/>
      <c r="Y47" s="3250"/>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41" t="str">
        <f>A48</f>
        <v>成交单价（元/平方米）</v>
      </c>
      <c r="Q48" s="3239"/>
      <c r="R48" s="3240">
        <f>E48</f>
        <v>0</v>
      </c>
      <c r="S48" s="3240"/>
      <c r="T48" s="3240">
        <f>G48</f>
        <v>0</v>
      </c>
      <c r="U48" s="3240"/>
      <c r="V48" s="3240">
        <f>I48</f>
        <v>0</v>
      </c>
      <c r="W48" s="3240"/>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4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300" t="str">
        <f>A50</f>
        <v>估价对象XX用房的比较价值（楼面单价，元/平方米）</v>
      </c>
      <c r="Q50" s="3301"/>
      <c r="R50" s="3302" t="e">
        <f>IF(F1="售价",ROUND(IF(D49="简单平均",AVERAGE(R49:V49),R49*F49+T49*H49+V49*J49),0),ROUND(IF(D49="简单平均",AVERAGE(R49:V49),R49*F49+T49*H49+V49*J49),1))</f>
        <v>#DIV/0!</v>
      </c>
      <c r="S50" s="3302"/>
      <c r="T50" s="3302"/>
      <c r="U50" s="3302"/>
      <c r="V50" s="3302"/>
      <c r="W50" s="3302"/>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2024-5</v>
      </c>
      <c r="D59" s="1604">
        <f>EDATE(C59,-1)</f>
        <v>45383</v>
      </c>
      <c r="E59" s="1604">
        <f>EDATE(D59,-1)</f>
        <v>45352</v>
      </c>
      <c r="F59" s="1604">
        <f t="shared" ref="F59:O59" si="16">EDATE(E59,-1)</f>
        <v>45323</v>
      </c>
      <c r="G59" s="1604">
        <f t="shared" si="16"/>
        <v>45292</v>
      </c>
      <c r="H59" s="1604">
        <f t="shared" si="16"/>
        <v>45261</v>
      </c>
      <c r="I59" s="1604">
        <f t="shared" si="16"/>
        <v>45231</v>
      </c>
      <c r="J59" s="1604">
        <f t="shared" si="16"/>
        <v>45200</v>
      </c>
      <c r="K59" s="1604">
        <f t="shared" si="16"/>
        <v>45170</v>
      </c>
      <c r="L59" s="1604">
        <f t="shared" si="16"/>
        <v>45139</v>
      </c>
      <c r="M59" s="1604">
        <f t="shared" si="16"/>
        <v>45108</v>
      </c>
      <c r="N59" s="1604">
        <f t="shared" si="16"/>
        <v>45078</v>
      </c>
      <c r="O59" s="1604">
        <f t="shared" si="16"/>
        <v>45047</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1837.06</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705"/>
      <c r="M4" s="1340"/>
      <c r="N4" s="1340"/>
      <c r="O4" s="1340"/>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705"/>
      <c r="M5" s="1340"/>
      <c r="N5" s="1340"/>
      <c r="O5" s="1340"/>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705"/>
      <c r="M6" s="1340"/>
      <c r="N6" s="1340"/>
      <c r="O6" s="1340"/>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39"/>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47" t="s">
        <v>1193</v>
      </c>
      <c r="Q15" s="983" t="str">
        <f t="shared" si="6"/>
        <v>产业集聚程度</v>
      </c>
      <c r="R15" s="1402" t="s">
        <v>1179</v>
      </c>
      <c r="S15" s="1403">
        <f t="shared" si="0"/>
        <v>100</v>
      </c>
      <c r="T15" s="1402" t="s">
        <v>1179</v>
      </c>
      <c r="U15" s="1403">
        <f t="shared" si="1"/>
        <v>100</v>
      </c>
      <c r="V15" s="1402" t="s">
        <v>1179</v>
      </c>
      <c r="W15" s="1403">
        <f t="shared" si="2"/>
        <v>100</v>
      </c>
      <c r="X15" s="1397"/>
      <c r="Y15" s="3247"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48"/>
      <c r="Q16" s="983"/>
      <c r="R16" s="1402"/>
      <c r="S16" s="1403"/>
      <c r="T16" s="1402"/>
      <c r="U16" s="1403"/>
      <c r="V16" s="1402"/>
      <c r="W16" s="1403"/>
      <c r="X16" s="1397"/>
      <c r="Y16" s="3248"/>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48"/>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48"/>
      <c r="Q18" s="983"/>
      <c r="R18" s="1402"/>
      <c r="S18" s="1403"/>
      <c r="T18" s="1402"/>
      <c r="U18" s="1403"/>
      <c r="V18" s="1402"/>
      <c r="W18" s="1403"/>
      <c r="X18" s="1397"/>
      <c r="Y18" s="3248"/>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48"/>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48"/>
      <c r="Q20" s="983"/>
      <c r="R20" s="1402"/>
      <c r="S20" s="1403"/>
      <c r="T20" s="1402"/>
      <c r="U20" s="1403"/>
      <c r="V20" s="1402"/>
      <c r="W20" s="1403"/>
      <c r="X20" s="1397"/>
      <c r="Y20" s="3248"/>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48"/>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48"/>
      <c r="Q22" s="983"/>
      <c r="R22" s="1402"/>
      <c r="S22" s="1403"/>
      <c r="T22" s="1402"/>
      <c r="U22" s="1403"/>
      <c r="V22" s="1402"/>
      <c r="W22" s="1403"/>
      <c r="X22" s="1397"/>
      <c r="Y22" s="3248"/>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48"/>
      <c r="Q23" s="983" t="str">
        <f>B23</f>
        <v>环境质量</v>
      </c>
      <c r="R23" s="1402" t="s">
        <v>1179</v>
      </c>
      <c r="S23" s="1403">
        <f>F23</f>
        <v>100</v>
      </c>
      <c r="T23" s="1402" t="s">
        <v>1179</v>
      </c>
      <c r="U23" s="1403">
        <f>H23</f>
        <v>100</v>
      </c>
      <c r="V23" s="1402" t="s">
        <v>1179</v>
      </c>
      <c r="W23" s="1403">
        <f>J23</f>
        <v>100</v>
      </c>
      <c r="X23" s="1397"/>
      <c r="Y23" s="3248"/>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48"/>
      <c r="Q24" s="983"/>
      <c r="R24" s="1402"/>
      <c r="S24" s="1403"/>
      <c r="T24" s="1402"/>
      <c r="U24" s="1403"/>
      <c r="V24" s="1402"/>
      <c r="W24" s="1403"/>
      <c r="X24" s="1397"/>
      <c r="Y24" s="3248"/>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48"/>
      <c r="Q25" s="983">
        <f>B25</f>
        <v>111</v>
      </c>
      <c r="R25" s="1402" t="s">
        <v>1179</v>
      </c>
      <c r="S25" s="1403">
        <f>F25</f>
        <v>100</v>
      </c>
      <c r="T25" s="1402" t="s">
        <v>1179</v>
      </c>
      <c r="U25" s="1403">
        <f>H25</f>
        <v>100</v>
      </c>
      <c r="V25" s="1402" t="s">
        <v>1179</v>
      </c>
      <c r="W25" s="1403">
        <f>J25</f>
        <v>100</v>
      </c>
      <c r="X25" s="1397"/>
      <c r="Y25" s="3248"/>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48"/>
      <c r="Q26" s="983">
        <f t="shared" ref="Q26:Q40" si="11">B26</f>
        <v>111</v>
      </c>
      <c r="R26" s="1402" t="s">
        <v>1179</v>
      </c>
      <c r="S26" s="1403">
        <f>F26</f>
        <v>100</v>
      </c>
      <c r="T26" s="1402" t="s">
        <v>1179</v>
      </c>
      <c r="U26" s="1403">
        <f>H26</f>
        <v>100</v>
      </c>
      <c r="V26" s="1402" t="s">
        <v>1179</v>
      </c>
      <c r="W26" s="1403">
        <f>J26</f>
        <v>100</v>
      </c>
      <c r="X26" s="1397"/>
      <c r="Y26" s="3248"/>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48"/>
      <c r="Q27" s="1135">
        <f t="shared" si="11"/>
        <v>111</v>
      </c>
      <c r="R27" s="1398" t="s">
        <v>1179</v>
      </c>
      <c r="S27" s="1399">
        <f>F27</f>
        <v>100</v>
      </c>
      <c r="T27" s="1398" t="s">
        <v>1179</v>
      </c>
      <c r="U27" s="1399">
        <f>H27</f>
        <v>100</v>
      </c>
      <c r="V27" s="1398" t="s">
        <v>1179</v>
      </c>
      <c r="W27" s="1399">
        <f>J27</f>
        <v>100</v>
      </c>
      <c r="X27" s="1400"/>
      <c r="Y27" s="3248"/>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48"/>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48"/>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314" t="s">
        <v>1211</v>
      </c>
      <c r="Q29" s="983" t="str">
        <f t="shared" si="11"/>
        <v>建筑类型</v>
      </c>
      <c r="R29" s="1402" t="s">
        <v>1179</v>
      </c>
      <c r="S29" s="1403">
        <f t="shared" si="12"/>
        <v>100</v>
      </c>
      <c r="T29" s="1402" t="s">
        <v>1179</v>
      </c>
      <c r="U29" s="1403">
        <f t="shared" si="13"/>
        <v>100</v>
      </c>
      <c r="V29" s="1402" t="s">
        <v>1179</v>
      </c>
      <c r="W29" s="1403">
        <f t="shared" si="14"/>
        <v>100</v>
      </c>
      <c r="X29" s="1397"/>
      <c r="Y29" s="3249"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49"/>
      <c r="Q30" s="1625" t="str">
        <f t="shared" si="11"/>
        <v>项目建筑规模</v>
      </c>
      <c r="R30" s="1404" t="s">
        <v>1179</v>
      </c>
      <c r="S30" s="1405" t="e">
        <f t="shared" si="12"/>
        <v>#N/A</v>
      </c>
      <c r="T30" s="1404" t="s">
        <v>1179</v>
      </c>
      <c r="U30" s="1405" t="e">
        <f t="shared" si="13"/>
        <v>#N/A</v>
      </c>
      <c r="V30" s="1404" t="s">
        <v>1179</v>
      </c>
      <c r="W30" s="1405" t="e">
        <f t="shared" si="14"/>
        <v>#N/A</v>
      </c>
      <c r="X30" s="1406"/>
      <c r="Y30" s="3249"/>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49"/>
      <c r="Q31" s="983" t="str">
        <f t="shared" si="11"/>
        <v>建筑结构</v>
      </c>
      <c r="R31" s="1402" t="s">
        <v>1179</v>
      </c>
      <c r="S31" s="1403">
        <f t="shared" si="12"/>
        <v>100</v>
      </c>
      <c r="T31" s="1402" t="s">
        <v>1179</v>
      </c>
      <c r="U31" s="1403">
        <f t="shared" si="13"/>
        <v>100</v>
      </c>
      <c r="V31" s="1402" t="s">
        <v>1179</v>
      </c>
      <c r="W31" s="1403">
        <f t="shared" si="14"/>
        <v>100</v>
      </c>
      <c r="X31" s="1397"/>
      <c r="Y31" s="3249"/>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49"/>
      <c r="Q32" s="983" t="str">
        <f t="shared" si="11"/>
        <v>公共部分装修</v>
      </c>
      <c r="R32" s="1402" t="s">
        <v>1179</v>
      </c>
      <c r="S32" s="1403">
        <f t="shared" si="12"/>
        <v>100</v>
      </c>
      <c r="T32" s="1402" t="s">
        <v>1179</v>
      </c>
      <c r="U32" s="1403">
        <f t="shared" si="13"/>
        <v>100</v>
      </c>
      <c r="V32" s="1402" t="s">
        <v>1179</v>
      </c>
      <c r="W32" s="1403">
        <f t="shared" si="14"/>
        <v>100</v>
      </c>
      <c r="X32" s="1397"/>
      <c r="Y32" s="3249"/>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49"/>
      <c r="Q33" s="983" t="str">
        <f t="shared" si="11"/>
        <v>成新度</v>
      </c>
      <c r="R33" s="1402" t="s">
        <v>1179</v>
      </c>
      <c r="S33" s="1403" t="e">
        <f t="shared" si="12"/>
        <v>#N/A</v>
      </c>
      <c r="T33" s="1402" t="s">
        <v>1179</v>
      </c>
      <c r="U33" s="1403" t="e">
        <f t="shared" si="13"/>
        <v>#N/A</v>
      </c>
      <c r="V33" s="1402" t="s">
        <v>1179</v>
      </c>
      <c r="W33" s="1403" t="e">
        <f t="shared" si="14"/>
        <v>#N/A</v>
      </c>
      <c r="X33" s="1397"/>
      <c r="Y33" s="3249"/>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49"/>
      <c r="Q34" s="1135" t="str">
        <f t="shared" si="11"/>
        <v>物业管理</v>
      </c>
      <c r="R34" s="1398" t="s">
        <v>1179</v>
      </c>
      <c r="S34" s="1399">
        <f t="shared" si="12"/>
        <v>100</v>
      </c>
      <c r="T34" s="1398" t="s">
        <v>1179</v>
      </c>
      <c r="U34" s="1399">
        <f t="shared" si="13"/>
        <v>100</v>
      </c>
      <c r="V34" s="1398" t="s">
        <v>1179</v>
      </c>
      <c r="W34" s="1399">
        <f t="shared" si="14"/>
        <v>100</v>
      </c>
      <c r="X34" s="1400"/>
      <c r="Y34" s="3249"/>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49" t="s">
        <v>1211</v>
      </c>
      <c r="Q35" s="983" t="str">
        <f t="shared" si="11"/>
        <v>市政基础设施</v>
      </c>
      <c r="R35" s="1402" t="s">
        <v>1179</v>
      </c>
      <c r="S35" s="1403">
        <f t="shared" si="12"/>
        <v>100</v>
      </c>
      <c r="T35" s="1402" t="s">
        <v>1179</v>
      </c>
      <c r="U35" s="1403">
        <f t="shared" si="13"/>
        <v>100</v>
      </c>
      <c r="V35" s="1402" t="s">
        <v>1179</v>
      </c>
      <c r="W35" s="1403">
        <f t="shared" si="14"/>
        <v>100</v>
      </c>
      <c r="X35" s="1397"/>
      <c r="Y35" s="3249"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49"/>
      <c r="Q36" s="983" t="str">
        <f t="shared" si="11"/>
        <v>内部装修</v>
      </c>
      <c r="R36" s="1402" t="s">
        <v>1179</v>
      </c>
      <c r="S36" s="1403">
        <f t="shared" si="12"/>
        <v>100</v>
      </c>
      <c r="T36" s="1402" t="s">
        <v>1179</v>
      </c>
      <c r="U36" s="1403">
        <f t="shared" si="13"/>
        <v>100</v>
      </c>
      <c r="V36" s="1402" t="s">
        <v>1179</v>
      </c>
      <c r="W36" s="1403">
        <f t="shared" si="14"/>
        <v>100</v>
      </c>
      <c r="X36" s="1397"/>
      <c r="Y36" s="3249"/>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49"/>
      <c r="Q37" s="983" t="str">
        <f t="shared" si="11"/>
        <v>内部装修状况</v>
      </c>
      <c r="R37" s="1402" t="s">
        <v>1179</v>
      </c>
      <c r="S37" s="1403">
        <f t="shared" si="12"/>
        <v>100</v>
      </c>
      <c r="T37" s="1402" t="s">
        <v>1179</v>
      </c>
      <c r="U37" s="1403">
        <f t="shared" si="13"/>
        <v>100</v>
      </c>
      <c r="V37" s="1402" t="s">
        <v>1179</v>
      </c>
      <c r="W37" s="1403">
        <f t="shared" si="14"/>
        <v>100</v>
      </c>
      <c r="X37" s="1397"/>
      <c r="Y37" s="3249"/>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49"/>
      <c r="Q38" s="1625">
        <f t="shared" si="11"/>
        <v>111</v>
      </c>
      <c r="R38" s="1404" t="s">
        <v>1179</v>
      </c>
      <c r="S38" s="1405">
        <f t="shared" si="12"/>
        <v>100</v>
      </c>
      <c r="T38" s="1404" t="s">
        <v>1179</v>
      </c>
      <c r="U38" s="1405">
        <f t="shared" si="13"/>
        <v>100</v>
      </c>
      <c r="V38" s="1404" t="s">
        <v>1179</v>
      </c>
      <c r="W38" s="1405">
        <f t="shared" si="14"/>
        <v>100</v>
      </c>
      <c r="X38" s="1406"/>
      <c r="Y38" s="3249"/>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49"/>
      <c r="Q39" s="983">
        <f t="shared" si="11"/>
        <v>111</v>
      </c>
      <c r="R39" s="1402" t="s">
        <v>1179</v>
      </c>
      <c r="S39" s="1403">
        <f t="shared" si="12"/>
        <v>100</v>
      </c>
      <c r="T39" s="1402" t="s">
        <v>1179</v>
      </c>
      <c r="U39" s="1403">
        <f t="shared" si="13"/>
        <v>100</v>
      </c>
      <c r="V39" s="1402" t="s">
        <v>1179</v>
      </c>
      <c r="W39" s="1403">
        <f t="shared" si="14"/>
        <v>100</v>
      </c>
      <c r="X39" s="1397"/>
      <c r="Y39" s="3249"/>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50"/>
      <c r="Q40" s="983">
        <f t="shared" si="11"/>
        <v>111</v>
      </c>
      <c r="R40" s="1402" t="s">
        <v>1179</v>
      </c>
      <c r="S40" s="1403">
        <f t="shared" si="12"/>
        <v>100</v>
      </c>
      <c r="T40" s="1402" t="s">
        <v>1179</v>
      </c>
      <c r="U40" s="1403">
        <f t="shared" si="13"/>
        <v>100</v>
      </c>
      <c r="V40" s="1402" t="s">
        <v>1179</v>
      </c>
      <c r="W40" s="1403">
        <f t="shared" si="14"/>
        <v>100</v>
      </c>
      <c r="X40" s="1397"/>
      <c r="Y40" s="3250"/>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39" t="str">
        <f>A41</f>
        <v>成交单价（元/平方米）</v>
      </c>
      <c r="Q41" s="3239"/>
      <c r="R41" s="3240">
        <f>E41</f>
        <v>0</v>
      </c>
      <c r="S41" s="3240"/>
      <c r="T41" s="3240">
        <f>G41</f>
        <v>0</v>
      </c>
      <c r="U41" s="3240"/>
      <c r="V41" s="3240">
        <f>I41</f>
        <v>0</v>
      </c>
      <c r="W41" s="3240"/>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51" t="str">
        <f>A43</f>
        <v>估价对象XX用房的比较价值（楼面单价，元/平方米）</v>
      </c>
      <c r="Q43" s="3252"/>
      <c r="R43" s="3253" t="e">
        <f>IF(F1="售价",ROUND(IF(D42="简单平均",AVERAGE(R42:V42),R42*F42+T42*H42+V42*J42),0),ROUND(IF(D42="简单平均",AVERAGE(R42:V42),R42*F42+T42*H42+V42*J42),1))</f>
        <v>#DIV/0!</v>
      </c>
      <c r="S43" s="3253"/>
      <c r="T43" s="3253"/>
      <c r="U43" s="3253"/>
      <c r="V43" s="3253"/>
      <c r="W43" s="3253"/>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2024-5</v>
      </c>
      <c r="D52" s="1604">
        <f>EDATE(C52,-1)</f>
        <v>45383</v>
      </c>
      <c r="E52" s="1604">
        <f t="shared" ref="E52:O52" si="16">EDATE(D52,-1)</f>
        <v>45352</v>
      </c>
      <c r="F52" s="1604">
        <f t="shared" si="16"/>
        <v>45323</v>
      </c>
      <c r="G52" s="1604">
        <f t="shared" si="16"/>
        <v>45292</v>
      </c>
      <c r="H52" s="1604">
        <f t="shared" si="16"/>
        <v>45261</v>
      </c>
      <c r="I52" s="1604">
        <f t="shared" si="16"/>
        <v>45231</v>
      </c>
      <c r="J52" s="1604">
        <f t="shared" si="16"/>
        <v>45200</v>
      </c>
      <c r="K52" s="1604">
        <f t="shared" si="16"/>
        <v>45170</v>
      </c>
      <c r="L52" s="1604">
        <f t="shared" si="16"/>
        <v>45139</v>
      </c>
      <c r="M52" s="1604">
        <f t="shared" si="16"/>
        <v>45108</v>
      </c>
      <c r="N52" s="1604">
        <f t="shared" si="16"/>
        <v>45078</v>
      </c>
      <c r="O52" s="1604">
        <f t="shared" si="16"/>
        <v>45047</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36" t="s">
        <v>1178</v>
      </c>
      <c r="Q7" s="3237"/>
      <c r="R7" s="1398" t="s">
        <v>1179</v>
      </c>
      <c r="S7" s="1399">
        <f t="shared" ref="S7:S14" si="0">F7</f>
        <v>0</v>
      </c>
      <c r="T7" s="1398" t="s">
        <v>1179</v>
      </c>
      <c r="U7" s="1399">
        <f t="shared" ref="U7:U14" si="1">H7</f>
        <v>0</v>
      </c>
      <c r="V7" s="1398" t="s">
        <v>1179</v>
      </c>
      <c r="W7" s="1399">
        <f t="shared" ref="W7:W14"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39" t="s">
        <v>1186</v>
      </c>
      <c r="Q9" s="1135" t="str">
        <f t="shared" ref="Q9:Q14" si="6">B9</f>
        <v>用途</v>
      </c>
      <c r="R9" s="1398" t="s">
        <v>1179</v>
      </c>
      <c r="S9" s="1399">
        <f t="shared" si="0"/>
        <v>100</v>
      </c>
      <c r="T9" s="1398" t="s">
        <v>1179</v>
      </c>
      <c r="U9" s="1399">
        <f t="shared" si="1"/>
        <v>100</v>
      </c>
      <c r="V9" s="1398" t="s">
        <v>1179</v>
      </c>
      <c r="W9" s="1399">
        <f t="shared" si="2"/>
        <v>100</v>
      </c>
      <c r="X9" s="1400"/>
      <c r="Y9" s="3158"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39"/>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39"/>
      <c r="Q11" s="1135">
        <f t="shared" si="6"/>
        <v>111</v>
      </c>
      <c r="R11" s="1398" t="s">
        <v>1179</v>
      </c>
      <c r="S11" s="1399">
        <f t="shared" si="0"/>
        <v>100</v>
      </c>
      <c r="T11" s="1398" t="s">
        <v>1179</v>
      </c>
      <c r="U11" s="1399">
        <f t="shared" si="1"/>
        <v>100</v>
      </c>
      <c r="V11" s="1398" t="s">
        <v>1179</v>
      </c>
      <c r="W11" s="1399">
        <f t="shared" si="2"/>
        <v>100</v>
      </c>
      <c r="X11" s="1400"/>
      <c r="Y11" s="3158"/>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47" t="s">
        <v>1193</v>
      </c>
      <c r="Q14" s="983" t="str">
        <f t="shared" si="6"/>
        <v>交通便捷度</v>
      </c>
      <c r="R14" s="1402" t="s">
        <v>1179</v>
      </c>
      <c r="S14" s="1403">
        <f t="shared" si="0"/>
        <v>100</v>
      </c>
      <c r="T14" s="1402" t="s">
        <v>1179</v>
      </c>
      <c r="U14" s="1403">
        <f t="shared" si="1"/>
        <v>100</v>
      </c>
      <c r="V14" s="1402" t="s">
        <v>1179</v>
      </c>
      <c r="W14" s="1403">
        <f t="shared" si="2"/>
        <v>100</v>
      </c>
      <c r="X14" s="1397"/>
      <c r="Y14" s="3247"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48"/>
      <c r="Q15" s="983"/>
      <c r="R15" s="1402"/>
      <c r="S15" s="1403"/>
      <c r="T15" s="1402"/>
      <c r="U15" s="1403"/>
      <c r="V15" s="1402"/>
      <c r="W15" s="1403"/>
      <c r="X15" s="1397"/>
      <c r="Y15" s="3248"/>
      <c r="Z15" s="1387"/>
      <c r="AA15" s="1387">
        <v>1</v>
      </c>
      <c r="AB15" s="1387">
        <v>1</v>
      </c>
      <c r="AC15" s="1387">
        <v>1</v>
      </c>
    </row>
    <row r="16" spans="1:29" ht="313.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48"/>
      <c r="Q16" s="983" t="str">
        <f>B16</f>
        <v>公共配套设施</v>
      </c>
      <c r="R16" s="1402" t="s">
        <v>1179</v>
      </c>
      <c r="S16" s="1403">
        <f>F16</f>
        <v>100</v>
      </c>
      <c r="T16" s="1402" t="s">
        <v>1179</v>
      </c>
      <c r="U16" s="1403">
        <f>H16</f>
        <v>100</v>
      </c>
      <c r="V16" s="1402" t="s">
        <v>1179</v>
      </c>
      <c r="W16" s="1403">
        <f>J16</f>
        <v>100</v>
      </c>
      <c r="X16" s="1397"/>
      <c r="Y16" s="3248"/>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48"/>
      <c r="Q17" s="983"/>
      <c r="R17" s="1402"/>
      <c r="S17" s="1403"/>
      <c r="T17" s="1402"/>
      <c r="U17" s="1403"/>
      <c r="V17" s="1402"/>
      <c r="W17" s="1403"/>
      <c r="X17" s="1397"/>
      <c r="Y17" s="3248"/>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48"/>
      <c r="Q18" s="983" t="str">
        <f>B18</f>
        <v>基础设施水平</v>
      </c>
      <c r="R18" s="1402" t="s">
        <v>1179</v>
      </c>
      <c r="S18" s="1403">
        <f>F18</f>
        <v>100</v>
      </c>
      <c r="T18" s="1402" t="s">
        <v>1179</v>
      </c>
      <c r="U18" s="1403">
        <f>H18</f>
        <v>100</v>
      </c>
      <c r="V18" s="1402" t="s">
        <v>1179</v>
      </c>
      <c r="W18" s="1403">
        <f>J18</f>
        <v>100</v>
      </c>
      <c r="X18" s="1397"/>
      <c r="Y18" s="3248"/>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48"/>
      <c r="Q19" s="983"/>
      <c r="R19" s="1402"/>
      <c r="S19" s="1403"/>
      <c r="T19" s="1402"/>
      <c r="U19" s="1403"/>
      <c r="V19" s="1402"/>
      <c r="W19" s="1403"/>
      <c r="X19" s="1397"/>
      <c r="Y19" s="3248"/>
      <c r="Z19" s="1387"/>
      <c r="AA19" s="1387">
        <v>1</v>
      </c>
      <c r="AB19" s="1387">
        <v>1</v>
      </c>
      <c r="AC19" s="1387">
        <v>1</v>
      </c>
    </row>
    <row r="20" spans="1:29" ht="71.2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48"/>
      <c r="Q20" s="983" t="str">
        <f>B20</f>
        <v>自然及人文环境</v>
      </c>
      <c r="R20" s="1402" t="s">
        <v>1179</v>
      </c>
      <c r="S20" s="1403">
        <f>F20</f>
        <v>100</v>
      </c>
      <c r="T20" s="1402" t="s">
        <v>1179</v>
      </c>
      <c r="U20" s="1403">
        <f>H20</f>
        <v>100</v>
      </c>
      <c r="V20" s="1402" t="s">
        <v>1179</v>
      </c>
      <c r="W20" s="1403">
        <f>J20</f>
        <v>100</v>
      </c>
      <c r="X20" s="1397"/>
      <c r="Y20" s="3248"/>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48"/>
      <c r="Q21" s="983"/>
      <c r="R21" s="1402"/>
      <c r="S21" s="1403"/>
      <c r="T21" s="1402"/>
      <c r="U21" s="1403"/>
      <c r="V21" s="1402"/>
      <c r="W21" s="1403"/>
      <c r="X21" s="1397"/>
      <c r="Y21" s="3248"/>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48"/>
      <c r="Q22" s="983" t="str">
        <f>B22</f>
        <v>楼层</v>
      </c>
      <c r="R22" s="1402" t="s">
        <v>1179</v>
      </c>
      <c r="S22" s="1403">
        <f>F22</f>
        <v>100</v>
      </c>
      <c r="T22" s="1402" t="s">
        <v>1179</v>
      </c>
      <c r="U22" s="1403">
        <f>H22</f>
        <v>100</v>
      </c>
      <c r="V22" s="1402" t="s">
        <v>1179</v>
      </c>
      <c r="W22" s="1403">
        <f>J22</f>
        <v>100</v>
      </c>
      <c r="X22" s="1397"/>
      <c r="Y22" s="3248"/>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48"/>
      <c r="Q23" s="983">
        <f>B23</f>
        <v>111</v>
      </c>
      <c r="R23" s="1402" t="s">
        <v>1179</v>
      </c>
      <c r="S23" s="1403">
        <f>F23</f>
        <v>100</v>
      </c>
      <c r="T23" s="1402" t="s">
        <v>1179</v>
      </c>
      <c r="U23" s="1403">
        <f>H23</f>
        <v>100</v>
      </c>
      <c r="V23" s="1402" t="s">
        <v>1179</v>
      </c>
      <c r="W23" s="1403">
        <f>J23</f>
        <v>100</v>
      </c>
      <c r="X23" s="1397"/>
      <c r="Y23" s="3248"/>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48"/>
      <c r="Q24" s="983">
        <f t="shared" ref="Q24:Q36" si="11">B24</f>
        <v>111</v>
      </c>
      <c r="R24" s="1402" t="s">
        <v>1179</v>
      </c>
      <c r="S24" s="1403">
        <f>F24</f>
        <v>100</v>
      </c>
      <c r="T24" s="1402" t="s">
        <v>1179</v>
      </c>
      <c r="U24" s="1403">
        <f>H24</f>
        <v>100</v>
      </c>
      <c r="V24" s="1402" t="s">
        <v>1179</v>
      </c>
      <c r="W24" s="1403">
        <f>J24</f>
        <v>100</v>
      </c>
      <c r="X24" s="1397"/>
      <c r="Y24" s="3248"/>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48"/>
      <c r="Q25" s="1135">
        <f t="shared" si="11"/>
        <v>111</v>
      </c>
      <c r="R25" s="1398" t="s">
        <v>1179</v>
      </c>
      <c r="S25" s="1399">
        <f>F25</f>
        <v>100</v>
      </c>
      <c r="T25" s="1398" t="s">
        <v>1179</v>
      </c>
      <c r="U25" s="1399">
        <f>H25</f>
        <v>100</v>
      </c>
      <c r="V25" s="1398" t="s">
        <v>1179</v>
      </c>
      <c r="W25" s="1399">
        <f>J25</f>
        <v>100</v>
      </c>
      <c r="X25" s="1400"/>
      <c r="Y25" s="3248"/>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314"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49"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49"/>
      <c r="Q27" s="1625" t="str">
        <f t="shared" si="11"/>
        <v>项目停车位配比</v>
      </c>
      <c r="R27" s="1404" t="s">
        <v>1179</v>
      </c>
      <c r="S27" s="1405">
        <f t="shared" si="12"/>
        <v>100</v>
      </c>
      <c r="T27" s="1404" t="s">
        <v>1179</v>
      </c>
      <c r="U27" s="1405">
        <f t="shared" si="13"/>
        <v>100</v>
      </c>
      <c r="V27" s="1404" t="s">
        <v>1179</v>
      </c>
      <c r="W27" s="1405">
        <f t="shared" si="14"/>
        <v>100</v>
      </c>
      <c r="X27" s="1406"/>
      <c r="Y27" s="3249"/>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49"/>
      <c r="Q28" s="983" t="str">
        <f t="shared" si="11"/>
        <v>公共部分装修</v>
      </c>
      <c r="R28" s="1402" t="s">
        <v>1179</v>
      </c>
      <c r="S28" s="1403">
        <f t="shared" si="12"/>
        <v>100</v>
      </c>
      <c r="T28" s="1402" t="s">
        <v>1179</v>
      </c>
      <c r="U28" s="1403">
        <f t="shared" si="13"/>
        <v>100</v>
      </c>
      <c r="V28" s="1402" t="s">
        <v>1179</v>
      </c>
      <c r="W28" s="1403">
        <f t="shared" si="14"/>
        <v>100</v>
      </c>
      <c r="X28" s="1397"/>
      <c r="Y28" s="3249"/>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49"/>
      <c r="Q29" s="983" t="str">
        <f t="shared" si="11"/>
        <v>成新率</v>
      </c>
      <c r="R29" s="1402" t="s">
        <v>1179</v>
      </c>
      <c r="S29" s="1403" t="e">
        <f t="shared" si="12"/>
        <v>#N/A</v>
      </c>
      <c r="T29" s="1402" t="s">
        <v>1179</v>
      </c>
      <c r="U29" s="1403" t="e">
        <f t="shared" si="13"/>
        <v>#N/A</v>
      </c>
      <c r="V29" s="1402" t="s">
        <v>1179</v>
      </c>
      <c r="W29" s="1403" t="e">
        <f t="shared" si="14"/>
        <v>#N/A</v>
      </c>
      <c r="X29" s="1397"/>
      <c r="Y29" s="3249"/>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49"/>
      <c r="Q30" s="983" t="str">
        <f t="shared" si="11"/>
        <v>物业等级</v>
      </c>
      <c r="R30" s="1402" t="s">
        <v>1179</v>
      </c>
      <c r="S30" s="1403">
        <f t="shared" si="12"/>
        <v>100</v>
      </c>
      <c r="T30" s="1402" t="s">
        <v>1179</v>
      </c>
      <c r="U30" s="1403">
        <f t="shared" si="13"/>
        <v>100</v>
      </c>
      <c r="V30" s="1402" t="s">
        <v>1179</v>
      </c>
      <c r="W30" s="1403">
        <f t="shared" si="14"/>
        <v>100</v>
      </c>
      <c r="X30" s="1397"/>
      <c r="Y30" s="3249"/>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49"/>
      <c r="Q31" s="1135" t="str">
        <f t="shared" si="11"/>
        <v>停车位面积</v>
      </c>
      <c r="R31" s="1398" t="s">
        <v>1179</v>
      </c>
      <c r="S31" s="1399" t="e">
        <f t="shared" si="12"/>
        <v>#N/A</v>
      </c>
      <c r="T31" s="1398" t="s">
        <v>1179</v>
      </c>
      <c r="U31" s="1399" t="e">
        <f t="shared" si="13"/>
        <v>#N/A</v>
      </c>
      <c r="V31" s="1398" t="s">
        <v>1179</v>
      </c>
      <c r="W31" s="1399" t="e">
        <f t="shared" si="14"/>
        <v>#N/A</v>
      </c>
      <c r="X31" s="1400"/>
      <c r="Y31" s="3249"/>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49" t="s">
        <v>1211</v>
      </c>
      <c r="Q32" s="983" t="str">
        <f t="shared" si="11"/>
        <v>车位类型</v>
      </c>
      <c r="R32" s="1402" t="s">
        <v>1179</v>
      </c>
      <c r="S32" s="1403">
        <f t="shared" si="12"/>
        <v>100</v>
      </c>
      <c r="T32" s="1402" t="s">
        <v>1179</v>
      </c>
      <c r="U32" s="1403">
        <f t="shared" si="13"/>
        <v>100</v>
      </c>
      <c r="V32" s="1402" t="s">
        <v>1179</v>
      </c>
      <c r="W32" s="1403">
        <f t="shared" si="14"/>
        <v>100</v>
      </c>
      <c r="X32" s="1397"/>
      <c r="Y32" s="3249"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49"/>
      <c r="Q33" s="983" t="str">
        <f t="shared" si="11"/>
        <v>是否直接入户</v>
      </c>
      <c r="R33" s="1402" t="s">
        <v>1179</v>
      </c>
      <c r="S33" s="1403">
        <f t="shared" si="12"/>
        <v>100</v>
      </c>
      <c r="T33" s="1402" t="s">
        <v>1179</v>
      </c>
      <c r="U33" s="1403">
        <f t="shared" si="13"/>
        <v>100</v>
      </c>
      <c r="V33" s="1402" t="s">
        <v>1179</v>
      </c>
      <c r="W33" s="1403">
        <f t="shared" si="14"/>
        <v>100</v>
      </c>
      <c r="X33" s="1397"/>
      <c r="Y33" s="3249"/>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49"/>
      <c r="Q34" s="983">
        <f t="shared" si="11"/>
        <v>111</v>
      </c>
      <c r="R34" s="1402" t="s">
        <v>1179</v>
      </c>
      <c r="S34" s="1403">
        <f t="shared" si="12"/>
        <v>100</v>
      </c>
      <c r="T34" s="1402" t="s">
        <v>1179</v>
      </c>
      <c r="U34" s="1403">
        <f t="shared" si="13"/>
        <v>100</v>
      </c>
      <c r="V34" s="1402" t="s">
        <v>1179</v>
      </c>
      <c r="W34" s="1403">
        <f t="shared" si="14"/>
        <v>100</v>
      </c>
      <c r="X34" s="1397"/>
      <c r="Y34" s="3249"/>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49"/>
      <c r="Q35" s="1625">
        <f t="shared" si="11"/>
        <v>111</v>
      </c>
      <c r="R35" s="1404" t="s">
        <v>1179</v>
      </c>
      <c r="S35" s="1405">
        <f t="shared" si="12"/>
        <v>100</v>
      </c>
      <c r="T35" s="1404" t="s">
        <v>1179</v>
      </c>
      <c r="U35" s="1405">
        <f t="shared" si="13"/>
        <v>100</v>
      </c>
      <c r="V35" s="1404" t="s">
        <v>1179</v>
      </c>
      <c r="W35" s="1405">
        <f t="shared" si="14"/>
        <v>100</v>
      </c>
      <c r="X35" s="1406"/>
      <c r="Y35" s="3249"/>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49"/>
      <c r="Q36" s="983">
        <f t="shared" si="11"/>
        <v>111</v>
      </c>
      <c r="R36" s="1402" t="s">
        <v>1179</v>
      </c>
      <c r="S36" s="1403">
        <f t="shared" si="12"/>
        <v>100</v>
      </c>
      <c r="T36" s="1402" t="s">
        <v>1179</v>
      </c>
      <c r="U36" s="1403">
        <f t="shared" si="13"/>
        <v>100</v>
      </c>
      <c r="V36" s="1402" t="s">
        <v>1179</v>
      </c>
      <c r="W36" s="1403">
        <f t="shared" si="14"/>
        <v>100</v>
      </c>
      <c r="X36" s="1397"/>
      <c r="Y36" s="3249"/>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39" t="str">
        <f>A37</f>
        <v>成交单价</v>
      </c>
      <c r="Q37" s="3239"/>
      <c r="R37" s="3240">
        <f>E37</f>
        <v>0</v>
      </c>
      <c r="S37" s="3240"/>
      <c r="T37" s="3240">
        <f>G37</f>
        <v>0</v>
      </c>
      <c r="U37" s="3240"/>
      <c r="V37" s="3240">
        <f>I37</f>
        <v>0</v>
      </c>
      <c r="W37" s="3240"/>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51" t="str">
        <f>A39</f>
        <v>估价对象XX用房的比较价值（楼面单价，元/平方米）</v>
      </c>
      <c r="Q39" s="3252"/>
      <c r="R39" s="3315" t="e">
        <f>IF(F1="售价",ROUND(IF(D38="简单平均",AVERAGE(R38:W38),R38*F38+T38*H38+V38*J38),0),ROUND(IF(D38="简单平均",AVERAGE(R38:V38),R38*F38+T38*H38+V38*J38),1))</f>
        <v>#DIV/0!</v>
      </c>
      <c r="S39" s="3315"/>
      <c r="T39" s="3315"/>
      <c r="U39" s="3315"/>
      <c r="V39" s="3315"/>
      <c r="W39" s="3315"/>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2024-5</v>
      </c>
      <c r="D48" s="1604">
        <f>EDATE(C48,-1)</f>
        <v>45383</v>
      </c>
      <c r="E48" s="1604">
        <f t="shared" ref="E48:O48" si="16">EDATE(D48,-1)</f>
        <v>45352</v>
      </c>
      <c r="F48" s="1604">
        <f t="shared" si="16"/>
        <v>45323</v>
      </c>
      <c r="G48" s="1604">
        <f t="shared" si="16"/>
        <v>45292</v>
      </c>
      <c r="H48" s="1604">
        <f t="shared" si="16"/>
        <v>45261</v>
      </c>
      <c r="I48" s="1604">
        <f t="shared" si="16"/>
        <v>45231</v>
      </c>
      <c r="J48" s="1604">
        <f t="shared" si="16"/>
        <v>45200</v>
      </c>
      <c r="K48" s="1604">
        <f t="shared" si="16"/>
        <v>45170</v>
      </c>
      <c r="L48" s="1604">
        <f t="shared" si="16"/>
        <v>45139</v>
      </c>
      <c r="M48" s="1604">
        <f t="shared" si="16"/>
        <v>45108</v>
      </c>
      <c r="N48" s="1604">
        <f t="shared" si="16"/>
        <v>45078</v>
      </c>
      <c r="O48" s="1604">
        <f t="shared" si="16"/>
        <v>45047</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2.75</v>
      </c>
      <c r="F3" s="3316">
        <f>G12</f>
        <v>22.56</v>
      </c>
      <c r="G3" s="829">
        <f>ROUND(D3*E3*365/10000,2)</f>
        <v>13.91</v>
      </c>
      <c r="H3">
        <f>ROUND(E3*D3,2)</f>
        <v>381.21</v>
      </c>
    </row>
    <row r="4" spans="1:9">
      <c r="A4" s="1643"/>
      <c r="B4" s="552">
        <v>106</v>
      </c>
      <c r="C4" s="552" t="s">
        <v>1207</v>
      </c>
      <c r="D4" s="552">
        <v>70.650000000000006</v>
      </c>
      <c r="E4" s="552">
        <f>典型户型修正!R25</f>
        <v>1.38</v>
      </c>
      <c r="F4" s="3317"/>
      <c r="G4" s="829">
        <f t="shared" ref="G4:G11" si="0">ROUND(D4*E4*365/10000,2)</f>
        <v>3.56</v>
      </c>
      <c r="H4">
        <f t="shared" ref="H4:H11" si="1">ROUND(E4*D4,2)</f>
        <v>97.5</v>
      </c>
    </row>
    <row r="5" spans="1:9">
      <c r="B5" s="552" t="s">
        <v>1642</v>
      </c>
      <c r="C5" s="552" t="s">
        <v>1207</v>
      </c>
      <c r="D5" s="552">
        <v>150</v>
      </c>
      <c r="E5" s="552">
        <f>典型户型修正!R26</f>
        <v>0.93</v>
      </c>
      <c r="F5" s="3317"/>
      <c r="G5" s="829">
        <f t="shared" si="0"/>
        <v>5.09</v>
      </c>
      <c r="H5">
        <f t="shared" si="1"/>
        <v>139.5</v>
      </c>
    </row>
    <row r="6" spans="1:9">
      <c r="B6" s="552">
        <v>113</v>
      </c>
      <c r="C6" s="552" t="s">
        <v>1207</v>
      </c>
      <c r="D6" s="552">
        <v>144.88</v>
      </c>
      <c r="E6" s="552">
        <f>典型户型修正!R27</f>
        <v>0</v>
      </c>
      <c r="F6" s="3317"/>
      <c r="G6" s="829">
        <f t="shared" si="0"/>
        <v>0</v>
      </c>
      <c r="H6">
        <f t="shared" si="1"/>
        <v>0</v>
      </c>
    </row>
    <row r="7" spans="1:9">
      <c r="B7" s="552">
        <v>115</v>
      </c>
      <c r="C7" s="552" t="s">
        <v>1207</v>
      </c>
      <c r="D7" s="552">
        <v>139.94</v>
      </c>
      <c r="E7" s="552">
        <f>典型户型修正!R28</f>
        <v>0</v>
      </c>
      <c r="F7" s="3317"/>
      <c r="G7" s="829">
        <f t="shared" si="0"/>
        <v>0</v>
      </c>
      <c r="H7">
        <f t="shared" si="1"/>
        <v>0</v>
      </c>
    </row>
    <row r="8" spans="1:9">
      <c r="B8" s="552" t="s">
        <v>1643</v>
      </c>
      <c r="C8" s="552" t="s">
        <v>1207</v>
      </c>
      <c r="D8" s="552">
        <v>401.35</v>
      </c>
      <c r="E8" s="552">
        <f>典型户型修正!R29</f>
        <v>0</v>
      </c>
      <c r="F8" s="3317"/>
      <c r="G8" s="829">
        <f t="shared" si="0"/>
        <v>0</v>
      </c>
      <c r="H8">
        <f t="shared" si="1"/>
        <v>0</v>
      </c>
    </row>
    <row r="9" spans="1:9">
      <c r="B9" s="552" t="s">
        <v>1644</v>
      </c>
      <c r="C9" s="552" t="s">
        <v>1644</v>
      </c>
      <c r="D9" s="552">
        <v>3363.71</v>
      </c>
      <c r="E9" s="552">
        <f>典型户型修正!R30</f>
        <v>0</v>
      </c>
      <c r="F9" s="3317"/>
      <c r="G9" s="829">
        <f t="shared" si="0"/>
        <v>0</v>
      </c>
      <c r="H9">
        <f t="shared" si="1"/>
        <v>0</v>
      </c>
    </row>
    <row r="10" spans="1:9">
      <c r="B10" s="552" t="s">
        <v>1645</v>
      </c>
      <c r="C10" s="552" t="s">
        <v>1645</v>
      </c>
      <c r="D10" s="552">
        <v>1696.53</v>
      </c>
      <c r="E10" s="552">
        <f>典型户型修正!R31</f>
        <v>0</v>
      </c>
      <c r="F10" s="3317"/>
      <c r="G10" s="829">
        <f t="shared" si="0"/>
        <v>0</v>
      </c>
      <c r="H10">
        <f t="shared" si="1"/>
        <v>0</v>
      </c>
    </row>
    <row r="11" spans="1:9">
      <c r="B11" s="552" t="s">
        <v>1646</v>
      </c>
      <c r="C11" s="552" t="s">
        <v>1647</v>
      </c>
      <c r="D11" s="552">
        <v>4300.37</v>
      </c>
      <c r="E11" s="552">
        <f>典型户型修正!R32</f>
        <v>0</v>
      </c>
      <c r="F11" s="3318"/>
      <c r="G11" s="829">
        <f t="shared" si="0"/>
        <v>0</v>
      </c>
      <c r="H11">
        <f t="shared" si="1"/>
        <v>0</v>
      </c>
    </row>
    <row r="12" spans="1:9">
      <c r="D12">
        <f>SUM(D3:D11)</f>
        <v>10406.049999999999</v>
      </c>
      <c r="G12" s="579">
        <f>SUM(G3:G11)</f>
        <v>22.56</v>
      </c>
      <c r="H12">
        <f>SUM(H3:H11)</f>
        <v>618.21</v>
      </c>
      <c r="I12">
        <f>H12/D12</f>
        <v>5.9408709356576231E-2</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abSelected="1" topLeftCell="A21" zoomScale="91" zoomScaleNormal="91" zoomScaleSheetLayoutView="80" workbookViewId="0">
      <selection activeCell="I50" sqref="I50"/>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1</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2.75</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2849</v>
      </c>
      <c r="D5" s="3229"/>
      <c r="E5" s="3230" t="str">
        <f>'楼层比例、案例'!C9</f>
        <v>沿海赛洛城</v>
      </c>
      <c r="F5" s="3231"/>
      <c r="G5" s="3228" t="str">
        <f>租金案例!B10</f>
        <v>苹果社区</v>
      </c>
      <c r="H5" s="3229"/>
      <c r="I5" s="3228" t="str">
        <f>租金案例!B5</f>
        <v>首城国际</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E7</f>
        <v>45422</v>
      </c>
      <c r="H7" s="1223">
        <f>SUMIF(58:58,YEAR(G7)&amp;"-"&amp;MONTH(G7),59:59)</f>
        <v>100</v>
      </c>
      <c r="I7" s="1224">
        <f>E7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ht="15" thickBo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578" t="s">
        <v>2898</v>
      </c>
      <c r="F15" s="1579">
        <f>SUMIF(76:76,E16,77:77)-SUMIF(76:76,C16,77:77)+100</f>
        <v>105</v>
      </c>
      <c r="G15" s="1578" t="s">
        <v>2897</v>
      </c>
      <c r="H15" s="1252">
        <f>SUMIF(76:76,G16,77:77)-SUMIF(76:76,C16,77:77)+100</f>
        <v>105</v>
      </c>
      <c r="I15" s="1578" t="s">
        <v>2897</v>
      </c>
      <c r="J15" s="1252">
        <f>SUMIF(76:76,I16,77:77)-SUMIF(76:76,C16,77:77)+100</f>
        <v>105</v>
      </c>
      <c r="K15" s="1613">
        <v>5</v>
      </c>
      <c r="L15" s="1367"/>
      <c r="M15" s="1309"/>
      <c r="N15" s="1309"/>
      <c r="O15" s="1309"/>
      <c r="P15" s="3242" t="s">
        <v>1193</v>
      </c>
      <c r="Q15" s="983" t="str">
        <f t="shared" si="6"/>
        <v>商业繁华度</v>
      </c>
      <c r="R15" s="1402" t="s">
        <v>1179</v>
      </c>
      <c r="S15" s="1403">
        <f t="shared" si="0"/>
        <v>105</v>
      </c>
      <c r="T15" s="1402" t="s">
        <v>1179</v>
      </c>
      <c r="U15" s="1403">
        <f t="shared" si="1"/>
        <v>105</v>
      </c>
      <c r="V15" s="1402" t="s">
        <v>1179</v>
      </c>
      <c r="W15" s="1403">
        <f t="shared" si="2"/>
        <v>105</v>
      </c>
      <c r="X15" s="1397"/>
      <c r="Y15" s="3247" t="s">
        <v>1193</v>
      </c>
      <c r="Z15" s="1387" t="str">
        <f t="shared" si="7"/>
        <v>商业繁华度</v>
      </c>
      <c r="AA15" s="1387">
        <f t="shared" si="3"/>
        <v>0.95238095238095233</v>
      </c>
      <c r="AB15" s="1387">
        <f t="shared" si="4"/>
        <v>0.95238095238095233</v>
      </c>
      <c r="AC15" s="1387">
        <f t="shared" si="5"/>
        <v>0.95238095238095233</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2877</v>
      </c>
      <c r="F17" s="1581">
        <f>SUMIF(78:78,E18,79:79)-SUMIF(78:78,C18,79:79)+100</f>
        <v>100</v>
      </c>
      <c r="G17" s="2961" t="s">
        <v>2872</v>
      </c>
      <c r="H17" s="1262">
        <f>SUMIF(78:78,G18,79:79)-SUMIF(78:78,C18,79:79)+100</f>
        <v>100</v>
      </c>
      <c r="I17" s="2961" t="s">
        <v>2872</v>
      </c>
      <c r="J17" s="1262">
        <f>SUMIF(78:78,I18,79:79)-SUMIF(78:78,C18,79:79)+100</f>
        <v>100</v>
      </c>
      <c r="K17" s="1613">
        <v>1</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2878</v>
      </c>
      <c r="F19" s="1583">
        <f>SUMIF(80:80,E20,81:81)-SUMIF(80:80,C20,81:81)+100</f>
        <v>100</v>
      </c>
      <c r="G19" s="1582" t="s">
        <v>2871</v>
      </c>
      <c r="H19" s="1258">
        <f>SUMIF(80:80,G20,81:81)-SUMIF(80:80,C20,81:81)+100</f>
        <v>100</v>
      </c>
      <c r="I19" s="1582" t="s">
        <v>2871</v>
      </c>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2876</v>
      </c>
      <c r="F23" s="1581">
        <f>SUMIF(84:84,E24,85:85)-SUMIF(84:84,C24,85:85)+100</f>
        <v>100</v>
      </c>
      <c r="G23" s="2920" t="s">
        <v>2901</v>
      </c>
      <c r="H23" s="1258">
        <f>SUMIF(84:84,G24,85:85)-SUMIF(84:84,C24,85:85)+100</f>
        <v>101</v>
      </c>
      <c r="I23" s="2920" t="s">
        <v>2902</v>
      </c>
      <c r="J23" s="1258">
        <f>SUMIF(84:84,I24,85:85)-SUMIF(84:84,C24,85:85)+100</f>
        <v>100</v>
      </c>
      <c r="K23" s="1613">
        <v>1</v>
      </c>
      <c r="L23" s="1367"/>
      <c r="M23" s="1309"/>
      <c r="N23" s="1309"/>
      <c r="O23" s="1309"/>
      <c r="P23" s="3243"/>
      <c r="Q23" s="983" t="str">
        <f>B23</f>
        <v>自然及人文环境</v>
      </c>
      <c r="R23" s="1402" t="s">
        <v>1179</v>
      </c>
      <c r="S23" s="1403">
        <f>F23</f>
        <v>100</v>
      </c>
      <c r="T23" s="1402" t="s">
        <v>1179</v>
      </c>
      <c r="U23" s="1403">
        <f>H23</f>
        <v>101</v>
      </c>
      <c r="V23" s="1402" t="s">
        <v>1179</v>
      </c>
      <c r="W23" s="1403">
        <f>J23</f>
        <v>100</v>
      </c>
      <c r="X23" s="1397"/>
      <c r="Y23" s="3248"/>
      <c r="Z23" s="1387" t="str">
        <f>Q23</f>
        <v>自然及人文环境</v>
      </c>
      <c r="AA23" s="1387">
        <f t="shared" si="3"/>
        <v>1</v>
      </c>
      <c r="AB23" s="1387">
        <f t="shared" si="4"/>
        <v>0.99009900990099009</v>
      </c>
      <c r="AC23" s="1387">
        <f t="shared" si="5"/>
        <v>1</v>
      </c>
    </row>
    <row r="24" spans="1:29" ht="15">
      <c r="A24" s="1236"/>
      <c r="B24" s="1282"/>
      <c r="C24" s="1255" t="s">
        <v>1204</v>
      </c>
      <c r="D24" s="1256"/>
      <c r="E24" s="1255" t="s">
        <v>1204</v>
      </c>
      <c r="F24" s="1580"/>
      <c r="G24" s="1255" t="s">
        <v>1194</v>
      </c>
      <c r="H24" s="1256"/>
      <c r="I24" s="2953" t="s">
        <v>1204</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2929" t="s">
        <v>1259</v>
      </c>
      <c r="D25" s="1106">
        <v>100</v>
      </c>
      <c r="E25" s="1269" t="s">
        <v>1259</v>
      </c>
      <c r="F25" s="1382">
        <f>SUMIF(86:86,E25,87:87)-SUMIF(86:86,C25,87:87)+100</f>
        <v>100</v>
      </c>
      <c r="G25" s="1269" t="s">
        <v>1259</v>
      </c>
      <c r="H25" s="1106">
        <f>SUMIF(86:86,G25,87:87)-SUMIF(86:86,C25,87:87)+100</f>
        <v>100</v>
      </c>
      <c r="I25" s="1269" t="s">
        <v>1259</v>
      </c>
      <c r="J25" s="1106">
        <f>SUMIF(86:86,I25,87:87)-SUMIF(86:86,C25,87:87)+100</f>
        <v>100</v>
      </c>
      <c r="K25" s="1373">
        <v>1</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593" t="s">
        <v>2903</v>
      </c>
      <c r="C26" s="1584" t="s">
        <v>1194</v>
      </c>
      <c r="D26" s="1106">
        <v>100</v>
      </c>
      <c r="E26" s="1584" t="s">
        <v>1194</v>
      </c>
      <c r="F26" s="1382">
        <f>SUMIF(88:88,E26,89:89)-SUMIF(88:88,C26,89:89)+100</f>
        <v>100</v>
      </c>
      <c r="G26" s="1584" t="s">
        <v>2904</v>
      </c>
      <c r="H26" s="1106">
        <f>SUMIF(88:88,G26,89:89)-SUMIF(88:88,C26,89:89)+100</f>
        <v>98</v>
      </c>
      <c r="I26" s="1584" t="s">
        <v>2904</v>
      </c>
      <c r="J26" s="1106">
        <f>SUMIF(88:88,I26,89:89)-SUMIF(88:88,C26,89:89)+100</f>
        <v>98</v>
      </c>
      <c r="K26" s="1372"/>
      <c r="L26" s="1367"/>
      <c r="M26" s="1309"/>
      <c r="N26" s="1309"/>
      <c r="O26" s="1309"/>
      <c r="P26" s="3243"/>
      <c r="Q26" s="983" t="str">
        <f t="shared" si="11"/>
        <v>可视性</v>
      </c>
      <c r="R26" s="1402" t="s">
        <v>1179</v>
      </c>
      <c r="S26" s="1403">
        <f>F26</f>
        <v>100</v>
      </c>
      <c r="T26" s="1402" t="s">
        <v>1179</v>
      </c>
      <c r="U26" s="1403">
        <f>H26</f>
        <v>98</v>
      </c>
      <c r="V26" s="1402" t="s">
        <v>1179</v>
      </c>
      <c r="W26" s="1403">
        <f>J26</f>
        <v>98</v>
      </c>
      <c r="X26" s="1397"/>
      <c r="Y26" s="3248"/>
      <c r="Z26" s="1387" t="str">
        <f>Q26</f>
        <v>可视性</v>
      </c>
      <c r="AA26" s="1387">
        <f t="shared" si="3"/>
        <v>1</v>
      </c>
      <c r="AB26" s="1387">
        <f t="shared" si="4"/>
        <v>1.0204081632653061</v>
      </c>
      <c r="AC26" s="1387">
        <f t="shared" si="5"/>
        <v>1.0204081632653061</v>
      </c>
    </row>
    <row r="27" spans="1:29" s="1195" customFormat="1" ht="15">
      <c r="A27" s="1239"/>
      <c r="B27" s="1516" t="s">
        <v>1203</v>
      </c>
      <c r="C27" s="1585" t="s">
        <v>1204</v>
      </c>
      <c r="D27" s="1263">
        <v>100</v>
      </c>
      <c r="E27" s="1585" t="s">
        <v>1205</v>
      </c>
      <c r="F27" s="1282">
        <f>SUMIF(90:90,E27,91:91)-SUMIF(90:90,C27,91:91)+100</f>
        <v>110</v>
      </c>
      <c r="G27" s="1585" t="s">
        <v>1205</v>
      </c>
      <c r="H27" s="1263">
        <f>SUMIF(90:90,G27,91:91)-SUMIF(90:90,C27,91:91)+100</f>
        <v>110</v>
      </c>
      <c r="I27" s="1585" t="s">
        <v>1205</v>
      </c>
      <c r="J27" s="1263">
        <f>SUMIF(90:90,I27,91:91)-SUMIF(90:90,C27,91:91)+100</f>
        <v>110</v>
      </c>
      <c r="K27" s="1373">
        <v>10</v>
      </c>
      <c r="L27" s="1357"/>
      <c r="M27" s="1358"/>
      <c r="N27" s="1358"/>
      <c r="O27" s="1358"/>
      <c r="P27" s="3243"/>
      <c r="Q27" s="1135" t="str">
        <f t="shared" si="11"/>
        <v>人流量</v>
      </c>
      <c r="R27" s="1398" t="s">
        <v>1179</v>
      </c>
      <c r="S27" s="1399">
        <f>F27</f>
        <v>110</v>
      </c>
      <c r="T27" s="1398" t="s">
        <v>1179</v>
      </c>
      <c r="U27" s="1399">
        <f>H27</f>
        <v>110</v>
      </c>
      <c r="V27" s="1398" t="s">
        <v>1179</v>
      </c>
      <c r="W27" s="1399">
        <f>J27</f>
        <v>110</v>
      </c>
      <c r="X27" s="1400"/>
      <c r="Y27" s="3248"/>
      <c r="Z27" s="1409" t="str">
        <f>Q27</f>
        <v>人流量</v>
      </c>
      <c r="AA27" s="1387">
        <f t="shared" si="3"/>
        <v>0.90909090909090906</v>
      </c>
      <c r="AB27" s="1387">
        <f t="shared" si="4"/>
        <v>0.90909090909090906</v>
      </c>
      <c r="AC27" s="1387">
        <f t="shared" si="5"/>
        <v>0.90909090909090906</v>
      </c>
    </row>
    <row r="28" spans="1:29" ht="15">
      <c r="A28" s="1236"/>
      <c r="B28" s="1233" t="s">
        <v>1206</v>
      </c>
      <c r="C28" s="1269" t="s">
        <v>2888</v>
      </c>
      <c r="D28" s="1106">
        <v>100</v>
      </c>
      <c r="E28" s="1269" t="s">
        <v>2888</v>
      </c>
      <c r="F28" s="1382">
        <f>SUMIF(92:92,E28,93:93)-SUMIF(92:92,C28,93:93)+100</f>
        <v>100</v>
      </c>
      <c r="G28" s="1269" t="s">
        <v>2880</v>
      </c>
      <c r="H28" s="1106">
        <f>SUMIF(92:92,G28,93:93)-SUMIF(92:92,C28,93:93)+100</f>
        <v>90</v>
      </c>
      <c r="I28" s="1269" t="s">
        <v>2880</v>
      </c>
      <c r="J28" s="1106">
        <f>SUMIF(92:92,I28,93:93)-SUMIF(92:92,C28,93:93)+100</f>
        <v>90</v>
      </c>
      <c r="K28" s="1372"/>
      <c r="L28" s="1367"/>
      <c r="M28" s="1309"/>
      <c r="N28" s="1309"/>
      <c r="O28" s="1309"/>
      <c r="P28" s="3243"/>
      <c r="Q28" s="983" t="str">
        <f t="shared" si="11"/>
        <v>楼层</v>
      </c>
      <c r="R28" s="1402" t="s">
        <v>1179</v>
      </c>
      <c r="S28" s="1403">
        <f t="shared" ref="S28:S46" si="12">F28</f>
        <v>100</v>
      </c>
      <c r="T28" s="1402" t="s">
        <v>1179</v>
      </c>
      <c r="U28" s="1403">
        <f t="shared" ref="U28:U46" si="13">H28</f>
        <v>90</v>
      </c>
      <c r="V28" s="1402" t="s">
        <v>1179</v>
      </c>
      <c r="W28" s="1403">
        <f t="shared" ref="W28:W46" si="14">J28</f>
        <v>90</v>
      </c>
      <c r="X28" s="1397"/>
      <c r="Y28" s="3248"/>
      <c r="Z28" s="1387" t="str">
        <f t="shared" ref="Z28:Z46" si="15">Q28</f>
        <v>楼层</v>
      </c>
      <c r="AA28" s="1387">
        <f t="shared" si="3"/>
        <v>1</v>
      </c>
      <c r="AB28" s="1387">
        <f t="shared" si="4"/>
        <v>1.1111111111111112</v>
      </c>
      <c r="AC28" s="1387">
        <f t="shared" si="5"/>
        <v>1.1111111111111112</v>
      </c>
    </row>
    <row r="29" spans="1:29" ht="15" hidden="1">
      <c r="A29" s="1236"/>
      <c r="B29" s="1233" t="s">
        <v>2824</v>
      </c>
      <c r="C29" s="1269" t="s">
        <v>2825</v>
      </c>
      <c r="D29" s="1263">
        <v>100</v>
      </c>
      <c r="E29" s="1269" t="s">
        <v>2825</v>
      </c>
      <c r="F29" s="1263">
        <f>SUMIF(94:94,E29,95:95)-SUMIF(94:94,C29,95:95)+100</f>
        <v>100</v>
      </c>
      <c r="G29" s="1269" t="s">
        <v>2826</v>
      </c>
      <c r="H29" s="1263">
        <f>SUMIF(94:94,G29,95:95)-SUMIF(94:94,C29,95:95)+100</f>
        <v>100</v>
      </c>
      <c r="I29" s="1269" t="s">
        <v>2825</v>
      </c>
      <c r="J29" s="1263">
        <f>SUMIF(94:94,I29,95:95)-SUMIF(94:94,C29,95:95)+100</f>
        <v>100</v>
      </c>
      <c r="K29" s="1372"/>
      <c r="L29" s="1367"/>
      <c r="M29" s="1309"/>
      <c r="N29" s="1309"/>
      <c r="O29" s="1309"/>
      <c r="P29" s="3243"/>
      <c r="Q29" s="983" t="str">
        <f t="shared" si="11"/>
        <v>临街情况</v>
      </c>
      <c r="R29" s="1402" t="s">
        <v>1179</v>
      </c>
      <c r="S29" s="1403">
        <f t="shared" si="12"/>
        <v>100</v>
      </c>
      <c r="T29" s="1402" t="s">
        <v>1179</v>
      </c>
      <c r="U29" s="1403">
        <f t="shared" si="13"/>
        <v>100</v>
      </c>
      <c r="V29" s="1402" t="s">
        <v>1179</v>
      </c>
      <c r="W29" s="1403">
        <f t="shared" si="14"/>
        <v>100</v>
      </c>
      <c r="X29" s="1397"/>
      <c r="Y29" s="3248"/>
      <c r="Z29" s="1387" t="str">
        <f t="shared" si="15"/>
        <v>临街情况</v>
      </c>
      <c r="AA29" s="1387">
        <f t="shared" si="3"/>
        <v>1</v>
      </c>
      <c r="AB29" s="1387">
        <f t="shared" si="4"/>
        <v>1</v>
      </c>
      <c r="AC29" s="1387">
        <f t="shared" si="5"/>
        <v>1</v>
      </c>
    </row>
    <row r="30" spans="1:29" ht="15">
      <c r="A30" s="1236"/>
      <c r="B30" s="1593" t="s">
        <v>2856</v>
      </c>
      <c r="C30" s="1584" t="s">
        <v>2858</v>
      </c>
      <c r="D30" s="1106">
        <v>100</v>
      </c>
      <c r="E30" s="1584" t="s">
        <v>2908</v>
      </c>
      <c r="F30" s="1382">
        <f>SUMIF(96:96,E30,97:97)-SUMIF(96:96,C30,97:97)+100</f>
        <v>95</v>
      </c>
      <c r="G30" s="1584" t="s">
        <v>2857</v>
      </c>
      <c r="H30" s="1106">
        <f>SUMIF(96:96,G30,97:97)-SUMIF(96:96,C30,97:97)+100</f>
        <v>105</v>
      </c>
      <c r="I30" s="1584" t="s">
        <v>2857</v>
      </c>
      <c r="J30" s="1106">
        <f>SUMIF(96:96,I30,97:97)-SUMIF(96:96,C30,97:97)+100</f>
        <v>105</v>
      </c>
      <c r="K30" s="1372"/>
      <c r="L30" s="1367"/>
      <c r="M30" s="1309"/>
      <c r="N30" s="1309"/>
      <c r="O30" s="1309"/>
      <c r="P30" s="3243"/>
      <c r="Q30" s="983" t="str">
        <f t="shared" si="11"/>
        <v>业态</v>
      </c>
      <c r="R30" s="1402" t="s">
        <v>1179</v>
      </c>
      <c r="S30" s="1403">
        <f t="shared" si="12"/>
        <v>95</v>
      </c>
      <c r="T30" s="1402" t="s">
        <v>1179</v>
      </c>
      <c r="U30" s="1403">
        <f t="shared" si="13"/>
        <v>105</v>
      </c>
      <c r="V30" s="1402" t="s">
        <v>1179</v>
      </c>
      <c r="W30" s="1403">
        <f t="shared" si="14"/>
        <v>105</v>
      </c>
      <c r="X30" s="1397"/>
      <c r="Y30" s="3248"/>
      <c r="Z30" s="1387" t="str">
        <f t="shared" si="15"/>
        <v>业态</v>
      </c>
      <c r="AA30" s="1387">
        <f t="shared" si="3"/>
        <v>1.0526315789473684</v>
      </c>
      <c r="AB30" s="1387">
        <f t="shared" si="4"/>
        <v>0.95238095238095233</v>
      </c>
      <c r="AC30" s="1387">
        <f t="shared" si="5"/>
        <v>0.95238095238095233</v>
      </c>
    </row>
    <row r="31" spans="1:29" ht="15.75" thickBot="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1837.06</v>
      </c>
      <c r="D33" s="1235">
        <v>100</v>
      </c>
      <c r="E33" s="1237">
        <f>'楼层比例、案例'!I10</f>
        <v>985.93</v>
      </c>
      <c r="F33" s="1263">
        <f>LOOKUP(E33,103:103,104:104)-LOOKUP(C33,103:103,104:104)+100</f>
        <v>102</v>
      </c>
      <c r="G33" s="1237">
        <f>租金案例!D10</f>
        <v>400</v>
      </c>
      <c r="H33" s="1235">
        <f>LOOKUP(G33,103:103,104:104)-LOOKUP(C33,103:103,104:104)+100</f>
        <v>104</v>
      </c>
      <c r="I33" s="1237">
        <f>租金案例!D5</f>
        <v>1000</v>
      </c>
      <c r="J33" s="1235">
        <f>LOOKUP(I33,103:103,104:104)-LOOKUP(C33,103:103,104:104)+100</f>
        <v>102</v>
      </c>
      <c r="K33" s="1372"/>
      <c r="L33" s="1365"/>
      <c r="M33" s="1374"/>
      <c r="N33" s="1374"/>
      <c r="O33" s="1374"/>
      <c r="P33" s="3245"/>
      <c r="Q33" s="1625" t="str">
        <f t="shared" si="11"/>
        <v>项目建筑规模</v>
      </c>
      <c r="R33" s="1404" t="s">
        <v>1179</v>
      </c>
      <c r="S33" s="1405">
        <f t="shared" si="12"/>
        <v>102</v>
      </c>
      <c r="T33" s="1404" t="s">
        <v>1179</v>
      </c>
      <c r="U33" s="1405">
        <f t="shared" si="13"/>
        <v>104</v>
      </c>
      <c r="V33" s="1404" t="s">
        <v>1179</v>
      </c>
      <c r="W33" s="1405">
        <f t="shared" si="14"/>
        <v>102</v>
      </c>
      <c r="X33" s="1406"/>
      <c r="Y33" s="3249"/>
      <c r="Z33" s="1410" t="str">
        <f t="shared" si="15"/>
        <v>项目建筑规模</v>
      </c>
      <c r="AA33" s="1387">
        <f t="shared" si="3"/>
        <v>0.98039215686274506</v>
      </c>
      <c r="AB33" s="1387">
        <f t="shared" si="4"/>
        <v>0.96153846153846156</v>
      </c>
      <c r="AC33" s="1387">
        <f t="shared" si="5"/>
        <v>0.98039215686274506</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v>0.95</v>
      </c>
      <c r="D36" s="1106">
        <v>100</v>
      </c>
      <c r="E36" s="1589">
        <v>0.75</v>
      </c>
      <c r="F36" s="1382">
        <f>LOOKUP(E36,110:110,111:111)-LOOKUP(C36,110:110,111:111)+100</f>
        <v>99</v>
      </c>
      <c r="G36" s="1589">
        <v>0.7</v>
      </c>
      <c r="H36" s="1382">
        <f>LOOKUP(G36,110:110,111:111)-LOOKUP(C36,110:110,111:111)+100</f>
        <v>99</v>
      </c>
      <c r="I36" s="1589">
        <v>0.8</v>
      </c>
      <c r="J36" s="1106">
        <f>LOOKUP(I36,110:110,111:111)-LOOKUP(C36,110:110,111:111)+100</f>
        <v>99.5</v>
      </c>
      <c r="K36" s="1373">
        <v>0.5</v>
      </c>
      <c r="L36" s="1367"/>
      <c r="M36" s="1309"/>
      <c r="N36" s="1309"/>
      <c r="O36" s="1309"/>
      <c r="P36" s="3245"/>
      <c r="Q36" s="983" t="str">
        <f t="shared" si="11"/>
        <v>成新度</v>
      </c>
      <c r="R36" s="1402" t="s">
        <v>1179</v>
      </c>
      <c r="S36" s="1403">
        <f t="shared" si="12"/>
        <v>99</v>
      </c>
      <c r="T36" s="1402" t="s">
        <v>1179</v>
      </c>
      <c r="U36" s="1403">
        <f t="shared" si="13"/>
        <v>99</v>
      </c>
      <c r="V36" s="1402" t="s">
        <v>1179</v>
      </c>
      <c r="W36" s="1403">
        <f t="shared" si="14"/>
        <v>99.5</v>
      </c>
      <c r="X36" s="1397"/>
      <c r="Y36" s="3249"/>
      <c r="Z36" s="1387" t="str">
        <f t="shared" si="15"/>
        <v>成新度</v>
      </c>
      <c r="AA36" s="1387">
        <f t="shared" si="3"/>
        <v>1.0101010101010102</v>
      </c>
      <c r="AB36" s="1387">
        <f t="shared" si="4"/>
        <v>1.0101010101010102</v>
      </c>
      <c r="AC36" s="1387">
        <f t="shared" si="5"/>
        <v>1.0050251256281406</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1264</v>
      </c>
      <c r="D42" s="1106">
        <v>100</v>
      </c>
      <c r="E42" s="1286" t="s">
        <v>1224</v>
      </c>
      <c r="F42" s="1382">
        <f>SUMIF(122:122,E42,123:123)-SUMIF(122:122,C42,123:123)+100</f>
        <v>110</v>
      </c>
      <c r="G42" s="1286" t="s">
        <v>1611</v>
      </c>
      <c r="H42" s="1106">
        <f>SUMIF(122:122,G42,123:123)-SUMIF(122:122,C42,123:123)+100</f>
        <v>105</v>
      </c>
      <c r="I42" s="1286" t="s">
        <v>1611</v>
      </c>
      <c r="J42" s="1106">
        <f>SUMIF(122:122,I42,123:123)-SUMIF(122:122,C42,123:123)+100</f>
        <v>105</v>
      </c>
      <c r="K42" s="1373">
        <v>5</v>
      </c>
      <c r="L42" s="1367"/>
      <c r="M42" s="1309">
        <f>12*0.9</f>
        <v>10.8</v>
      </c>
      <c r="N42" s="1309"/>
      <c r="O42" s="1309"/>
      <c r="P42" s="3245"/>
      <c r="Q42" s="983" t="str">
        <f t="shared" si="11"/>
        <v>内部装修</v>
      </c>
      <c r="R42" s="1402" t="s">
        <v>1179</v>
      </c>
      <c r="S42" s="1403">
        <f t="shared" si="12"/>
        <v>110</v>
      </c>
      <c r="T42" s="1402" t="s">
        <v>1179</v>
      </c>
      <c r="U42" s="1403">
        <f t="shared" si="13"/>
        <v>105</v>
      </c>
      <c r="V42" s="1402" t="s">
        <v>1179</v>
      </c>
      <c r="W42" s="1403">
        <f t="shared" si="14"/>
        <v>105</v>
      </c>
      <c r="X42" s="1397"/>
      <c r="Y42" s="3249"/>
      <c r="Z42" s="1387" t="str">
        <f t="shared" si="15"/>
        <v>内部装修</v>
      </c>
      <c r="AA42" s="1387">
        <f t="shared" si="3"/>
        <v>0.90909090909090906</v>
      </c>
      <c r="AB42" s="1387">
        <f t="shared" si="4"/>
        <v>0.95238095238095233</v>
      </c>
      <c r="AC42" s="1387">
        <f t="shared" si="5"/>
        <v>0.95238095238095233</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75" thickBot="1">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0</v>
      </c>
      <c r="R44" s="1398" t="s">
        <v>1179</v>
      </c>
      <c r="S44" s="1399">
        <f t="shared" si="12"/>
        <v>100</v>
      </c>
      <c r="T44" s="1398" t="s">
        <v>1179</v>
      </c>
      <c r="U44" s="1399">
        <f t="shared" si="13"/>
        <v>100</v>
      </c>
      <c r="V44" s="1398" t="s">
        <v>1179</v>
      </c>
      <c r="W44" s="1399">
        <f t="shared" si="14"/>
        <v>100</v>
      </c>
      <c r="X44" s="1400"/>
      <c r="Y44" s="3249"/>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租金案例!I10</f>
        <v>3</v>
      </c>
      <c r="H47" s="1299"/>
      <c r="I47" s="1296">
        <f>租金案例!I5</f>
        <v>3</v>
      </c>
      <c r="J47" s="1299"/>
      <c r="K47" s="1378"/>
      <c r="L47" s="1379"/>
      <c r="M47" s="1309"/>
      <c r="N47" s="1309"/>
      <c r="O47" s="1309"/>
      <c r="P47" s="3239" t="str">
        <f>A47</f>
        <v>成交单价（元/平方米）</v>
      </c>
      <c r="Q47" s="3239"/>
      <c r="R47" s="3240">
        <f>E47</f>
        <v>3.73</v>
      </c>
      <c r="S47" s="3240"/>
      <c r="T47" s="3240">
        <f>G47</f>
        <v>3</v>
      </c>
      <c r="U47" s="3240"/>
      <c r="V47" s="3240">
        <f>I47</f>
        <v>3</v>
      </c>
      <c r="W47" s="3240"/>
      <c r="X47" s="1345"/>
      <c r="Y47" s="1411"/>
      <c r="Z47" s="1345"/>
      <c r="AA47" s="1345"/>
      <c r="AB47" s="1345"/>
      <c r="AC47" s="1345"/>
    </row>
    <row r="48" spans="1:29" ht="15.75" thickBot="1">
      <c r="A48" s="1300" t="s">
        <v>1227</v>
      </c>
      <c r="B48" s="1597"/>
      <c r="C48" s="1598">
        <f>R49</f>
        <v>2.75</v>
      </c>
      <c r="D48" s="1303" t="s">
        <v>1228</v>
      </c>
      <c r="E48" s="1599">
        <f>R48</f>
        <v>3.06</v>
      </c>
      <c r="F48" s="1304"/>
      <c r="G48" s="1598">
        <f>T48</f>
        <v>2.57</v>
      </c>
      <c r="H48" s="1304"/>
      <c r="I48" s="1599">
        <f>V48</f>
        <v>2.63</v>
      </c>
      <c r="J48" s="1304"/>
      <c r="K48" s="1380">
        <f>F48+H48+J48</f>
        <v>0</v>
      </c>
      <c r="L48" s="1379"/>
      <c r="M48" s="1309"/>
      <c r="N48" s="1309"/>
      <c r="O48" s="1309"/>
      <c r="P48" s="3239" t="str">
        <f>A48</f>
        <v>比较价值（元/平方米）</v>
      </c>
      <c r="Q48" s="3239"/>
      <c r="R48" s="3240">
        <f>IF(F1="售价",ROUND(PRODUCT(R47,AA7:AA46),0),ROUND(PRODUCT(R47,AA7:AA46),2))</f>
        <v>3.06</v>
      </c>
      <c r="S48" s="3240"/>
      <c r="T48" s="3240">
        <f>IF(F1="售价",ROUND(PRODUCT(T47,AB7:AB46),0),ROUND(PRODUCT(T47,AB7:AB46),2))</f>
        <v>2.57</v>
      </c>
      <c r="U48" s="3240"/>
      <c r="V48" s="3240">
        <f>IF(F1="售价",ROUND(PRODUCT(V47,AC7:AC46),0),ROUND(PRODUCT(V47,AC7:AC46),2))</f>
        <v>2.63</v>
      </c>
      <c r="W48" s="3240"/>
      <c r="X48" s="1345"/>
      <c r="Y48" s="1345"/>
      <c r="Z48" s="1345"/>
      <c r="AA48" s="1345"/>
      <c r="AB48" s="1345"/>
      <c r="AC48" s="1345"/>
    </row>
    <row r="49" spans="1:29" ht="15">
      <c r="A49" s="1306" t="s">
        <v>1229</v>
      </c>
      <c r="B49" s="1307"/>
      <c r="C49" s="1219">
        <f>R49</f>
        <v>2.75</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IF(F1="售价",ROUND(IF(D48="简单平均",AVERAGE(R48:V48),R48*F48+T48*H48+V48*J48),0),ROUND(IF(D48="简单平均",AVERAGE(R48:V48),R48*F48+T48*H48+V48*J48),2))</f>
        <v>2.75</v>
      </c>
      <c r="S49" s="3253"/>
      <c r="T49" s="3253"/>
      <c r="U49" s="3253"/>
      <c r="V49" s="3253"/>
      <c r="W49" s="3253"/>
      <c r="X49" s="1345"/>
      <c r="Y49" s="1345"/>
      <c r="Z49" s="1345"/>
      <c r="AA49" s="1345"/>
      <c r="AB49" s="1345"/>
      <c r="AC49" s="1345"/>
    </row>
    <row r="50" spans="1:29">
      <c r="A50" s="1309"/>
      <c r="B50" s="1309">
        <f>ROUND(C48*230*365/10000,2)</f>
        <v>23.09</v>
      </c>
      <c r="C50" s="1309">
        <v>0.75</v>
      </c>
      <c r="D50" s="1309"/>
      <c r="E50" s="2918">
        <v>2007</v>
      </c>
      <c r="F50" s="1309"/>
      <c r="G50" s="2918">
        <v>2004</v>
      </c>
      <c r="H50" s="1309"/>
      <c r="I50" s="2918">
        <v>2009</v>
      </c>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1-(2024-E50)/60</f>
        <v>0.71666666666666667</v>
      </c>
      <c r="F51" s="1309"/>
      <c r="G51" s="1309">
        <f>1-(2024-G50)/60</f>
        <v>0.66666666666666674</v>
      </c>
      <c r="H51" s="1309"/>
      <c r="I51" s="1309">
        <f>1-(2024-I50)/60</f>
        <v>0.75</v>
      </c>
      <c r="J51" s="1309"/>
      <c r="K51" s="1383"/>
      <c r="L51" s="1384"/>
      <c r="M51" s="1309"/>
      <c r="N51" s="1309"/>
      <c r="O51" s="1309"/>
      <c r="P51" s="1616"/>
      <c r="Q51" s="1309"/>
      <c r="R51" s="1309"/>
      <c r="S51" s="1309"/>
      <c r="T51" s="1309"/>
      <c r="U51" s="1309"/>
      <c r="V51" s="1309"/>
      <c r="W51" s="1309"/>
      <c r="X51" s="1309"/>
      <c r="Y51" s="1309"/>
      <c r="Z51" s="1309"/>
      <c r="AA51" s="1309">
        <f>AA15*AA17*AA19*AA21*AA23*AA25*AA26*AA27*AA28*AA30*AA32*AA33*AA36*AA42</f>
        <v>0.82047690129635364</v>
      </c>
      <c r="AB51" s="1309">
        <f>AB15*AB17*AB19*AB21*AB23*AB25*AB26*AB27*AB28*AB30*AB32*AB33*AB36*AB42</f>
        <v>0.85621124007992933</v>
      </c>
      <c r="AC51" s="1309">
        <f>AC15*AC17*AC19*AC21*AC23*AC25*AC26*AC27*AC28*AC30*AC32*AC33*AC36*AC42</f>
        <v>0.87729889024944108</v>
      </c>
    </row>
    <row r="52" spans="1:29" ht="13.5" customHeight="1">
      <c r="A52" s="1309"/>
      <c r="B52" s="1309"/>
      <c r="C52" s="1311" t="s">
        <v>1230</v>
      </c>
      <c r="D52" s="1025"/>
      <c r="E52" s="1312">
        <f>IF(E47&lt;E48,E48/E47-1,E47/E48-1)</f>
        <v>0.21895424836601296</v>
      </c>
      <c r="F52" s="1313" t="str">
        <f>IF(OR(E52&gt;=0.3,E52&lt;=-0.3),"超过30%","")</f>
        <v/>
      </c>
      <c r="G52" s="1312">
        <f>IF(G47&lt;G48,G48/G47-1,G47/G48-1)</f>
        <v>0.16731517509727634</v>
      </c>
      <c r="H52" s="1313" t="str">
        <f>IF(OR(G52&gt;=0.3,G52&lt;=-0.3),"超过30%","")</f>
        <v/>
      </c>
      <c r="I52" s="1312">
        <f>IF(I47&lt;I48,I48/I47-1,I47/I48-1)</f>
        <v>0.14068441064638781</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0.19066147859922178</v>
      </c>
      <c r="F53" s="1313" t="str">
        <f>IF(OR(E53&gt;=0.2,E53&lt;=-0.2),"超过20%","")</f>
        <v/>
      </c>
      <c r="G53" s="1312">
        <f>IF(G48&lt;I48,I48/G48-1,G48/I48-1)</f>
        <v>2.3346303501945442E-2</v>
      </c>
      <c r="H53" s="1313" t="str">
        <f>IF(OR(G53&gt;=0.2,G53&lt;=-0.2),"超过20%","")</f>
        <v/>
      </c>
      <c r="I53" s="1312">
        <f>IF(I48&lt;E48,E48/I48-1,I48/E48-1)</f>
        <v>0.16349809885931577</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0.2433333333333334</v>
      </c>
      <c r="F54" s="1313" t="str">
        <f>IF(OR(E54&gt;=0.3,E54&lt;=-0.3),"超过30%","")</f>
        <v/>
      </c>
      <c r="G54" s="1312">
        <f>IF(G47&lt;I47,I47/G47-1,G47/I47-1)</f>
        <v>0</v>
      </c>
      <c r="H54" s="1313" t="str">
        <f>IF(OR(G54&gt;=0.3,G54&lt;=-0.3),"超过30%","")</f>
        <v/>
      </c>
      <c r="I54" s="1312">
        <f>IF(I47&lt;E47,E47/I47-1,I47/E47-1)</f>
        <v>0.2433333333333334</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0.82047690129635364</v>
      </c>
      <c r="F56" s="1309"/>
      <c r="G56" s="1309">
        <f>AB51</f>
        <v>0.85621124007992933</v>
      </c>
      <c r="H56" s="1309"/>
      <c r="I56" s="1309">
        <f>AC51</f>
        <v>0.87729889024944108</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可视性</v>
      </c>
      <c r="C88" s="614" t="s">
        <v>1194</v>
      </c>
      <c r="D88" s="614" t="s">
        <v>1204</v>
      </c>
      <c r="E88" s="614" t="s">
        <v>2905</v>
      </c>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99</v>
      </c>
      <c r="E89" s="518">
        <v>98</v>
      </c>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27.75">
      <c r="A92" s="1236"/>
      <c r="B92" s="1429" t="str">
        <f>B28</f>
        <v>楼层</v>
      </c>
      <c r="C92" s="2932" t="s">
        <v>2879</v>
      </c>
      <c r="D92" s="2932" t="s">
        <v>2887</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110</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2857</v>
      </c>
      <c r="D96" s="614" t="s">
        <v>2858</v>
      </c>
      <c r="E96" s="614" t="s">
        <v>2908</v>
      </c>
      <c r="F96" s="1437"/>
      <c r="G96" s="1451"/>
      <c r="H96" s="1451">
        <v>5</v>
      </c>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f>C97-$H$96</f>
        <v>95</v>
      </c>
      <c r="E97" s="518">
        <f>D97-$H$96</f>
        <v>90</v>
      </c>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28.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1200(含)-1500</v>
      </c>
      <c r="H102" s="1446" t="str">
        <f t="shared" si="23"/>
        <v>1500(含)-2000</v>
      </c>
      <c r="I102" s="1446" t="str">
        <f t="shared" si="23"/>
        <v>2000(含)-2500</v>
      </c>
      <c r="J102" s="1446" t="str">
        <f t="shared" si="23"/>
        <v>2500(含)-3000</v>
      </c>
      <c r="K102" s="1446" t="str">
        <f t="shared" si="23"/>
        <v>3000(含)-3500</v>
      </c>
      <c r="L102" s="1446" t="str">
        <f t="shared" si="23"/>
        <v>3500(含)-4000</v>
      </c>
      <c r="M102" s="1491" t="str">
        <f>M103&amp;"(含)"&amp;"-"&amp;P103</f>
        <v>4000(含)-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v>1500</v>
      </c>
      <c r="I103" s="516">
        <v>2000</v>
      </c>
      <c r="J103" s="519">
        <v>2500</v>
      </c>
      <c r="K103" s="519">
        <v>3000</v>
      </c>
      <c r="L103" s="520">
        <v>3500</v>
      </c>
      <c r="M103" s="1505">
        <v>4000</v>
      </c>
      <c r="N103" s="1480"/>
      <c r="O103" s="1480">
        <v>1</v>
      </c>
      <c r="P103" s="1632"/>
      <c r="Q103" s="1509"/>
      <c r="R103" s="1374"/>
      <c r="S103" s="1374"/>
      <c r="T103" s="1374"/>
      <c r="U103" s="1374"/>
      <c r="V103" s="1374"/>
      <c r="W103" s="1374"/>
      <c r="X103" s="1374"/>
      <c r="Y103" s="1374"/>
      <c r="Z103" s="1374"/>
      <c r="AA103" s="1374"/>
      <c r="AB103" s="1374"/>
      <c r="AC103" s="1374"/>
    </row>
    <row r="104" spans="1:29" s="1197" customFormat="1" ht="15.75" thickBot="1">
      <c r="A104" s="1436"/>
      <c r="B104" s="1431"/>
      <c r="C104" s="517">
        <v>100</v>
      </c>
      <c r="D104" s="518">
        <f>C104-$O$103</f>
        <v>99</v>
      </c>
      <c r="E104" s="518">
        <f t="shared" ref="E104:M104" si="24">D104-$O$103</f>
        <v>98</v>
      </c>
      <c r="F104" s="518">
        <f t="shared" si="24"/>
        <v>97</v>
      </c>
      <c r="G104" s="518">
        <f t="shared" si="24"/>
        <v>96</v>
      </c>
      <c r="H104" s="518">
        <f t="shared" si="24"/>
        <v>95</v>
      </c>
      <c r="I104" s="518">
        <f t="shared" si="24"/>
        <v>94</v>
      </c>
      <c r="J104" s="518">
        <f t="shared" si="24"/>
        <v>93</v>
      </c>
      <c r="K104" s="518">
        <f t="shared" si="24"/>
        <v>92</v>
      </c>
      <c r="L104" s="518">
        <f t="shared" si="24"/>
        <v>91</v>
      </c>
      <c r="M104" s="518">
        <f t="shared" si="24"/>
        <v>90</v>
      </c>
      <c r="N104" s="1470"/>
      <c r="O104" s="1470"/>
      <c r="P104" s="1632"/>
      <c r="Q104" s="1509"/>
      <c r="R104" s="1374"/>
      <c r="S104" s="1374"/>
      <c r="T104" s="1374"/>
      <c r="U104" s="1374"/>
      <c r="V104" s="1374"/>
      <c r="W104" s="1374"/>
      <c r="X104" s="1374"/>
      <c r="Y104" s="1374"/>
      <c r="Z104" s="1374"/>
      <c r="AA104" s="1374"/>
      <c r="AB104" s="1374"/>
      <c r="AC104" s="1374"/>
    </row>
    <row r="105" spans="1:29" ht="15" thickTop="1">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7">D111+$K36</f>
        <v>101</v>
      </c>
      <c r="F111" s="1432">
        <f t="shared" si="27"/>
        <v>101.5</v>
      </c>
      <c r="G111" s="1432">
        <f t="shared" si="27"/>
        <v>102</v>
      </c>
      <c r="H111" s="1432">
        <f t="shared" si="27"/>
        <v>102.5</v>
      </c>
      <c r="I111" s="1432">
        <f t="shared" si="27"/>
        <v>103</v>
      </c>
      <c r="J111" s="1432">
        <f t="shared" si="27"/>
        <v>103.5</v>
      </c>
      <c r="K111" s="1432">
        <f t="shared" si="27"/>
        <v>104</v>
      </c>
      <c r="L111" s="1432">
        <f t="shared" si="27"/>
        <v>104.5</v>
      </c>
      <c r="M111" s="1432">
        <f t="shared" si="27"/>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90</v>
      </c>
      <c r="E115" s="1432">
        <f t="shared" si="29"/>
        <v>80</v>
      </c>
      <c r="F115" s="1432">
        <f t="shared" si="29"/>
        <v>70</v>
      </c>
      <c r="G115" s="1432">
        <f t="shared" si="29"/>
        <v>60</v>
      </c>
      <c r="H115" s="1432">
        <f t="shared" si="29"/>
        <v>50</v>
      </c>
      <c r="I115" s="1432">
        <f t="shared" si="29"/>
        <v>40</v>
      </c>
      <c r="J115" s="1432">
        <f t="shared" si="29"/>
        <v>30</v>
      </c>
      <c r="K115" s="1432">
        <f t="shared" si="29"/>
        <v>20</v>
      </c>
      <c r="L115" s="1432">
        <f t="shared" si="29"/>
        <v>10</v>
      </c>
      <c r="M115" s="1474">
        <f t="shared" si="29"/>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2909</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95</v>
      </c>
      <c r="E123" s="1432">
        <f t="shared" si="31"/>
        <v>90</v>
      </c>
      <c r="F123" s="1432">
        <f t="shared" si="31"/>
        <v>85</v>
      </c>
      <c r="G123" s="1432">
        <f t="shared" si="31"/>
        <v>80</v>
      </c>
      <c r="H123" s="1432">
        <f t="shared" si="31"/>
        <v>75</v>
      </c>
      <c r="I123" s="1432">
        <f t="shared" si="31"/>
        <v>70</v>
      </c>
      <c r="J123" s="1432">
        <f t="shared" si="31"/>
        <v>65</v>
      </c>
      <c r="K123" s="1432">
        <f t="shared" si="31"/>
        <v>60</v>
      </c>
      <c r="L123" s="1432">
        <f t="shared" si="31"/>
        <v>55</v>
      </c>
      <c r="M123" s="1474">
        <f t="shared" si="31"/>
        <v>50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57" priority="20" stopIfTrue="1">
      <formula>$F$52="超过30%"</formula>
    </cfRule>
  </conditionalFormatting>
  <conditionalFormatting sqref="E53">
    <cfRule type="expression" dxfId="56" priority="19" stopIfTrue="1">
      <formula>$F$53="超过20%"</formula>
    </cfRule>
  </conditionalFormatting>
  <conditionalFormatting sqref="E54">
    <cfRule type="expression" dxfId="55" priority="18" stopIfTrue="1">
      <formula>$F$54="超过30%"</formula>
    </cfRule>
  </conditionalFormatting>
  <conditionalFormatting sqref="F7:F28 H7:H28">
    <cfRule type="cellIs" dxfId="54" priority="5" operator="notEqual">
      <formula>100</formula>
    </cfRule>
  </conditionalFormatting>
  <conditionalFormatting sqref="F30:F46">
    <cfRule type="cellIs" dxfId="53" priority="1" operator="notEqual">
      <formula>100</formula>
    </cfRule>
  </conditionalFormatting>
  <conditionalFormatting sqref="F48">
    <cfRule type="expression" dxfId="52" priority="8">
      <formula>$D$48="简单平均"</formula>
    </cfRule>
  </conditionalFormatting>
  <conditionalFormatting sqref="F52:F54 H52:H54">
    <cfRule type="containsText" dxfId="51" priority="21" stopIfTrue="1" operator="containsText" text="超过">
      <formula>NOT(ISERROR(SEARCH("超过",F52)))</formula>
    </cfRule>
  </conditionalFormatting>
  <conditionalFormatting sqref="G52">
    <cfRule type="expression" dxfId="50" priority="16" stopIfTrue="1">
      <formula>$H$52="超过30%"</formula>
    </cfRule>
  </conditionalFormatting>
  <conditionalFormatting sqref="G53">
    <cfRule type="expression" dxfId="49" priority="15" stopIfTrue="1">
      <formula>$H$53="超过20%"</formula>
    </cfRule>
  </conditionalFormatting>
  <conditionalFormatting sqref="G54">
    <cfRule type="expression" dxfId="48" priority="17" stopIfTrue="1">
      <formula>$H$54="超过30%"</formula>
    </cfRule>
  </conditionalFormatting>
  <conditionalFormatting sqref="H30:H46">
    <cfRule type="cellIs" dxfId="47" priority="2" operator="notEqual">
      <formula>100</formula>
    </cfRule>
  </conditionalFormatting>
  <conditionalFormatting sqref="H48">
    <cfRule type="expression" dxfId="46" priority="7">
      <formula>$D$48="简单平均"</formula>
    </cfRule>
  </conditionalFormatting>
  <conditionalFormatting sqref="I52">
    <cfRule type="expression" dxfId="45" priority="11" stopIfTrue="1">
      <formula>$J$52="超过30%"</formula>
    </cfRule>
  </conditionalFormatting>
  <conditionalFormatting sqref="I53">
    <cfRule type="expression" dxfId="44" priority="10" stopIfTrue="1">
      <formula>$J$53="超过20%"</formula>
    </cfRule>
  </conditionalFormatting>
  <conditionalFormatting sqref="I54">
    <cfRule type="expression" dxfId="43" priority="9" stopIfTrue="1">
      <formula>$J$54="超过30%"</formula>
    </cfRule>
  </conditionalFormatting>
  <conditionalFormatting sqref="J7:J28">
    <cfRule type="cellIs" dxfId="42" priority="4" operator="notEqual">
      <formula>100</formula>
    </cfRule>
  </conditionalFormatting>
  <conditionalFormatting sqref="J30:J46">
    <cfRule type="cellIs" dxfId="41" priority="3" operator="notEqual">
      <formula>100</formula>
    </cfRule>
  </conditionalFormatting>
  <conditionalFormatting sqref="J48">
    <cfRule type="expression" dxfId="40" priority="6">
      <formula>$D$48="简单平均"</formula>
    </cfRule>
  </conditionalFormatting>
  <conditionalFormatting sqref="J52:J54">
    <cfRule type="containsText" dxfId="39" priority="12" stopIfTrue="1" operator="containsText" text="超过">
      <formula>NOT(ISERROR(SEARCH("超过",J52)))</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319" t="s">
        <v>1732</v>
      </c>
    </row>
    <row r="43" spans="1:7" ht="13.5" customHeight="1">
      <c r="A43" s="481" t="s">
        <v>1663</v>
      </c>
      <c r="B43" s="455" t="s">
        <v>1702</v>
      </c>
      <c r="C43" s="172" t="e">
        <f ca="1">ROUND(IF('数据-取费表'!B22&lt;=1,C39*F22*'数据-取费表'!B21/2,C39*(POWER((1+F22),'数据-取费表'!B21/2)-1)),0)</f>
        <v>#N/A</v>
      </c>
      <c r="D43" s="172"/>
      <c r="E43" s="172"/>
      <c r="F43" s="483"/>
      <c r="G43" s="3320"/>
    </row>
    <row r="44" spans="1:7" ht="13.5" customHeight="1">
      <c r="A44" s="481" t="s">
        <v>1665</v>
      </c>
      <c r="B44" s="455" t="s">
        <v>1704</v>
      </c>
      <c r="C44" s="172">
        <f ca="1">ROUND(IF('数据-取费表'!B22&lt;=1,C40*F22*'数据-取费表'!B21/2,C40*(POWER((1+F22),'数据-取费表'!B21/2)-1)),4)</f>
        <v>5.0000000000000001E-4</v>
      </c>
      <c r="D44" s="172"/>
      <c r="E44" s="172"/>
      <c r="F44" s="483"/>
      <c r="G44" s="3321"/>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39"/>
      <c r="Q10" s="1135" t="str">
        <f t="shared" si="6"/>
        <v>土地使用年限（年）</v>
      </c>
      <c r="R10" s="1398" t="s">
        <v>1179</v>
      </c>
      <c r="S10" s="1399" t="e">
        <f t="shared" si="0"/>
        <v>#DIV/0!</v>
      </c>
      <c r="T10" s="1398" t="s">
        <v>1179</v>
      </c>
      <c r="U10" s="1399" t="e">
        <f t="shared" si="1"/>
        <v>#DIV/0!</v>
      </c>
      <c r="V10" s="1398" t="s">
        <v>1179</v>
      </c>
      <c r="W10" s="1399" t="e">
        <f t="shared" si="2"/>
        <v>#DIV/0!</v>
      </c>
      <c r="X10" s="1400"/>
      <c r="Y10" s="315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39"/>
      <c r="Q12" s="1135" t="str">
        <f t="shared" si="6"/>
        <v>配建</v>
      </c>
      <c r="R12" s="1398" t="s">
        <v>1179</v>
      </c>
      <c r="S12" s="1399">
        <f t="shared" si="0"/>
        <v>100</v>
      </c>
      <c r="T12" s="1398" t="s">
        <v>1179</v>
      </c>
      <c r="U12" s="1399">
        <f t="shared" si="1"/>
        <v>100</v>
      </c>
      <c r="V12" s="1398" t="s">
        <v>1179</v>
      </c>
      <c r="W12" s="1399">
        <f t="shared" si="2"/>
        <v>100</v>
      </c>
      <c r="X12" s="1400"/>
      <c r="Y12" s="3158"/>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47" t="s">
        <v>1193</v>
      </c>
      <c r="Q15" s="983" t="str">
        <f t="shared" si="6"/>
        <v>居住社区成熟度</v>
      </c>
      <c r="R15" s="1402" t="s">
        <v>1179</v>
      </c>
      <c r="S15" s="1403">
        <f t="shared" si="0"/>
        <v>100</v>
      </c>
      <c r="T15" s="1402" t="s">
        <v>1179</v>
      </c>
      <c r="U15" s="1403">
        <f t="shared" si="1"/>
        <v>100</v>
      </c>
      <c r="V15" s="1402" t="s">
        <v>1179</v>
      </c>
      <c r="W15" s="1403">
        <f t="shared" si="2"/>
        <v>100</v>
      </c>
      <c r="X15" s="1397"/>
      <c r="Y15" s="3247"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48"/>
      <c r="Q16" s="983"/>
      <c r="R16" s="1402"/>
      <c r="S16" s="1403"/>
      <c r="T16" s="1402"/>
      <c r="U16" s="1403"/>
      <c r="V16" s="1402"/>
      <c r="W16" s="1403"/>
      <c r="X16" s="1397"/>
      <c r="Y16" s="3248"/>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估价对象周边商业设施以住宅配套商业为主，周边2公里有芳圆里IDMALL、合生汇等，估价对象临城市支路-广泰东路，人流量一般，商业繁华程度一般。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48"/>
      <c r="Q17" s="983" t="str">
        <f>B17</f>
        <v>商业繁华度</v>
      </c>
      <c r="R17" s="1402" t="s">
        <v>1179</v>
      </c>
      <c r="S17" s="1403">
        <f>F17</f>
        <v>100</v>
      </c>
      <c r="T17" s="1402" t="s">
        <v>1179</v>
      </c>
      <c r="U17" s="1403">
        <f>H17</f>
        <v>100</v>
      </c>
      <c r="V17" s="1402" t="s">
        <v>1179</v>
      </c>
      <c r="W17" s="1403">
        <f>J17</f>
        <v>100</v>
      </c>
      <c r="X17" s="1397"/>
      <c r="Y17" s="3248"/>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48"/>
      <c r="Q18" s="983"/>
      <c r="R18" s="1402"/>
      <c r="S18" s="1403"/>
      <c r="T18" s="1402"/>
      <c r="U18" s="1403"/>
      <c r="V18" s="1402"/>
      <c r="W18" s="1403"/>
      <c r="X18" s="1397"/>
      <c r="Y18" s="3248"/>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48"/>
      <c r="Q19" s="983" t="str">
        <f>B19</f>
        <v>办公集聚程度</v>
      </c>
      <c r="R19" s="1402" t="s">
        <v>1179</v>
      </c>
      <c r="S19" s="1403">
        <f>F19</f>
        <v>100</v>
      </c>
      <c r="T19" s="1402" t="s">
        <v>1179</v>
      </c>
      <c r="U19" s="1403">
        <f>H19</f>
        <v>100</v>
      </c>
      <c r="V19" s="1402" t="s">
        <v>1179</v>
      </c>
      <c r="W19" s="1403">
        <f>J19</f>
        <v>100</v>
      </c>
      <c r="X19" s="1397"/>
      <c r="Y19" s="3248"/>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48"/>
      <c r="Q20" s="983"/>
      <c r="R20" s="1402"/>
      <c r="S20" s="1403"/>
      <c r="T20" s="1402"/>
      <c r="U20" s="1403"/>
      <c r="V20" s="1402"/>
      <c r="W20" s="1403"/>
      <c r="X20" s="1397"/>
      <c r="Y20" s="3248"/>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48"/>
      <c r="Q21" s="983" t="str">
        <f>B21</f>
        <v>交通便捷度</v>
      </c>
      <c r="R21" s="1402" t="s">
        <v>1179</v>
      </c>
      <c r="S21" s="1403">
        <f>F21</f>
        <v>100</v>
      </c>
      <c r="T21" s="1402" t="s">
        <v>1179</v>
      </c>
      <c r="U21" s="1403">
        <f>H21</f>
        <v>100</v>
      </c>
      <c r="V21" s="1402" t="s">
        <v>1179</v>
      </c>
      <c r="W21" s="1403">
        <f>J21</f>
        <v>100</v>
      </c>
      <c r="X21" s="1397"/>
      <c r="Y21" s="3248"/>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48"/>
      <c r="Q22" s="983"/>
      <c r="R22" s="1402"/>
      <c r="S22" s="1403"/>
      <c r="T22" s="1402"/>
      <c r="U22" s="1403"/>
      <c r="V22" s="1402"/>
      <c r="W22" s="1403"/>
      <c r="X22" s="1397"/>
      <c r="Y22" s="3248"/>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48"/>
      <c r="Q23" s="983" t="str">
        <f t="shared" ref="Q23:Q38" si="8">B23</f>
        <v>区域土地利用方向</v>
      </c>
      <c r="R23" s="1402" t="s">
        <v>1179</v>
      </c>
      <c r="S23" s="1403">
        <f>F23</f>
        <v>100</v>
      </c>
      <c r="T23" s="1402" t="s">
        <v>1179</v>
      </c>
      <c r="U23" s="1403">
        <f>H23</f>
        <v>100</v>
      </c>
      <c r="V23" s="1402" t="s">
        <v>1179</v>
      </c>
      <c r="W23" s="1403">
        <f>J23</f>
        <v>100</v>
      </c>
      <c r="X23" s="1397"/>
      <c r="Y23" s="3248"/>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48"/>
      <c r="Q24" s="983"/>
      <c r="R24" s="1402"/>
      <c r="S24" s="1403"/>
      <c r="T24" s="1402"/>
      <c r="U24" s="1403"/>
      <c r="V24" s="1402"/>
      <c r="W24" s="1403"/>
      <c r="X24" s="1397"/>
      <c r="Y24" s="3248"/>
      <c r="Z24" s="1387"/>
      <c r="AA24" s="1387"/>
      <c r="AB24" s="1387"/>
      <c r="AC24" s="1387"/>
    </row>
    <row r="25" spans="1:29" ht="71.2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48"/>
      <c r="Q25" s="983" t="str">
        <f t="shared" si="8"/>
        <v>自然及人文环境状况</v>
      </c>
      <c r="R25" s="1402" t="s">
        <v>1179</v>
      </c>
      <c r="S25" s="1403">
        <f>F25</f>
        <v>100</v>
      </c>
      <c r="T25" s="1402" t="s">
        <v>1179</v>
      </c>
      <c r="U25" s="1403">
        <f>H25</f>
        <v>100</v>
      </c>
      <c r="V25" s="1402" t="s">
        <v>1179</v>
      </c>
      <c r="W25" s="1403">
        <f>J25</f>
        <v>100</v>
      </c>
      <c r="X25" s="1397"/>
      <c r="Y25" s="3248"/>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48"/>
      <c r="Q26" s="983"/>
      <c r="R26" s="1402"/>
      <c r="S26" s="1403"/>
      <c r="T26" s="1402"/>
      <c r="U26" s="1403"/>
      <c r="V26" s="1402"/>
      <c r="W26" s="1403"/>
      <c r="X26" s="1397"/>
      <c r="Y26" s="3248"/>
      <c r="Z26" s="1387"/>
      <c r="AA26" s="1387">
        <v>1</v>
      </c>
      <c r="AB26" s="1387">
        <v>1</v>
      </c>
      <c r="AC26" s="1387">
        <v>1</v>
      </c>
    </row>
    <row r="27" spans="1:29" s="1195" customFormat="1" ht="313.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48"/>
      <c r="Q27" s="1135" t="str">
        <f t="shared" si="8"/>
        <v>公共配套设施</v>
      </c>
      <c r="R27" s="1398" t="s">
        <v>1179</v>
      </c>
      <c r="S27" s="1399">
        <f>F27</f>
        <v>100</v>
      </c>
      <c r="T27" s="1398" t="s">
        <v>1179</v>
      </c>
      <c r="U27" s="1399">
        <f>H27</f>
        <v>100</v>
      </c>
      <c r="V27" s="1398" t="s">
        <v>1179</v>
      </c>
      <c r="W27" s="1399">
        <f>J27</f>
        <v>100</v>
      </c>
      <c r="X27" s="1400"/>
      <c r="Y27" s="3248"/>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48"/>
      <c r="Q28" s="1135"/>
      <c r="R28" s="1398"/>
      <c r="S28" s="1399"/>
      <c r="T28" s="1398"/>
      <c r="U28" s="1399"/>
      <c r="V28" s="1398"/>
      <c r="W28" s="1399"/>
      <c r="X28" s="1400"/>
      <c r="Y28" s="3248"/>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48"/>
      <c r="Q29" s="1135" t="str">
        <f t="shared" ref="Q29" si="9">B29</f>
        <v>基础设施水平</v>
      </c>
      <c r="R29" s="1398" t="s">
        <v>1179</v>
      </c>
      <c r="S29" s="1399">
        <f>F29</f>
        <v>100</v>
      </c>
      <c r="T29" s="1398" t="s">
        <v>1179</v>
      </c>
      <c r="U29" s="1399">
        <f>H29</f>
        <v>100</v>
      </c>
      <c r="V29" s="1398" t="s">
        <v>1179</v>
      </c>
      <c r="W29" s="1399">
        <f>J29</f>
        <v>100</v>
      </c>
      <c r="X29" s="1400"/>
      <c r="Y29" s="3248"/>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48"/>
      <c r="Q30" s="1135"/>
      <c r="R30" s="1398"/>
      <c r="S30" s="1399"/>
      <c r="T30" s="1398"/>
      <c r="U30" s="1399"/>
      <c r="V30" s="1398"/>
      <c r="W30" s="1399"/>
      <c r="X30" s="1400"/>
      <c r="Y30" s="3248"/>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48"/>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48"/>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48"/>
      <c r="Q32" s="983" t="str">
        <f t="shared" si="8"/>
        <v>毗邻道路的类型与等级</v>
      </c>
      <c r="R32" s="1402" t="s">
        <v>1179</v>
      </c>
      <c r="S32" s="1403">
        <f t="shared" si="10"/>
        <v>100</v>
      </c>
      <c r="T32" s="1402" t="s">
        <v>1179</v>
      </c>
      <c r="U32" s="1403">
        <f t="shared" si="11"/>
        <v>100</v>
      </c>
      <c r="V32" s="1402" t="s">
        <v>1179</v>
      </c>
      <c r="W32" s="1403">
        <f t="shared" si="12"/>
        <v>100</v>
      </c>
      <c r="X32" s="1397"/>
      <c r="Y32" s="3248"/>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48"/>
      <c r="Q33" s="983"/>
      <c r="R33" s="1402"/>
      <c r="S33" s="1403"/>
      <c r="T33" s="1402"/>
      <c r="U33" s="1403"/>
      <c r="V33" s="1402"/>
      <c r="W33" s="1403"/>
      <c r="X33" s="1397"/>
      <c r="Y33" s="3248"/>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48"/>
      <c r="Q34" s="983" t="str">
        <f t="shared" si="8"/>
        <v>土地级别</v>
      </c>
      <c r="R34" s="1402" t="s">
        <v>1179</v>
      </c>
      <c r="S34" s="1403">
        <f t="shared" si="10"/>
        <v>100</v>
      </c>
      <c r="T34" s="1402" t="s">
        <v>1179</v>
      </c>
      <c r="U34" s="1403">
        <f t="shared" si="11"/>
        <v>100</v>
      </c>
      <c r="V34" s="1402" t="s">
        <v>1179</v>
      </c>
      <c r="W34" s="1403">
        <f t="shared" si="12"/>
        <v>100</v>
      </c>
      <c r="X34" s="1397"/>
      <c r="Y34" s="3248"/>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48"/>
      <c r="Q35" s="983">
        <f t="shared" si="8"/>
        <v>111</v>
      </c>
      <c r="R35" s="1402" t="s">
        <v>1179</v>
      </c>
      <c r="S35" s="1403">
        <f t="shared" si="10"/>
        <v>100</v>
      </c>
      <c r="T35" s="1402" t="s">
        <v>1179</v>
      </c>
      <c r="U35" s="1403">
        <f t="shared" si="11"/>
        <v>100</v>
      </c>
      <c r="V35" s="1402" t="s">
        <v>1179</v>
      </c>
      <c r="W35" s="1403">
        <f t="shared" si="12"/>
        <v>100</v>
      </c>
      <c r="X35" s="1397"/>
      <c r="Y35" s="3248"/>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314" t="s">
        <v>1211</v>
      </c>
      <c r="Q36" s="983">
        <f t="shared" si="8"/>
        <v>111</v>
      </c>
      <c r="R36" s="1402" t="s">
        <v>1179</v>
      </c>
      <c r="S36" s="1403">
        <f t="shared" si="10"/>
        <v>100</v>
      </c>
      <c r="T36" s="1402" t="s">
        <v>1179</v>
      </c>
      <c r="U36" s="1403">
        <f t="shared" si="11"/>
        <v>100</v>
      </c>
      <c r="V36" s="1402" t="s">
        <v>1179</v>
      </c>
      <c r="W36" s="1403">
        <f t="shared" si="12"/>
        <v>100</v>
      </c>
      <c r="X36" s="1397"/>
      <c r="Y36" s="3249"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49"/>
      <c r="Q37" s="983">
        <f t="shared" si="8"/>
        <v>111</v>
      </c>
      <c r="R37" s="1404" t="s">
        <v>1179</v>
      </c>
      <c r="S37" s="1405">
        <f t="shared" si="10"/>
        <v>100</v>
      </c>
      <c r="T37" s="1404" t="s">
        <v>1179</v>
      </c>
      <c r="U37" s="1405">
        <f t="shared" si="11"/>
        <v>100</v>
      </c>
      <c r="V37" s="1404" t="s">
        <v>1179</v>
      </c>
      <c r="W37" s="1405">
        <f t="shared" si="12"/>
        <v>100</v>
      </c>
      <c r="X37" s="1406"/>
      <c r="Y37" s="3249"/>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49"/>
      <c r="Q38" s="983" t="str">
        <f t="shared" si="8"/>
        <v>宗地面积</v>
      </c>
      <c r="R38" s="1402" t="s">
        <v>1179</v>
      </c>
      <c r="S38" s="1403" t="e">
        <f t="shared" si="10"/>
        <v>#N/A</v>
      </c>
      <c r="T38" s="1402" t="s">
        <v>1179</v>
      </c>
      <c r="U38" s="1403" t="e">
        <f t="shared" si="11"/>
        <v>#N/A</v>
      </c>
      <c r="V38" s="1402" t="s">
        <v>1179</v>
      </c>
      <c r="W38" s="1403" t="e">
        <f t="shared" si="12"/>
        <v>#N/A</v>
      </c>
      <c r="X38" s="1397"/>
      <c r="Y38" s="3249"/>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49"/>
      <c r="Q39" s="983" t="str">
        <f t="shared" ref="Q39:Q45" si="14">B39</f>
        <v>宗地形状</v>
      </c>
      <c r="R39" s="1402" t="s">
        <v>1179</v>
      </c>
      <c r="S39" s="1403">
        <f t="shared" si="10"/>
        <v>100</v>
      </c>
      <c r="T39" s="1402" t="s">
        <v>1179</v>
      </c>
      <c r="U39" s="1403">
        <f t="shared" si="11"/>
        <v>100</v>
      </c>
      <c r="V39" s="1402" t="s">
        <v>1179</v>
      </c>
      <c r="W39" s="1403">
        <f t="shared" si="12"/>
        <v>100</v>
      </c>
      <c r="X39" s="1397"/>
      <c r="Y39" s="3249"/>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49"/>
      <c r="Q40" s="983" t="str">
        <f t="shared" si="14"/>
        <v>临街宽度及深度</v>
      </c>
      <c r="R40" s="1402" t="s">
        <v>1179</v>
      </c>
      <c r="S40" s="1403">
        <f t="shared" si="10"/>
        <v>100</v>
      </c>
      <c r="T40" s="1402" t="s">
        <v>1179</v>
      </c>
      <c r="U40" s="1403">
        <f t="shared" si="11"/>
        <v>100</v>
      </c>
      <c r="V40" s="1402" t="s">
        <v>1179</v>
      </c>
      <c r="W40" s="1403">
        <f t="shared" si="12"/>
        <v>100</v>
      </c>
      <c r="X40" s="1397"/>
      <c r="Y40" s="3249"/>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49"/>
      <c r="Q41" s="983" t="str">
        <f t="shared" si="14"/>
        <v>宗地开发程度</v>
      </c>
      <c r="R41" s="1398" t="s">
        <v>1179</v>
      </c>
      <c r="S41" s="1399">
        <f t="shared" si="10"/>
        <v>100</v>
      </c>
      <c r="T41" s="1398" t="s">
        <v>1179</v>
      </c>
      <c r="U41" s="1399">
        <f t="shared" si="11"/>
        <v>100</v>
      </c>
      <c r="V41" s="1398" t="s">
        <v>1179</v>
      </c>
      <c r="W41" s="1399">
        <f t="shared" si="12"/>
        <v>100</v>
      </c>
      <c r="X41" s="1400"/>
      <c r="Y41" s="3249"/>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49" t="s">
        <v>1211</v>
      </c>
      <c r="Q42" s="983" t="str">
        <f t="shared" si="14"/>
        <v>工程地质条件</v>
      </c>
      <c r="R42" s="1402" t="s">
        <v>1179</v>
      </c>
      <c r="S42" s="1403">
        <f t="shared" si="10"/>
        <v>100</v>
      </c>
      <c r="T42" s="1402" t="s">
        <v>1179</v>
      </c>
      <c r="U42" s="1403">
        <f t="shared" si="11"/>
        <v>100</v>
      </c>
      <c r="V42" s="1402" t="s">
        <v>1179</v>
      </c>
      <c r="W42" s="1403">
        <f t="shared" si="12"/>
        <v>100</v>
      </c>
      <c r="X42" s="1397"/>
      <c r="Y42" s="3249"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49"/>
      <c r="Q43" s="983">
        <f t="shared" si="14"/>
        <v>111</v>
      </c>
      <c r="R43" s="1402" t="s">
        <v>1179</v>
      </c>
      <c r="S43" s="1403">
        <f t="shared" si="10"/>
        <v>100</v>
      </c>
      <c r="T43" s="1402" t="s">
        <v>1179</v>
      </c>
      <c r="U43" s="1403">
        <f t="shared" si="11"/>
        <v>100</v>
      </c>
      <c r="V43" s="1402" t="s">
        <v>1179</v>
      </c>
      <c r="W43" s="1403">
        <f t="shared" si="12"/>
        <v>100</v>
      </c>
      <c r="X43" s="1397"/>
      <c r="Y43" s="3249"/>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49"/>
      <c r="Q44" s="983">
        <f t="shared" si="14"/>
        <v>111</v>
      </c>
      <c r="R44" s="1402" t="s">
        <v>1179</v>
      </c>
      <c r="S44" s="1403">
        <f t="shared" si="10"/>
        <v>100</v>
      </c>
      <c r="T44" s="1402" t="s">
        <v>1179</v>
      </c>
      <c r="U44" s="1403">
        <f t="shared" si="11"/>
        <v>100</v>
      </c>
      <c r="V44" s="1402" t="s">
        <v>1179</v>
      </c>
      <c r="W44" s="1403">
        <f t="shared" si="12"/>
        <v>100</v>
      </c>
      <c r="X44" s="1397"/>
      <c r="Y44" s="3249"/>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49"/>
      <c r="Q45" s="983">
        <f t="shared" si="14"/>
        <v>111</v>
      </c>
      <c r="R45" s="1404" t="s">
        <v>1179</v>
      </c>
      <c r="S45" s="1405">
        <f t="shared" si="10"/>
        <v>100</v>
      </c>
      <c r="T45" s="1404" t="s">
        <v>1179</v>
      </c>
      <c r="U45" s="1405">
        <f t="shared" si="11"/>
        <v>100</v>
      </c>
      <c r="V45" s="1404" t="s">
        <v>1179</v>
      </c>
      <c r="W45" s="1405">
        <f t="shared" si="12"/>
        <v>100</v>
      </c>
      <c r="X45" s="1406"/>
      <c r="Y45" s="3249"/>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39" t="str">
        <f>A46</f>
        <v>成交单价</v>
      </c>
      <c r="Q46" s="3239"/>
      <c r="R46" s="3240">
        <f>E46</f>
        <v>0</v>
      </c>
      <c r="S46" s="3240"/>
      <c r="T46" s="3240">
        <f>G46</f>
        <v>0</v>
      </c>
      <c r="U46" s="3240"/>
      <c r="V46" s="3240">
        <f>I46</f>
        <v>0</v>
      </c>
      <c r="W46" s="3240"/>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39" t="str">
        <f>A47</f>
        <v>比较价值（元/平方米）</v>
      </c>
      <c r="Q47" s="3239"/>
      <c r="R47" s="3323" t="e">
        <f>ROUND(PRODUCT(R46,AA7:AA45),0)</f>
        <v>#DIV/0!</v>
      </c>
      <c r="S47" s="3323"/>
      <c r="T47" s="3323" t="e">
        <f>ROUND(PRODUCT(T46,AB7:AB45),0)</f>
        <v>#DIV/0!</v>
      </c>
      <c r="U47" s="3323"/>
      <c r="V47" s="3323" t="e">
        <f>ROUND(PRODUCT(V46,AC7:AC45),0)</f>
        <v>#DIV/0!</v>
      </c>
      <c r="W47" s="3323"/>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51" t="str">
        <f>A48</f>
        <v>估价对象XX用房的比较价值（楼面单价，元/平方米）</v>
      </c>
      <c r="Q48" s="3252"/>
      <c r="R48" s="3324" t="e">
        <f>ROUND(IF(D47="简单平均",AVERAGE(R47:W47),R47*F47+T47*H47+V47*J47),0)</f>
        <v>#DIV/0!</v>
      </c>
      <c r="S48" s="3324"/>
      <c r="T48" s="3324"/>
      <c r="U48" s="3324"/>
      <c r="V48" s="3324"/>
      <c r="W48" s="3324"/>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24" t="s">
        <v>1766</v>
      </c>
      <c r="H55" s="3325"/>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41"/>
      <c r="H56" s="3239"/>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322"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322"/>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322"/>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322"/>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2024-5-1</v>
      </c>
      <c r="D68" s="1343">
        <f>EDATE(C68,-3)</f>
        <v>45323</v>
      </c>
      <c r="E68" s="1343">
        <f>EDATE(D68,-3)</f>
        <v>45231</v>
      </c>
      <c r="F68" s="1343">
        <f t="shared" ref="F68:O68" si="18">EDATE(E68,-3)</f>
        <v>45139</v>
      </c>
      <c r="G68" s="1343">
        <f t="shared" si="18"/>
        <v>45047</v>
      </c>
      <c r="H68" s="1343">
        <f t="shared" si="18"/>
        <v>44958</v>
      </c>
      <c r="I68" s="1343">
        <f t="shared" si="18"/>
        <v>44866</v>
      </c>
      <c r="J68" s="1343">
        <f t="shared" si="18"/>
        <v>44774</v>
      </c>
      <c r="K68" s="1343">
        <f t="shared" si="18"/>
        <v>44682</v>
      </c>
      <c r="L68" s="1343">
        <f t="shared" si="18"/>
        <v>44593</v>
      </c>
      <c r="M68" s="1343">
        <f t="shared" si="18"/>
        <v>44501</v>
      </c>
      <c r="N68" s="1343">
        <f t="shared" si="18"/>
        <v>44409</v>
      </c>
      <c r="O68" s="1343">
        <f t="shared" si="18"/>
        <v>44317</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2024-2</v>
      </c>
      <c r="D70" s="1414" t="str">
        <f>YEAR(D68)&amp;"-"&amp;ROUNDUP(MONTH(D68)/3,0)</f>
        <v>2024-1</v>
      </c>
      <c r="E70" s="1414" t="str">
        <f t="shared" ref="E70:O70" si="19">YEAR(E68)&amp;"-"&amp;ROUNDUP(MONTH(E68)/3,0)</f>
        <v>2023-4</v>
      </c>
      <c r="F70" s="1414" t="str">
        <f t="shared" si="19"/>
        <v>2023-3</v>
      </c>
      <c r="G70" s="1414" t="str">
        <f t="shared" si="19"/>
        <v>2023-2</v>
      </c>
      <c r="H70" s="1414" t="str">
        <f t="shared" si="19"/>
        <v>2023-1</v>
      </c>
      <c r="I70" s="1414" t="str">
        <f t="shared" si="19"/>
        <v>2022-4</v>
      </c>
      <c r="J70" s="1414" t="str">
        <f t="shared" si="19"/>
        <v>2022-3</v>
      </c>
      <c r="K70" s="1414" t="str">
        <f t="shared" si="19"/>
        <v>2022-2</v>
      </c>
      <c r="L70" s="1414" t="str">
        <f t="shared" si="19"/>
        <v>2022-1</v>
      </c>
      <c r="M70" s="1414" t="str">
        <f t="shared" si="19"/>
        <v>2021-4</v>
      </c>
      <c r="N70" s="1414" t="str">
        <f t="shared" si="19"/>
        <v>2021-3</v>
      </c>
      <c r="O70" s="1414" t="str">
        <f t="shared" si="19"/>
        <v>2021-2</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326" t="s">
        <v>1790</v>
      </c>
      <c r="D6" s="3327"/>
      <c r="E6" s="3328" t="s">
        <v>1790</v>
      </c>
      <c r="F6" s="3329"/>
      <c r="G6" s="3326" t="s">
        <v>1790</v>
      </c>
      <c r="H6" s="3327"/>
      <c r="I6" s="3326" t="s">
        <v>1790</v>
      </c>
      <c r="J6" s="3327"/>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39"/>
      <c r="Q10" s="1135" t="str">
        <f t="shared" si="6"/>
        <v>土地使用年限（年）</v>
      </c>
      <c r="R10" s="1398" t="s">
        <v>1179</v>
      </c>
      <c r="S10" s="1399" t="e">
        <f t="shared" si="0"/>
        <v>#DIV/0!</v>
      </c>
      <c r="T10" s="1398" t="s">
        <v>1179</v>
      </c>
      <c r="U10" s="1399" t="e">
        <f t="shared" si="1"/>
        <v>#DIV/0!</v>
      </c>
      <c r="V10" s="1398" t="s">
        <v>1179</v>
      </c>
      <c r="W10" s="1399" t="e">
        <f t="shared" si="2"/>
        <v>#DIV/0!</v>
      </c>
      <c r="X10" s="1400"/>
      <c r="Y10" s="315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47" t="s">
        <v>1193</v>
      </c>
      <c r="Q15" s="983" t="str">
        <f t="shared" si="6"/>
        <v>产业集聚程度</v>
      </c>
      <c r="R15" s="1402" t="s">
        <v>1179</v>
      </c>
      <c r="S15" s="1403">
        <f t="shared" si="0"/>
        <v>100</v>
      </c>
      <c r="T15" s="1402" t="s">
        <v>1179</v>
      </c>
      <c r="U15" s="1403">
        <f t="shared" si="1"/>
        <v>100</v>
      </c>
      <c r="V15" s="1402" t="s">
        <v>1179</v>
      </c>
      <c r="W15" s="1403">
        <f t="shared" si="2"/>
        <v>100</v>
      </c>
      <c r="X15" s="1397"/>
      <c r="Y15" s="3247"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48"/>
      <c r="Q16" s="983"/>
      <c r="R16" s="1402"/>
      <c r="S16" s="1403"/>
      <c r="T16" s="1402"/>
      <c r="U16" s="1403"/>
      <c r="V16" s="1402"/>
      <c r="W16" s="1403"/>
      <c r="X16" s="1397"/>
      <c r="Y16" s="3248"/>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48"/>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48"/>
      <c r="Q18" s="983"/>
      <c r="R18" s="1402"/>
      <c r="S18" s="1403"/>
      <c r="T18" s="1402"/>
      <c r="U18" s="1403"/>
      <c r="V18" s="1402"/>
      <c r="W18" s="1403"/>
      <c r="X18" s="1397"/>
      <c r="Y18" s="3248"/>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48"/>
      <c r="Q19" s="983" t="str">
        <f t="shared" ref="Q19:Q34" si="8">B19</f>
        <v>区域土地利用方向</v>
      </c>
      <c r="R19" s="1402" t="s">
        <v>1179</v>
      </c>
      <c r="S19" s="1403">
        <f>F19</f>
        <v>100</v>
      </c>
      <c r="T19" s="1402" t="s">
        <v>1179</v>
      </c>
      <c r="U19" s="1403">
        <f>H19</f>
        <v>100</v>
      </c>
      <c r="V19" s="1402" t="s">
        <v>1179</v>
      </c>
      <c r="W19" s="1403">
        <f>J19</f>
        <v>100</v>
      </c>
      <c r="X19" s="1397"/>
      <c r="Y19" s="3248"/>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48"/>
      <c r="Q20" s="983"/>
      <c r="R20" s="1402"/>
      <c r="S20" s="1403"/>
      <c r="T20" s="1402"/>
      <c r="U20" s="1403"/>
      <c r="V20" s="1402"/>
      <c r="W20" s="1403"/>
      <c r="X20" s="1397"/>
      <c r="Y20" s="3248"/>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48"/>
      <c r="Q21" s="983" t="str">
        <f t="shared" si="8"/>
        <v>环境状况</v>
      </c>
      <c r="R21" s="1402" t="s">
        <v>1179</v>
      </c>
      <c r="S21" s="1403">
        <f>F21</f>
        <v>100</v>
      </c>
      <c r="T21" s="1402" t="s">
        <v>1179</v>
      </c>
      <c r="U21" s="1403">
        <f>H21</f>
        <v>100</v>
      </c>
      <c r="V21" s="1402" t="s">
        <v>1179</v>
      </c>
      <c r="W21" s="1403">
        <f>J21</f>
        <v>100</v>
      </c>
      <c r="X21" s="1397"/>
      <c r="Y21" s="3248"/>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48"/>
      <c r="Q22" s="983"/>
      <c r="R22" s="1402"/>
      <c r="S22" s="1403"/>
      <c r="T22" s="1402"/>
      <c r="U22" s="1403"/>
      <c r="V22" s="1402"/>
      <c r="W22" s="1403"/>
      <c r="X22" s="1397"/>
      <c r="Y22" s="3248"/>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48"/>
      <c r="Q23" s="1135" t="str">
        <f t="shared" si="8"/>
        <v>公共配套设施</v>
      </c>
      <c r="R23" s="1398" t="s">
        <v>1179</v>
      </c>
      <c r="S23" s="1399">
        <f>F23</f>
        <v>100</v>
      </c>
      <c r="T23" s="1398" t="s">
        <v>1179</v>
      </c>
      <c r="U23" s="1399">
        <f>H23</f>
        <v>100</v>
      </c>
      <c r="V23" s="1398" t="s">
        <v>1179</v>
      </c>
      <c r="W23" s="1399">
        <f>J23</f>
        <v>100</v>
      </c>
      <c r="X23" s="1400"/>
      <c r="Y23" s="3248"/>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48"/>
      <c r="Q24" s="1135"/>
      <c r="R24" s="1398"/>
      <c r="S24" s="1399"/>
      <c r="T24" s="1398"/>
      <c r="U24" s="1399"/>
      <c r="V24" s="1398"/>
      <c r="W24" s="1399"/>
      <c r="X24" s="1400"/>
      <c r="Y24" s="3248"/>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48"/>
      <c r="Q25" s="1135" t="str">
        <f t="shared" ref="Q25" si="9">B25</f>
        <v>基础设施水平</v>
      </c>
      <c r="R25" s="1398" t="s">
        <v>1179</v>
      </c>
      <c r="S25" s="1399">
        <f>F25</f>
        <v>100</v>
      </c>
      <c r="T25" s="1398" t="s">
        <v>1179</v>
      </c>
      <c r="U25" s="1399">
        <f>H25</f>
        <v>100</v>
      </c>
      <c r="V25" s="1398" t="s">
        <v>1179</v>
      </c>
      <c r="W25" s="1399">
        <f>J25</f>
        <v>100</v>
      </c>
      <c r="X25" s="1400"/>
      <c r="Y25" s="3248"/>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48"/>
      <c r="Q26" s="1135"/>
      <c r="R26" s="1398"/>
      <c r="S26" s="1399"/>
      <c r="T26" s="1398"/>
      <c r="U26" s="1399"/>
      <c r="V26" s="1398"/>
      <c r="W26" s="1399"/>
      <c r="X26" s="1400"/>
      <c r="Y26" s="3248"/>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48"/>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48"/>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48"/>
      <c r="Q28" s="983" t="str">
        <f t="shared" si="8"/>
        <v>毗邻道路的类型与等级</v>
      </c>
      <c r="R28" s="1402" t="s">
        <v>1179</v>
      </c>
      <c r="S28" s="1403">
        <f t="shared" si="10"/>
        <v>100</v>
      </c>
      <c r="T28" s="1402" t="s">
        <v>1179</v>
      </c>
      <c r="U28" s="1403">
        <f t="shared" si="11"/>
        <v>100</v>
      </c>
      <c r="V28" s="1402" t="s">
        <v>1179</v>
      </c>
      <c r="W28" s="1403">
        <f t="shared" si="12"/>
        <v>100</v>
      </c>
      <c r="X28" s="1397"/>
      <c r="Y28" s="3248"/>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48"/>
      <c r="Q29" s="983"/>
      <c r="R29" s="1402"/>
      <c r="S29" s="1403"/>
      <c r="T29" s="1402"/>
      <c r="U29" s="1403"/>
      <c r="V29" s="1402"/>
      <c r="W29" s="1403"/>
      <c r="X29" s="1397"/>
      <c r="Y29" s="3248"/>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48"/>
      <c r="Q30" s="983" t="str">
        <f t="shared" si="8"/>
        <v>土地级别</v>
      </c>
      <c r="R30" s="1402" t="s">
        <v>1179</v>
      </c>
      <c r="S30" s="1403">
        <f t="shared" si="10"/>
        <v>100</v>
      </c>
      <c r="T30" s="1402" t="s">
        <v>1179</v>
      </c>
      <c r="U30" s="1403">
        <f t="shared" si="11"/>
        <v>100</v>
      </c>
      <c r="V30" s="1402" t="s">
        <v>1179</v>
      </c>
      <c r="W30" s="1403">
        <f t="shared" si="12"/>
        <v>100</v>
      </c>
      <c r="X30" s="1397"/>
      <c r="Y30" s="3248"/>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48"/>
      <c r="Q31" s="983">
        <f t="shared" si="8"/>
        <v>111</v>
      </c>
      <c r="R31" s="1402" t="s">
        <v>1179</v>
      </c>
      <c r="S31" s="1403">
        <f t="shared" si="10"/>
        <v>100</v>
      </c>
      <c r="T31" s="1402" t="s">
        <v>1179</v>
      </c>
      <c r="U31" s="1403">
        <f t="shared" si="11"/>
        <v>100</v>
      </c>
      <c r="V31" s="1402" t="s">
        <v>1179</v>
      </c>
      <c r="W31" s="1403">
        <f t="shared" si="12"/>
        <v>100</v>
      </c>
      <c r="X31" s="1397"/>
      <c r="Y31" s="3248"/>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314" t="s">
        <v>1211</v>
      </c>
      <c r="Q32" s="983">
        <f t="shared" si="8"/>
        <v>111</v>
      </c>
      <c r="R32" s="1402" t="s">
        <v>1179</v>
      </c>
      <c r="S32" s="1403">
        <f t="shared" si="10"/>
        <v>100</v>
      </c>
      <c r="T32" s="1402" t="s">
        <v>1179</v>
      </c>
      <c r="U32" s="1403">
        <f t="shared" si="11"/>
        <v>100</v>
      </c>
      <c r="V32" s="1402" t="s">
        <v>1179</v>
      </c>
      <c r="W32" s="1403">
        <f t="shared" si="12"/>
        <v>100</v>
      </c>
      <c r="X32" s="1397"/>
      <c r="Y32" s="3249"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49"/>
      <c r="Q33" s="983">
        <f t="shared" si="8"/>
        <v>111</v>
      </c>
      <c r="R33" s="1404" t="s">
        <v>1179</v>
      </c>
      <c r="S33" s="1405">
        <f t="shared" si="10"/>
        <v>100</v>
      </c>
      <c r="T33" s="1404" t="s">
        <v>1179</v>
      </c>
      <c r="U33" s="1405">
        <f t="shared" si="11"/>
        <v>100</v>
      </c>
      <c r="V33" s="1404" t="s">
        <v>1179</v>
      </c>
      <c r="W33" s="1405">
        <f t="shared" si="12"/>
        <v>100</v>
      </c>
      <c r="X33" s="1406"/>
      <c r="Y33" s="3249"/>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49"/>
      <c r="Q34" s="983" t="str">
        <f t="shared" si="8"/>
        <v>宗地面积</v>
      </c>
      <c r="R34" s="1402" t="s">
        <v>1179</v>
      </c>
      <c r="S34" s="1403" t="e">
        <f t="shared" si="10"/>
        <v>#N/A</v>
      </c>
      <c r="T34" s="1402" t="s">
        <v>1179</v>
      </c>
      <c r="U34" s="1403" t="e">
        <f t="shared" si="11"/>
        <v>#N/A</v>
      </c>
      <c r="V34" s="1402" t="s">
        <v>1179</v>
      </c>
      <c r="W34" s="1403" t="e">
        <f t="shared" si="12"/>
        <v>#N/A</v>
      </c>
      <c r="X34" s="1397"/>
      <c r="Y34" s="3249"/>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49"/>
      <c r="Q35" s="983" t="str">
        <f t="shared" ref="Q35:Q40" si="14">B35</f>
        <v>宗地形状</v>
      </c>
      <c r="R35" s="1402" t="s">
        <v>1179</v>
      </c>
      <c r="S35" s="1403">
        <f t="shared" si="10"/>
        <v>100</v>
      </c>
      <c r="T35" s="1402" t="s">
        <v>1179</v>
      </c>
      <c r="U35" s="1403">
        <f t="shared" si="11"/>
        <v>100</v>
      </c>
      <c r="V35" s="1402" t="s">
        <v>1179</v>
      </c>
      <c r="W35" s="1403">
        <f t="shared" si="12"/>
        <v>100</v>
      </c>
      <c r="X35" s="1397"/>
      <c r="Y35" s="3249"/>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49"/>
      <c r="Q36" s="983" t="str">
        <f t="shared" si="14"/>
        <v>宗地开发程度</v>
      </c>
      <c r="R36" s="1398" t="s">
        <v>1179</v>
      </c>
      <c r="S36" s="1399">
        <f t="shared" si="10"/>
        <v>100</v>
      </c>
      <c r="T36" s="1398" t="s">
        <v>1179</v>
      </c>
      <c r="U36" s="1399">
        <f t="shared" si="11"/>
        <v>100</v>
      </c>
      <c r="V36" s="1398" t="s">
        <v>1179</v>
      </c>
      <c r="W36" s="1399">
        <f t="shared" si="12"/>
        <v>100</v>
      </c>
      <c r="X36" s="1400"/>
      <c r="Y36" s="3249"/>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49" t="s">
        <v>1211</v>
      </c>
      <c r="Q37" s="983" t="str">
        <f t="shared" si="14"/>
        <v>工程地质条件</v>
      </c>
      <c r="R37" s="1402" t="s">
        <v>1179</v>
      </c>
      <c r="S37" s="1403">
        <f t="shared" si="10"/>
        <v>100</v>
      </c>
      <c r="T37" s="1402" t="s">
        <v>1179</v>
      </c>
      <c r="U37" s="1403">
        <f t="shared" si="11"/>
        <v>100</v>
      </c>
      <c r="V37" s="1402" t="s">
        <v>1179</v>
      </c>
      <c r="W37" s="1403">
        <f t="shared" si="12"/>
        <v>100</v>
      </c>
      <c r="X37" s="1397"/>
      <c r="Y37" s="3249"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49"/>
      <c r="Q38" s="983">
        <f t="shared" si="14"/>
        <v>111</v>
      </c>
      <c r="R38" s="1402" t="s">
        <v>1179</v>
      </c>
      <c r="S38" s="1403">
        <f t="shared" si="10"/>
        <v>100</v>
      </c>
      <c r="T38" s="1402" t="s">
        <v>1179</v>
      </c>
      <c r="U38" s="1403">
        <f t="shared" si="11"/>
        <v>100</v>
      </c>
      <c r="V38" s="1402" t="s">
        <v>1179</v>
      </c>
      <c r="W38" s="1403">
        <f t="shared" si="12"/>
        <v>100</v>
      </c>
      <c r="X38" s="1397"/>
      <c r="Y38" s="3249"/>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49"/>
      <c r="Q39" s="983">
        <f t="shared" si="14"/>
        <v>111</v>
      </c>
      <c r="R39" s="1402" t="s">
        <v>1179</v>
      </c>
      <c r="S39" s="1403">
        <f t="shared" si="10"/>
        <v>100</v>
      </c>
      <c r="T39" s="1402" t="s">
        <v>1179</v>
      </c>
      <c r="U39" s="1403">
        <f t="shared" si="11"/>
        <v>100</v>
      </c>
      <c r="V39" s="1402" t="s">
        <v>1179</v>
      </c>
      <c r="W39" s="1403">
        <f t="shared" si="12"/>
        <v>100</v>
      </c>
      <c r="X39" s="1397"/>
      <c r="Y39" s="3249"/>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49"/>
      <c r="Q40" s="983">
        <f t="shared" si="14"/>
        <v>111</v>
      </c>
      <c r="R40" s="1404" t="s">
        <v>1179</v>
      </c>
      <c r="S40" s="1405">
        <f t="shared" si="10"/>
        <v>100</v>
      </c>
      <c r="T40" s="1404" t="s">
        <v>1179</v>
      </c>
      <c r="U40" s="1405">
        <f t="shared" si="11"/>
        <v>100</v>
      </c>
      <c r="V40" s="1404" t="s">
        <v>1179</v>
      </c>
      <c r="W40" s="1405">
        <f t="shared" si="12"/>
        <v>100</v>
      </c>
      <c r="X40" s="1406"/>
      <c r="Y40" s="3249"/>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39" t="str">
        <f>A41</f>
        <v>成交单价</v>
      </c>
      <c r="Q41" s="3239"/>
      <c r="R41" s="3240">
        <f>E41</f>
        <v>0</v>
      </c>
      <c r="S41" s="3240"/>
      <c r="T41" s="3240">
        <f>G41</f>
        <v>0</v>
      </c>
      <c r="U41" s="3240"/>
      <c r="V41" s="3240">
        <f>I41</f>
        <v>0</v>
      </c>
      <c r="W41" s="3240"/>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39" t="str">
        <f>A42</f>
        <v>比较价值（元/平方米）</v>
      </c>
      <c r="Q42" s="3239"/>
      <c r="R42" s="3323" t="e">
        <f>ROUND(PRODUCT(R41,AA7:AA40),0)</f>
        <v>#DIV/0!</v>
      </c>
      <c r="S42" s="3323"/>
      <c r="T42" s="3323" t="e">
        <f>ROUND(PRODUCT(T41,AB7:AB40),0)</f>
        <v>#DIV/0!</v>
      </c>
      <c r="U42" s="3323"/>
      <c r="V42" s="3323" t="e">
        <f>ROUND(PRODUCT(V41,AC7:AC40),0)</f>
        <v>#DIV/0!</v>
      </c>
      <c r="W42" s="3323"/>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51" t="str">
        <f>A43</f>
        <v>估价对象XX用房的比较价值（楼面单价，元/平方米）</v>
      </c>
      <c r="Q43" s="3252"/>
      <c r="R43" s="3324" t="e">
        <f>ROUND(IF(D42="简单平均",AVERAGE(R42:W42),R42*F42+T42*H42+V42*J42),0)</f>
        <v>#DIV/0!</v>
      </c>
      <c r="S43" s="3324"/>
      <c r="T43" s="3324"/>
      <c r="U43" s="3324"/>
      <c r="V43" s="3324"/>
      <c r="W43" s="3324"/>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24" t="s">
        <v>1766</v>
      </c>
      <c r="H50" s="3325"/>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41"/>
      <c r="H51" s="3239"/>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322"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322"/>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322"/>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322"/>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2024-5-1</v>
      </c>
      <c r="D63" s="1343">
        <f>EDATE(C63,-3)</f>
        <v>45323</v>
      </c>
      <c r="E63" s="1343">
        <f>EDATE(D63,-3)</f>
        <v>45231</v>
      </c>
      <c r="F63" s="1343">
        <f t="shared" ref="F63:O63" si="18">EDATE(E63,-3)</f>
        <v>45139</v>
      </c>
      <c r="G63" s="1343">
        <f t="shared" si="18"/>
        <v>45047</v>
      </c>
      <c r="H63" s="1343">
        <f t="shared" si="18"/>
        <v>44958</v>
      </c>
      <c r="I63" s="1343">
        <f t="shared" si="18"/>
        <v>44866</v>
      </c>
      <c r="J63" s="1343">
        <f t="shared" si="18"/>
        <v>44774</v>
      </c>
      <c r="K63" s="1343">
        <f t="shared" si="18"/>
        <v>44682</v>
      </c>
      <c r="L63" s="1343">
        <f t="shared" si="18"/>
        <v>44593</v>
      </c>
      <c r="M63" s="1343">
        <f t="shared" si="18"/>
        <v>44501</v>
      </c>
      <c r="N63" s="1343">
        <f t="shared" si="18"/>
        <v>44409</v>
      </c>
      <c r="O63" s="1343">
        <f t="shared" si="18"/>
        <v>44317</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2024-2</v>
      </c>
      <c r="D65" s="1414" t="str">
        <f t="shared" ref="D65:O65" si="19">YEAR(D63)&amp;"-"&amp;ROUNDUP(MONTH(D63)/3,0)</f>
        <v>2024-1</v>
      </c>
      <c r="E65" s="1414" t="str">
        <f t="shared" si="19"/>
        <v>2023-4</v>
      </c>
      <c r="F65" s="1414" t="str">
        <f t="shared" si="19"/>
        <v>2023-3</v>
      </c>
      <c r="G65" s="1414" t="str">
        <f t="shared" si="19"/>
        <v>2023-2</v>
      </c>
      <c r="H65" s="1414" t="str">
        <f t="shared" si="19"/>
        <v>2023-1</v>
      </c>
      <c r="I65" s="1414" t="str">
        <f t="shared" si="19"/>
        <v>2022-4</v>
      </c>
      <c r="J65" s="1414" t="str">
        <f t="shared" si="19"/>
        <v>2022-3</v>
      </c>
      <c r="K65" s="1414" t="str">
        <f t="shared" si="19"/>
        <v>2022-2</v>
      </c>
      <c r="L65" s="1414" t="str">
        <f t="shared" si="19"/>
        <v>2022-1</v>
      </c>
      <c r="M65" s="1414" t="str">
        <f t="shared" si="19"/>
        <v>2021-4</v>
      </c>
      <c r="N65" s="1414" t="str">
        <f t="shared" si="19"/>
        <v>2021-3</v>
      </c>
      <c r="O65" s="1414" t="str">
        <f t="shared" si="19"/>
        <v>2021-2</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30"/>
      <c r="B4" s="3331"/>
      <c r="C4" s="3331"/>
      <c r="D4" s="3332"/>
      <c r="E4" s="3332"/>
      <c r="F4" s="3332"/>
      <c r="G4" s="3332"/>
      <c r="H4" s="3332"/>
      <c r="I4" s="3332"/>
      <c r="J4" s="3333"/>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341"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342"/>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34" t="s">
        <v>1828</v>
      </c>
      <c r="X8" s="3335"/>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342"/>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39"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342"/>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39"/>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342"/>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39"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341"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39"/>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343"/>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39"/>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343"/>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344"/>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341" t="s">
        <v>1869</v>
      </c>
      <c r="B16" s="920" t="s">
        <v>1870</v>
      </c>
      <c r="C16" s="951">
        <f>ROUND(IF(F17="与级别开发程度一致",0,(G17-E17)/C17),0)</f>
        <v>0</v>
      </c>
      <c r="D16" s="3336" t="s">
        <v>1871</v>
      </c>
      <c r="E16" s="3337"/>
      <c r="F16" s="3336" t="s">
        <v>1872</v>
      </c>
      <c r="G16" s="3337"/>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345"/>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45422</v>
      </c>
      <c r="H19" s="970" t="s">
        <v>1879</v>
      </c>
      <c r="I19" s="1090" t="str">
        <f>IF(H19="季度增幅（自定义）",SUMIF(N21:N24,E2,O21:O24),"")</f>
        <v/>
      </c>
      <c r="J19" s="1091"/>
      <c r="K19" s="1087"/>
      <c r="L19" s="1092" t="s">
        <v>1880</v>
      </c>
      <c r="M19" s="1093">
        <f>ROUND(SUMIF(地价!B2:F2,E2,地价!B39:F39),0)</f>
        <v>258</v>
      </c>
      <c r="N19" s="1094" t="s">
        <v>1881</v>
      </c>
      <c r="O19" s="1095">
        <f>ROUNDDOWN(DATEDIF(E19,G19,"M")/3,0)</f>
        <v>41</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346"/>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55"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347"/>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347"/>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347"/>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347"/>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48"/>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48"/>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估价对象周边商业设施以住宅配套商业为主，周边2公里有芳圆里IDMALL、合生汇等，估价对象临城市支路-广泰东路，人流量一般，商业繁华程度一般。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76.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25.5">
      <c r="A52" s="1045" t="s">
        <v>1949</v>
      </c>
      <c r="B52" s="1046" t="str">
        <f>估价对象房地状况!C24</f>
        <v>紧邻城市支路——广泰东路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78.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38.25">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76.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25.5">
      <c r="A63" s="1045" t="s">
        <v>1949</v>
      </c>
      <c r="B63" s="1046" t="str">
        <f>估价对象房地状况!C24</f>
        <v>紧邻城市支路——广泰东路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78.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38.25">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76.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25.5">
      <c r="A73" s="1045" t="s">
        <v>1960</v>
      </c>
      <c r="B73" s="1046" t="str">
        <f>估价对象房地状况!C24</f>
        <v>紧邻城市支路——广泰东路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78.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38.25">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38" t="s">
        <v>1966</v>
      </c>
      <c r="B90" s="3338"/>
      <c r="C90" s="3338"/>
      <c r="D90" s="3338"/>
      <c r="E90" s="3338"/>
      <c r="F90" s="3338"/>
      <c r="G90" s="3338"/>
      <c r="H90" s="3338"/>
      <c r="I90" s="3338"/>
      <c r="J90" s="3338"/>
      <c r="K90" s="1170"/>
      <c r="L90" s="1170"/>
      <c r="M90" s="1170"/>
      <c r="N90" s="1170"/>
    </row>
    <row r="91" spans="1:37">
      <c r="A91" s="3349" t="s">
        <v>1967</v>
      </c>
      <c r="B91" s="3349" t="s">
        <v>1968</v>
      </c>
      <c r="C91" s="1013" t="s">
        <v>1969</v>
      </c>
      <c r="D91" s="1014"/>
      <c r="E91" s="1014"/>
      <c r="F91" s="1014"/>
      <c r="G91" s="1014"/>
      <c r="H91" s="1014"/>
      <c r="I91" s="1014"/>
      <c r="J91" s="1188"/>
      <c r="K91" s="1189"/>
      <c r="L91" s="1189"/>
      <c r="M91" s="1189"/>
      <c r="N91" s="1189"/>
    </row>
    <row r="92" spans="1:37">
      <c r="A92" s="3349"/>
      <c r="B92" s="3349"/>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50"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5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5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5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5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5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51"/>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5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50"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51"/>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51"/>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51"/>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51"/>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51"/>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51"/>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51"/>
      <c r="B108" s="3353"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52"/>
      <c r="B109" s="3354"/>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340" t="s">
        <v>1973</v>
      </c>
      <c r="B110" s="3340"/>
      <c r="C110" s="3340"/>
      <c r="D110" s="3340"/>
      <c r="E110" s="3340"/>
      <c r="F110" s="3340"/>
      <c r="G110" s="3340"/>
      <c r="H110" s="3340"/>
      <c r="I110" s="3340"/>
      <c r="J110" s="3340"/>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8.75">
      <c r="A4" s="2869"/>
      <c r="B4" s="2986" t="s">
        <v>95</v>
      </c>
      <c r="C4" s="2986"/>
      <c r="D4" s="2986"/>
      <c r="E4" s="2869"/>
    </row>
    <row r="5" spans="1:5" ht="15.75">
      <c r="B5" s="2978" t="s">
        <v>96</v>
      </c>
      <c r="C5" s="2870" t="s">
        <v>97</v>
      </c>
      <c r="D5" s="2871" t="e">
        <f ca="1">结果表!H101</f>
        <v>#REF!</v>
      </c>
    </row>
    <row r="6" spans="1:5" ht="15.75">
      <c r="B6" s="2978"/>
      <c r="C6" s="2870" t="s">
        <v>98</v>
      </c>
      <c r="D6" s="2871" t="e">
        <f ca="1">NUMBERSTRING(INT(D5*10000),2)&amp;"元整"</f>
        <v>#REF!</v>
      </c>
    </row>
    <row r="7" spans="1:5" ht="15.75">
      <c r="B7" s="2979"/>
      <c r="C7" s="2872" t="s">
        <v>99</v>
      </c>
      <c r="D7" s="2873" t="e">
        <f ca="1">结果表!H102</f>
        <v>#REF!</v>
      </c>
    </row>
    <row r="8" spans="1:5" ht="15.75">
      <c r="B8" s="2980" t="str">
        <f>结果表!E103</f>
        <v>2.估价师知悉的法定优先受偿款</v>
      </c>
      <c r="C8" s="2874" t="s">
        <v>100</v>
      </c>
      <c r="D8" s="2873">
        <f>结果表!H103</f>
        <v>0</v>
      </c>
    </row>
    <row r="9" spans="1:5" ht="15.75">
      <c r="B9" s="2982"/>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77" t="str">
        <f>结果表!E107</f>
        <v>3.房地产抵押价值</v>
      </c>
      <c r="C13" s="2878" t="s">
        <v>97</v>
      </c>
      <c r="D13" s="2879" t="e">
        <f ca="1">结果表!H107</f>
        <v>#REF!</v>
      </c>
    </row>
    <row r="14" spans="1:5" ht="15.75">
      <c r="B14" s="2978"/>
      <c r="C14" s="2870" t="s">
        <v>98</v>
      </c>
      <c r="D14" s="2871" t="e">
        <f ca="1">NUMBERSTRING(INT(D13*10000),2)&amp;"元整"</f>
        <v>#REF!</v>
      </c>
    </row>
    <row r="15" spans="1:5" ht="15">
      <c r="B15" s="2979"/>
      <c r="C15" s="2872" t="s">
        <v>99</v>
      </c>
      <c r="D15" s="2880" t="e">
        <f ca="1">结果表!H108</f>
        <v>#REF!</v>
      </c>
    </row>
    <row r="16" spans="1:5" ht="15">
      <c r="B16" s="2980" t="str">
        <f>结果表!E109</f>
        <v>——</v>
      </c>
      <c r="C16" s="2878" t="s">
        <v>97</v>
      </c>
      <c r="D16" s="2881" t="str">
        <f>结果表!H109</f>
        <v>——</v>
      </c>
    </row>
    <row r="17" spans="1:5" ht="15.75">
      <c r="B17" s="2981"/>
      <c r="C17" s="2870" t="s">
        <v>98</v>
      </c>
      <c r="D17" s="2871" t="e">
        <f>NUMBERSTRING(INT(D16*10000),2)&amp;"元整"</f>
        <v>#VALUE!</v>
      </c>
    </row>
    <row r="18" spans="1:5" ht="15">
      <c r="B18" s="2982"/>
      <c r="C18" s="2872" t="s">
        <v>99</v>
      </c>
      <c r="D18" s="2880" t="str">
        <f>结果表!H110</f>
        <v>——</v>
      </c>
    </row>
    <row r="19" spans="1:5" ht="15.75">
      <c r="B19" s="2977" t="str">
        <f>结果表!E111</f>
        <v>——</v>
      </c>
      <c r="C19" s="2878" t="s">
        <v>97</v>
      </c>
      <c r="D19" s="2873" t="str">
        <f>结果表!H111</f>
        <v>——</v>
      </c>
    </row>
    <row r="20" spans="1:5" ht="15.75">
      <c r="B20" s="2978"/>
      <c r="C20" s="2870" t="s">
        <v>98</v>
      </c>
      <c r="D20" s="2871" t="e">
        <f>NUMBERSTRING(INT(D19*10000),2)&amp;"元整"</f>
        <v>#VALUE!</v>
      </c>
    </row>
    <row r="21" spans="1:5" ht="15">
      <c r="B21" s="2983"/>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56" t="s">
        <v>459</v>
      </c>
      <c r="B18" s="874" t="s">
        <v>2004</v>
      </c>
      <c r="C18" s="875" t="s">
        <v>2005</v>
      </c>
      <c r="D18" s="876"/>
      <c r="E18" s="874">
        <v>1</v>
      </c>
      <c r="F18" s="877" t="s">
        <v>2006</v>
      </c>
      <c r="G18" s="878"/>
    </row>
    <row r="19" spans="1:7" ht="19.5" customHeight="1">
      <c r="A19" s="3356"/>
      <c r="B19" s="3356" t="s">
        <v>2007</v>
      </c>
      <c r="C19" s="875" t="s">
        <v>2008</v>
      </c>
      <c r="D19" s="876"/>
      <c r="E19" s="874">
        <v>0.9</v>
      </c>
      <c r="F19" s="877" t="s">
        <v>2009</v>
      </c>
      <c r="G19" s="878"/>
    </row>
    <row r="20" spans="1:7" ht="19.5" customHeight="1">
      <c r="A20" s="3356"/>
      <c r="B20" s="3356"/>
      <c r="C20" s="875" t="s">
        <v>1807</v>
      </c>
      <c r="D20" s="876"/>
      <c r="E20" s="874">
        <v>1.1000000000000001</v>
      </c>
      <c r="F20" s="877" t="s">
        <v>2010</v>
      </c>
      <c r="G20" s="878"/>
    </row>
    <row r="21" spans="1:7" ht="19.5" customHeight="1">
      <c r="A21" s="3356"/>
      <c r="B21" s="3356"/>
      <c r="C21" s="875" t="s">
        <v>2011</v>
      </c>
      <c r="D21" s="876"/>
      <c r="E21" s="874">
        <v>0.8</v>
      </c>
      <c r="F21" s="877" t="s">
        <v>2012</v>
      </c>
      <c r="G21" s="878"/>
    </row>
    <row r="22" spans="1:7" ht="19.5" customHeight="1">
      <c r="A22" s="3356"/>
      <c r="B22" s="3356"/>
      <c r="C22" s="875" t="s">
        <v>2013</v>
      </c>
      <c r="D22" s="876"/>
      <c r="E22" s="874">
        <v>0.5</v>
      </c>
      <c r="F22" s="877"/>
      <c r="G22" s="878"/>
    </row>
    <row r="23" spans="1:7" ht="19.5" customHeight="1">
      <c r="A23" s="3356" t="s">
        <v>1988</v>
      </c>
      <c r="B23" s="874" t="s">
        <v>2004</v>
      </c>
      <c r="C23" s="875" t="s">
        <v>2014</v>
      </c>
      <c r="D23" s="876"/>
      <c r="E23" s="874">
        <v>1</v>
      </c>
      <c r="F23" s="877" t="s">
        <v>2015</v>
      </c>
      <c r="G23" s="878"/>
    </row>
    <row r="24" spans="1:7" ht="19.5" customHeight="1">
      <c r="A24" s="3356"/>
      <c r="B24" s="3356" t="s">
        <v>2007</v>
      </c>
      <c r="C24" s="875" t="s">
        <v>2016</v>
      </c>
      <c r="D24" s="876"/>
      <c r="E24" s="874">
        <v>0.5</v>
      </c>
      <c r="F24" s="877"/>
      <c r="G24" s="878"/>
    </row>
    <row r="25" spans="1:7" ht="19.5" customHeight="1">
      <c r="A25" s="3356"/>
      <c r="B25" s="3356"/>
      <c r="C25" s="875" t="s">
        <v>2017</v>
      </c>
      <c r="D25" s="876"/>
      <c r="E25" s="874">
        <v>1.1000000000000001</v>
      </c>
      <c r="F25" s="877"/>
      <c r="G25" s="878"/>
    </row>
    <row r="26" spans="1:7" ht="19.5" customHeight="1">
      <c r="A26" s="3356"/>
      <c r="B26" s="3356"/>
      <c r="C26" s="875" t="s">
        <v>2018</v>
      </c>
      <c r="D26" s="876"/>
      <c r="E26" s="874">
        <v>1.1000000000000001</v>
      </c>
      <c r="F26" s="877"/>
      <c r="G26" s="878"/>
    </row>
    <row r="27" spans="1:7" ht="19.5" customHeight="1">
      <c r="A27" s="3356"/>
      <c r="B27" s="3356"/>
      <c r="C27" s="875" t="s">
        <v>2019</v>
      </c>
      <c r="D27" s="876"/>
      <c r="E27" s="874">
        <v>0.9</v>
      </c>
      <c r="F27" s="877" t="s">
        <v>2020</v>
      </c>
      <c r="G27" s="878"/>
    </row>
    <row r="28" spans="1:7" ht="19.5" customHeight="1">
      <c r="A28" s="3356"/>
      <c r="B28" s="3356"/>
      <c r="C28" s="875" t="s">
        <v>2021</v>
      </c>
      <c r="D28" s="876"/>
      <c r="E28" s="874">
        <v>0.9</v>
      </c>
      <c r="F28" s="877" t="s">
        <v>2022</v>
      </c>
      <c r="G28" s="878"/>
    </row>
    <row r="29" spans="1:7" ht="19.5" customHeight="1">
      <c r="A29" s="3356"/>
      <c r="B29" s="3356"/>
      <c r="C29" s="875" t="s">
        <v>2023</v>
      </c>
      <c r="D29" s="876"/>
      <c r="E29" s="874">
        <v>0.9</v>
      </c>
      <c r="F29" s="877" t="s">
        <v>2024</v>
      </c>
      <c r="G29" s="878"/>
    </row>
    <row r="30" spans="1:7" ht="19.5" customHeight="1">
      <c r="A30" s="3356"/>
      <c r="B30" s="3356"/>
      <c r="C30" s="875" t="s">
        <v>2025</v>
      </c>
      <c r="D30" s="876"/>
      <c r="E30" s="874">
        <v>0.9</v>
      </c>
      <c r="F30" s="877" t="s">
        <v>2026</v>
      </c>
      <c r="G30" s="878"/>
    </row>
    <row r="31" spans="1:7" ht="19.5" customHeight="1">
      <c r="A31" s="3356"/>
      <c r="B31" s="3356"/>
      <c r="C31" s="875" t="s">
        <v>2027</v>
      </c>
      <c r="D31" s="876"/>
      <c r="E31" s="874">
        <v>0.8</v>
      </c>
      <c r="F31" s="877" t="s">
        <v>2028</v>
      </c>
      <c r="G31" s="878"/>
    </row>
    <row r="32" spans="1:7" ht="19.5" customHeight="1">
      <c r="A32" s="3356"/>
      <c r="B32" s="3356"/>
      <c r="C32" s="875" t="s">
        <v>2029</v>
      </c>
      <c r="D32" s="876"/>
      <c r="E32" s="874">
        <v>0.8</v>
      </c>
      <c r="F32" s="877" t="s">
        <v>2030</v>
      </c>
      <c r="G32" s="878"/>
    </row>
    <row r="33" spans="1:8" ht="19.5" customHeight="1">
      <c r="A33" s="3356" t="s">
        <v>2031</v>
      </c>
      <c r="B33" s="874" t="s">
        <v>2004</v>
      </c>
      <c r="C33" s="875" t="s">
        <v>2032</v>
      </c>
      <c r="D33" s="876"/>
      <c r="E33" s="874">
        <v>1</v>
      </c>
      <c r="F33" s="877" t="s">
        <v>2033</v>
      </c>
      <c r="G33" s="878"/>
    </row>
    <row r="34" spans="1:8" ht="19.5" customHeight="1">
      <c r="A34" s="3356"/>
      <c r="B34" s="874" t="s">
        <v>2007</v>
      </c>
      <c r="C34" s="875" t="s">
        <v>2034</v>
      </c>
      <c r="D34" s="876"/>
      <c r="E34" s="874">
        <v>1.5</v>
      </c>
      <c r="F34" s="877" t="s">
        <v>2035</v>
      </c>
      <c r="G34" s="878"/>
    </row>
    <row r="35" spans="1:8" ht="19.5" customHeight="1">
      <c r="A35" s="3356" t="s">
        <v>1990</v>
      </c>
      <c r="B35" s="874" t="s">
        <v>2004</v>
      </c>
      <c r="C35" s="875" t="s">
        <v>2036</v>
      </c>
      <c r="D35" s="876"/>
      <c r="E35" s="874">
        <v>1</v>
      </c>
      <c r="F35" s="877" t="s">
        <v>2037</v>
      </c>
      <c r="G35" s="878"/>
    </row>
    <row r="36" spans="1:8" ht="19.5" customHeight="1">
      <c r="A36" s="3356"/>
      <c r="B36" s="3356" t="s">
        <v>2007</v>
      </c>
      <c r="C36" s="875" t="s">
        <v>2038</v>
      </c>
      <c r="D36" s="876"/>
      <c r="E36" s="874">
        <v>1</v>
      </c>
      <c r="F36" s="877" t="s">
        <v>2039</v>
      </c>
      <c r="G36" s="878"/>
    </row>
    <row r="37" spans="1:8" ht="19.5" customHeight="1">
      <c r="A37" s="3356"/>
      <c r="B37" s="3356"/>
      <c r="C37" s="875" t="s">
        <v>2040</v>
      </c>
      <c r="D37" s="876"/>
      <c r="E37" s="874">
        <v>1.5</v>
      </c>
      <c r="F37" s="877" t="s">
        <v>2041</v>
      </c>
      <c r="G37" s="878"/>
    </row>
    <row r="38" spans="1:8" ht="19.5" customHeight="1">
      <c r="A38" s="3356"/>
      <c r="B38" s="3356"/>
      <c r="C38" s="875" t="s">
        <v>2042</v>
      </c>
      <c r="D38" s="876"/>
      <c r="E38" s="874">
        <v>1</v>
      </c>
      <c r="F38" s="877" t="s">
        <v>2043</v>
      </c>
      <c r="G38" s="878"/>
    </row>
    <row r="39" spans="1:8" ht="19.5" customHeight="1">
      <c r="A39" s="3356"/>
      <c r="B39" s="3356"/>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56" t="s">
        <v>2056</v>
      </c>
      <c r="C61" s="865" t="s">
        <v>2057</v>
      </c>
      <c r="D61" s="865" t="s">
        <v>2058</v>
      </c>
      <c r="E61" s="885">
        <v>0.5</v>
      </c>
      <c r="F61" s="874">
        <v>80</v>
      </c>
    </row>
    <row r="62" spans="1:8" s="553" customFormat="1" ht="24">
      <c r="A62" s="874">
        <v>2</v>
      </c>
      <c r="B62" s="3356"/>
      <c r="C62" s="865" t="s">
        <v>2059</v>
      </c>
      <c r="D62" s="865" t="s">
        <v>2060</v>
      </c>
      <c r="E62" s="885">
        <v>0.5</v>
      </c>
      <c r="F62" s="874">
        <v>80</v>
      </c>
    </row>
    <row r="63" spans="1:8" s="553" customFormat="1" ht="36">
      <c r="A63" s="874">
        <v>3</v>
      </c>
      <c r="B63" s="3356"/>
      <c r="C63" s="865" t="s">
        <v>2061</v>
      </c>
      <c r="D63" s="865" t="s">
        <v>2062</v>
      </c>
      <c r="E63" s="885">
        <v>0.5</v>
      </c>
      <c r="F63" s="874">
        <v>80</v>
      </c>
    </row>
    <row r="64" spans="1:8" s="553" customFormat="1" ht="36">
      <c r="A64" s="874">
        <v>4</v>
      </c>
      <c r="B64" s="3356"/>
      <c r="C64" s="865" t="s">
        <v>2063</v>
      </c>
      <c r="D64" s="865" t="s">
        <v>2064</v>
      </c>
      <c r="E64" s="885">
        <v>0.4</v>
      </c>
      <c r="F64" s="874">
        <v>60</v>
      </c>
    </row>
    <row r="65" spans="1:6" s="553" customFormat="1" ht="36">
      <c r="A65" s="874">
        <v>5</v>
      </c>
      <c r="B65" s="3356"/>
      <c r="C65" s="865" t="s">
        <v>2065</v>
      </c>
      <c r="D65" s="865" t="s">
        <v>2066</v>
      </c>
      <c r="E65" s="885">
        <v>0.2</v>
      </c>
      <c r="F65" s="874">
        <v>30</v>
      </c>
    </row>
    <row r="66" spans="1:6" s="553" customFormat="1" ht="36">
      <c r="A66" s="874">
        <v>6</v>
      </c>
      <c r="B66" s="3356"/>
      <c r="C66" s="865" t="s">
        <v>2067</v>
      </c>
      <c r="D66" s="865" t="s">
        <v>2068</v>
      </c>
      <c r="E66" s="885">
        <v>0.3</v>
      </c>
      <c r="F66" s="874">
        <v>50</v>
      </c>
    </row>
    <row r="67" spans="1:6" s="553" customFormat="1" ht="36">
      <c r="A67" s="874">
        <v>7</v>
      </c>
      <c r="B67" s="3356"/>
      <c r="C67" s="865" t="s">
        <v>2069</v>
      </c>
      <c r="D67" s="865" t="s">
        <v>2070</v>
      </c>
      <c r="E67" s="885">
        <v>0.2</v>
      </c>
      <c r="F67" s="874">
        <v>30</v>
      </c>
    </row>
    <row r="68" spans="1:6" s="553" customFormat="1" ht="36">
      <c r="A68" s="874">
        <v>8</v>
      </c>
      <c r="B68" s="3356"/>
      <c r="C68" s="865" t="s">
        <v>2071</v>
      </c>
      <c r="D68" s="865" t="s">
        <v>2072</v>
      </c>
      <c r="E68" s="885">
        <v>0.2</v>
      </c>
      <c r="F68" s="874">
        <v>30</v>
      </c>
    </row>
    <row r="69" spans="1:6" s="553" customFormat="1" ht="36">
      <c r="A69" s="874">
        <v>9</v>
      </c>
      <c r="B69" s="3356"/>
      <c r="C69" s="865" t="s">
        <v>2073</v>
      </c>
      <c r="D69" s="865" t="s">
        <v>2074</v>
      </c>
      <c r="E69" s="885">
        <v>0.2</v>
      </c>
      <c r="F69" s="874">
        <v>30</v>
      </c>
    </row>
    <row r="70" spans="1:6" s="553" customFormat="1" ht="48">
      <c r="A70" s="874">
        <v>10</v>
      </c>
      <c r="B70" s="3356"/>
      <c r="C70" s="865" t="s">
        <v>2075</v>
      </c>
      <c r="D70" s="865" t="s">
        <v>2076</v>
      </c>
      <c r="E70" s="885">
        <v>0.2</v>
      </c>
      <c r="F70" s="874">
        <v>30</v>
      </c>
    </row>
    <row r="71" spans="1:6" s="553" customFormat="1" ht="48">
      <c r="A71" s="874">
        <v>11</v>
      </c>
      <c r="B71" s="3356"/>
      <c r="C71" s="865" t="s">
        <v>2077</v>
      </c>
      <c r="D71" s="865" t="s">
        <v>2078</v>
      </c>
      <c r="E71" s="885">
        <v>0.2</v>
      </c>
      <c r="F71" s="874">
        <v>30</v>
      </c>
    </row>
    <row r="72" spans="1:6" s="553" customFormat="1" ht="36">
      <c r="A72" s="874">
        <v>12</v>
      </c>
      <c r="B72" s="3356"/>
      <c r="C72" s="865" t="s">
        <v>2079</v>
      </c>
      <c r="D72" s="865" t="s">
        <v>2080</v>
      </c>
      <c r="E72" s="885">
        <v>0.5</v>
      </c>
      <c r="F72" s="874">
        <v>80</v>
      </c>
    </row>
    <row r="73" spans="1:6" s="553" customFormat="1" ht="24">
      <c r="A73" s="874">
        <v>13</v>
      </c>
      <c r="B73" s="3356"/>
      <c r="C73" s="865" t="s">
        <v>2081</v>
      </c>
      <c r="D73" s="865" t="s">
        <v>2082</v>
      </c>
      <c r="E73" s="885">
        <v>0.4</v>
      </c>
      <c r="F73" s="874">
        <v>60</v>
      </c>
    </row>
    <row r="74" spans="1:6" s="553" customFormat="1" ht="24">
      <c r="A74" s="874">
        <v>14</v>
      </c>
      <c r="B74" s="3356"/>
      <c r="C74" s="865" t="s">
        <v>2083</v>
      </c>
      <c r="D74" s="865" t="s">
        <v>2084</v>
      </c>
      <c r="E74" s="885">
        <v>0.2</v>
      </c>
      <c r="F74" s="874">
        <v>30</v>
      </c>
    </row>
    <row r="75" spans="1:6" s="553" customFormat="1" ht="24">
      <c r="A75" s="874">
        <v>15</v>
      </c>
      <c r="B75" s="3356"/>
      <c r="C75" s="865" t="s">
        <v>2085</v>
      </c>
      <c r="D75" s="865" t="s">
        <v>2086</v>
      </c>
      <c r="E75" s="885">
        <v>0.2</v>
      </c>
      <c r="F75" s="874">
        <v>30</v>
      </c>
    </row>
    <row r="76" spans="1:6" s="553" customFormat="1" ht="24">
      <c r="A76" s="874">
        <v>16</v>
      </c>
      <c r="B76" s="3356" t="s">
        <v>2087</v>
      </c>
      <c r="C76" s="865" t="s">
        <v>2088</v>
      </c>
      <c r="D76" s="865" t="s">
        <v>2089</v>
      </c>
      <c r="E76" s="885">
        <v>0.5</v>
      </c>
      <c r="F76" s="874">
        <v>80</v>
      </c>
    </row>
    <row r="77" spans="1:6" s="553" customFormat="1" ht="24">
      <c r="A77" s="874">
        <v>17</v>
      </c>
      <c r="B77" s="3356"/>
      <c r="C77" s="865" t="s">
        <v>2090</v>
      </c>
      <c r="D77" s="865" t="s">
        <v>2091</v>
      </c>
      <c r="E77" s="885">
        <v>0.5</v>
      </c>
      <c r="F77" s="874">
        <v>80</v>
      </c>
    </row>
    <row r="78" spans="1:6" s="553" customFormat="1" ht="24">
      <c r="A78" s="874">
        <v>18</v>
      </c>
      <c r="B78" s="3356"/>
      <c r="C78" s="865" t="s">
        <v>2092</v>
      </c>
      <c r="D78" s="865" t="s">
        <v>2093</v>
      </c>
      <c r="E78" s="885">
        <v>0.2</v>
      </c>
      <c r="F78" s="874">
        <v>30</v>
      </c>
    </row>
    <row r="79" spans="1:6" s="553" customFormat="1" ht="24">
      <c r="A79" s="874">
        <v>19</v>
      </c>
      <c r="B79" s="3356"/>
      <c r="C79" s="865" t="s">
        <v>2094</v>
      </c>
      <c r="D79" s="865" t="s">
        <v>2095</v>
      </c>
      <c r="E79" s="885">
        <v>0.5</v>
      </c>
      <c r="F79" s="874">
        <v>80</v>
      </c>
    </row>
    <row r="80" spans="1:6" s="553" customFormat="1" ht="36">
      <c r="A80" s="874">
        <v>20</v>
      </c>
      <c r="B80" s="3356"/>
      <c r="C80" s="865" t="s">
        <v>2096</v>
      </c>
      <c r="D80" s="865" t="s">
        <v>2097</v>
      </c>
      <c r="E80" s="885">
        <v>0.2</v>
      </c>
      <c r="F80" s="874">
        <v>30</v>
      </c>
    </row>
    <row r="81" spans="1:6" s="553" customFormat="1" ht="36">
      <c r="A81" s="874">
        <v>21</v>
      </c>
      <c r="B81" s="3356"/>
      <c r="C81" s="865" t="s">
        <v>2098</v>
      </c>
      <c r="D81" s="865" t="s">
        <v>2099</v>
      </c>
      <c r="E81" s="885">
        <v>0.2</v>
      </c>
      <c r="F81" s="874">
        <v>30</v>
      </c>
    </row>
    <row r="82" spans="1:6" s="553" customFormat="1" ht="48">
      <c r="A82" s="874">
        <v>22</v>
      </c>
      <c r="B82" s="3356"/>
      <c r="C82" s="865" t="s">
        <v>2100</v>
      </c>
      <c r="D82" s="865" t="s">
        <v>2101</v>
      </c>
      <c r="E82" s="885">
        <v>0.2</v>
      </c>
      <c r="F82" s="874">
        <v>30</v>
      </c>
    </row>
    <row r="83" spans="1:6" s="553" customFormat="1" ht="48">
      <c r="A83" s="874">
        <v>23</v>
      </c>
      <c r="B83" s="3356"/>
      <c r="C83" s="865" t="s">
        <v>2102</v>
      </c>
      <c r="D83" s="865" t="s">
        <v>2103</v>
      </c>
      <c r="E83" s="885">
        <v>0.2</v>
      </c>
      <c r="F83" s="874">
        <v>30</v>
      </c>
    </row>
    <row r="84" spans="1:6" s="553" customFormat="1" ht="36">
      <c r="A84" s="874">
        <v>24</v>
      </c>
      <c r="B84" s="3356"/>
      <c r="C84" s="865" t="s">
        <v>2104</v>
      </c>
      <c r="D84" s="865" t="s">
        <v>2105</v>
      </c>
      <c r="E84" s="885">
        <v>0.2</v>
      </c>
      <c r="F84" s="874">
        <v>30</v>
      </c>
    </row>
    <row r="85" spans="1:6" s="553" customFormat="1" ht="36">
      <c r="A85" s="874">
        <v>25</v>
      </c>
      <c r="B85" s="3356"/>
      <c r="C85" s="865" t="s">
        <v>2106</v>
      </c>
      <c r="D85" s="865" t="s">
        <v>2107</v>
      </c>
      <c r="E85" s="885">
        <v>0.5</v>
      </c>
      <c r="F85" s="874">
        <v>80</v>
      </c>
    </row>
    <row r="86" spans="1:6" s="553" customFormat="1" ht="36">
      <c r="A86" s="874">
        <v>26</v>
      </c>
      <c r="B86" s="3356"/>
      <c r="C86" s="865" t="s">
        <v>2108</v>
      </c>
      <c r="D86" s="865" t="s">
        <v>2109</v>
      </c>
      <c r="E86" s="885">
        <v>0.2</v>
      </c>
      <c r="F86" s="874">
        <v>30</v>
      </c>
    </row>
    <row r="87" spans="1:6" s="553" customFormat="1" ht="36">
      <c r="A87" s="874">
        <v>27</v>
      </c>
      <c r="B87" s="3356"/>
      <c r="C87" s="865" t="s">
        <v>2110</v>
      </c>
      <c r="D87" s="865" t="s">
        <v>2111</v>
      </c>
      <c r="E87" s="885">
        <v>0.2</v>
      </c>
      <c r="F87" s="874">
        <v>30</v>
      </c>
    </row>
    <row r="88" spans="1:6" s="553" customFormat="1" ht="36">
      <c r="A88" s="874">
        <v>28</v>
      </c>
      <c r="B88" s="3356"/>
      <c r="C88" s="865" t="s">
        <v>2112</v>
      </c>
      <c r="D88" s="865" t="s">
        <v>2113</v>
      </c>
      <c r="E88" s="885">
        <v>0.2</v>
      </c>
      <c r="F88" s="874">
        <v>30</v>
      </c>
    </row>
    <row r="89" spans="1:6" s="553" customFormat="1" ht="24">
      <c r="A89" s="874">
        <v>29</v>
      </c>
      <c r="B89" s="3356"/>
      <c r="C89" s="865" t="s">
        <v>2114</v>
      </c>
      <c r="D89" s="865" t="s">
        <v>2115</v>
      </c>
      <c r="E89" s="885">
        <v>0.2</v>
      </c>
      <c r="F89" s="874">
        <v>30</v>
      </c>
    </row>
    <row r="90" spans="1:6" s="553" customFormat="1" ht="24">
      <c r="A90" s="874">
        <v>30</v>
      </c>
      <c r="B90" s="3356"/>
      <c r="C90" s="865" t="s">
        <v>2116</v>
      </c>
      <c r="D90" s="865" t="s">
        <v>2117</v>
      </c>
      <c r="E90" s="885">
        <v>0.2</v>
      </c>
      <c r="F90" s="874">
        <v>30</v>
      </c>
    </row>
    <row r="91" spans="1:6" s="553" customFormat="1" ht="36">
      <c r="A91" s="874">
        <v>31</v>
      </c>
      <c r="B91" s="3356"/>
      <c r="C91" s="865" t="s">
        <v>2118</v>
      </c>
      <c r="D91" s="865" t="s">
        <v>2119</v>
      </c>
      <c r="E91" s="885">
        <v>0.2</v>
      </c>
      <c r="F91" s="874">
        <v>30</v>
      </c>
    </row>
    <row r="92" spans="1:6" s="553" customFormat="1" ht="24">
      <c r="A92" s="874">
        <v>32</v>
      </c>
      <c r="B92" s="3356" t="s">
        <v>2120</v>
      </c>
      <c r="C92" s="874" t="s">
        <v>2121</v>
      </c>
      <c r="D92" s="865" t="s">
        <v>2122</v>
      </c>
      <c r="E92" s="885">
        <v>0.2</v>
      </c>
      <c r="F92" s="874">
        <v>30</v>
      </c>
    </row>
    <row r="93" spans="1:6" s="553" customFormat="1" ht="36">
      <c r="A93" s="874">
        <v>33</v>
      </c>
      <c r="B93" s="3356"/>
      <c r="C93" s="874" t="s">
        <v>2123</v>
      </c>
      <c r="D93" s="865" t="s">
        <v>2124</v>
      </c>
      <c r="E93" s="885">
        <v>0.2</v>
      </c>
      <c r="F93" s="874">
        <v>30</v>
      </c>
    </row>
    <row r="94" spans="1:6" s="553" customFormat="1" ht="48">
      <c r="A94" s="874">
        <v>34</v>
      </c>
      <c r="B94" s="3356"/>
      <c r="C94" s="874" t="s">
        <v>2125</v>
      </c>
      <c r="D94" s="865" t="s">
        <v>2126</v>
      </c>
      <c r="E94" s="885">
        <v>0.2</v>
      </c>
      <c r="F94" s="874">
        <v>30</v>
      </c>
    </row>
    <row r="95" spans="1:6" s="553" customFormat="1" ht="36">
      <c r="A95" s="874">
        <v>35</v>
      </c>
      <c r="B95" s="3356"/>
      <c r="C95" s="874" t="s">
        <v>2127</v>
      </c>
      <c r="D95" s="865" t="s">
        <v>2128</v>
      </c>
      <c r="E95" s="885">
        <v>0.2</v>
      </c>
      <c r="F95" s="874">
        <v>30</v>
      </c>
    </row>
    <row r="96" spans="1:6" s="553" customFormat="1" ht="48">
      <c r="A96" s="874">
        <v>36</v>
      </c>
      <c r="B96" s="3356"/>
      <c r="C96" s="865" t="s">
        <v>2129</v>
      </c>
      <c r="D96" s="865" t="s">
        <v>2130</v>
      </c>
      <c r="E96" s="885">
        <v>0.2</v>
      </c>
      <c r="F96" s="874">
        <v>30</v>
      </c>
    </row>
    <row r="97" spans="1:6" s="553" customFormat="1" ht="36">
      <c r="A97" s="874">
        <v>37</v>
      </c>
      <c r="B97" s="3356"/>
      <c r="C97" s="874" t="s">
        <v>2131</v>
      </c>
      <c r="D97" s="865" t="s">
        <v>2132</v>
      </c>
      <c r="E97" s="885">
        <v>0.2</v>
      </c>
      <c r="F97" s="874">
        <v>30</v>
      </c>
    </row>
    <row r="98" spans="1:6" s="553" customFormat="1" ht="36">
      <c r="A98" s="874">
        <v>38</v>
      </c>
      <c r="B98" s="3356"/>
      <c r="C98" s="874" t="s">
        <v>2133</v>
      </c>
      <c r="D98" s="865" t="s">
        <v>2134</v>
      </c>
      <c r="E98" s="885">
        <v>0.2</v>
      </c>
      <c r="F98" s="874">
        <v>30</v>
      </c>
    </row>
    <row r="99" spans="1:6" s="553" customFormat="1" ht="36">
      <c r="A99" s="874">
        <v>39</v>
      </c>
      <c r="B99" s="3356" t="s">
        <v>2135</v>
      </c>
      <c r="C99" s="874" t="s">
        <v>2136</v>
      </c>
      <c r="D99" s="865" t="s">
        <v>2137</v>
      </c>
      <c r="E99" s="885">
        <v>0.3</v>
      </c>
      <c r="F99" s="874">
        <v>50</v>
      </c>
    </row>
    <row r="100" spans="1:6" s="553" customFormat="1" ht="24">
      <c r="A100" s="874">
        <v>40</v>
      </c>
      <c r="B100" s="3356"/>
      <c r="C100" s="874" t="s">
        <v>2138</v>
      </c>
      <c r="D100" s="865" t="s">
        <v>2139</v>
      </c>
      <c r="E100" s="885">
        <v>0.2</v>
      </c>
      <c r="F100" s="874">
        <v>30</v>
      </c>
    </row>
    <row r="101" spans="1:6" s="553" customFormat="1" ht="36">
      <c r="A101" s="874">
        <v>41</v>
      </c>
      <c r="B101" s="3356"/>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56" t="s">
        <v>2150</v>
      </c>
      <c r="C105" s="874" t="s">
        <v>2151</v>
      </c>
      <c r="D105" s="865" t="s">
        <v>2152</v>
      </c>
      <c r="E105" s="885">
        <v>0.2</v>
      </c>
      <c r="F105" s="874">
        <v>30</v>
      </c>
    </row>
    <row r="106" spans="1:6" s="553" customFormat="1" ht="36">
      <c r="A106" s="874">
        <v>46</v>
      </c>
      <c r="B106" s="3356"/>
      <c r="C106" s="874" t="s">
        <v>2153</v>
      </c>
      <c r="D106" s="865" t="s">
        <v>2154</v>
      </c>
      <c r="E106" s="885">
        <v>0.2</v>
      </c>
      <c r="F106" s="874">
        <v>30</v>
      </c>
    </row>
    <row r="107" spans="1:6" s="553" customFormat="1" ht="36">
      <c r="A107" s="874">
        <v>47</v>
      </c>
      <c r="B107" s="3356" t="s">
        <v>2155</v>
      </c>
      <c r="C107" s="874" t="s">
        <v>2156</v>
      </c>
      <c r="D107" s="865" t="s">
        <v>2157</v>
      </c>
      <c r="E107" s="885">
        <v>0.3</v>
      </c>
      <c r="F107" s="874">
        <v>50</v>
      </c>
    </row>
    <row r="108" spans="1:6" s="553" customFormat="1" ht="36">
      <c r="A108" s="874">
        <v>48</v>
      </c>
      <c r="B108" s="3356"/>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56" t="s">
        <v>2166</v>
      </c>
      <c r="C111" s="874" t="s">
        <v>2167</v>
      </c>
      <c r="D111" s="865" t="s">
        <v>2168</v>
      </c>
      <c r="E111" s="885">
        <v>0.2</v>
      </c>
      <c r="F111" s="874">
        <v>30</v>
      </c>
    </row>
    <row r="112" spans="1:6" s="553" customFormat="1" ht="24">
      <c r="A112" s="874">
        <v>52</v>
      </c>
      <c r="B112" s="3356"/>
      <c r="C112" s="874" t="s">
        <v>2169</v>
      </c>
      <c r="D112" s="865" t="s">
        <v>2170</v>
      </c>
      <c r="E112" s="885">
        <v>0.2</v>
      </c>
      <c r="F112" s="874">
        <v>30</v>
      </c>
    </row>
    <row r="113" spans="1:6" s="553" customFormat="1" ht="24">
      <c r="A113" s="874">
        <v>53</v>
      </c>
      <c r="B113" s="3356"/>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56" t="s">
        <v>2178</v>
      </c>
      <c r="C116" s="874" t="s">
        <v>2179</v>
      </c>
      <c r="D116" s="865" t="s">
        <v>2180</v>
      </c>
      <c r="E116" s="885">
        <v>0.2</v>
      </c>
      <c r="F116" s="874">
        <v>30</v>
      </c>
    </row>
    <row r="117" spans="1:6" ht="36">
      <c r="A117" s="874">
        <v>57</v>
      </c>
      <c r="B117" s="3356"/>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57" t="s">
        <v>2201</v>
      </c>
      <c r="C1" s="3357"/>
      <c r="D1" s="3357"/>
      <c r="E1" s="3357"/>
      <c r="F1" s="3357"/>
      <c r="G1" s="3358" t="s">
        <v>2202</v>
      </c>
      <c r="H1" s="3358"/>
      <c r="I1" s="3358"/>
      <c r="J1" s="3358"/>
      <c r="K1" s="3358"/>
      <c r="L1" s="3358"/>
      <c r="N1" s="3358" t="s">
        <v>2203</v>
      </c>
      <c r="O1" s="3358"/>
      <c r="P1" s="3358"/>
      <c r="Q1" s="3358"/>
      <c r="S1" s="3358" t="s">
        <v>2204</v>
      </c>
      <c r="T1" s="3358"/>
      <c r="U1" s="3358"/>
      <c r="V1" s="3358"/>
      <c r="X1" s="3359" t="s">
        <v>2205</v>
      </c>
      <c r="Y1" s="3358"/>
      <c r="Z1" s="3358"/>
      <c r="AA1" s="3358"/>
      <c r="AB1" s="3358"/>
      <c r="AD1" s="3359" t="s">
        <v>2206</v>
      </c>
      <c r="AE1" s="3358"/>
      <c r="AF1" s="3358"/>
      <c r="AG1" s="3358"/>
      <c r="AH1" s="3358"/>
    </row>
    <row r="2" spans="1:34" s="702" customFormat="1" ht="13.5">
      <c r="B2" s="713" t="s">
        <v>2207</v>
      </c>
      <c r="C2" s="713" t="s">
        <v>2208</v>
      </c>
      <c r="D2" s="714" t="s">
        <v>1988</v>
      </c>
      <c r="E2" s="714" t="s">
        <v>1989</v>
      </c>
      <c r="F2" s="713" t="s">
        <v>2209</v>
      </c>
      <c r="G2" s="715"/>
      <c r="I2" s="713" t="s">
        <v>2207</v>
      </c>
      <c r="J2" s="714" t="s">
        <v>2210</v>
      </c>
      <c r="K2" s="714" t="s">
        <v>1989</v>
      </c>
      <c r="L2" s="713" t="s">
        <v>2209</v>
      </c>
      <c r="N2" s="713" t="s">
        <v>2207</v>
      </c>
      <c r="O2" s="714" t="s">
        <v>2210</v>
      </c>
      <c r="P2" s="714" t="s">
        <v>1989</v>
      </c>
      <c r="Q2" s="713" t="s">
        <v>2209</v>
      </c>
      <c r="S2" s="713" t="s">
        <v>2207</v>
      </c>
      <c r="T2" s="714" t="s">
        <v>2210</v>
      </c>
      <c r="U2" s="714" t="s">
        <v>1989</v>
      </c>
      <c r="V2" s="713" t="s">
        <v>2209</v>
      </c>
      <c r="X2" s="713" t="s">
        <v>2207</v>
      </c>
      <c r="Y2" s="713" t="s">
        <v>2208</v>
      </c>
      <c r="Z2" s="714" t="s">
        <v>1988</v>
      </c>
      <c r="AA2" s="714" t="s">
        <v>1989</v>
      </c>
      <c r="AB2" s="713" t="s">
        <v>2209</v>
      </c>
      <c r="AD2" s="713" t="s">
        <v>2207</v>
      </c>
      <c r="AE2" s="713" t="s">
        <v>2208</v>
      </c>
      <c r="AF2" s="714" t="s">
        <v>1988</v>
      </c>
      <c r="AG2" s="714" t="s">
        <v>1989</v>
      </c>
      <c r="AH2" s="713" t="s">
        <v>2209</v>
      </c>
    </row>
    <row r="3" spans="1:34" s="703" customFormat="1" ht="14.25">
      <c r="A3" s="716" t="s">
        <v>2211</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2212</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2213</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2214</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2213</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2215</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2213</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2216</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2217</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2218</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2219</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2220</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2221</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2222</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2223</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2224</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2225</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2226</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2227</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2228</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60">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2229</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60"/>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2230</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60"/>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2231</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61"/>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2232</v>
      </c>
      <c r="B24" s="735">
        <v>439</v>
      </c>
      <c r="C24" s="735">
        <v>327</v>
      </c>
      <c r="D24" s="735">
        <f t="shared" si="155"/>
        <v>327</v>
      </c>
      <c r="E24" s="735">
        <v>627</v>
      </c>
      <c r="F24" s="736">
        <v>283</v>
      </c>
      <c r="G24" s="3362">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2233</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60"/>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2234</v>
      </c>
      <c r="B26" s="731">
        <f t="shared" si="170"/>
        <v>419.31181600000002</v>
      </c>
      <c r="C26" s="731">
        <f t="shared" si="171"/>
        <v>313.95436800000004</v>
      </c>
      <c r="D26" s="731">
        <f t="shared" si="172"/>
        <v>313.95436800000004</v>
      </c>
      <c r="E26" s="731">
        <f t="shared" si="173"/>
        <v>596.63028431999999</v>
      </c>
      <c r="F26" s="731">
        <f t="shared" si="174"/>
        <v>274.74220703999998</v>
      </c>
      <c r="G26" s="3360"/>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2235</v>
      </c>
      <c r="B27" s="731">
        <f t="shared" si="170"/>
        <v>405.524</v>
      </c>
      <c r="C27" s="731">
        <f t="shared" si="171"/>
        <v>307.79840000000002</v>
      </c>
      <c r="D27" s="731">
        <f t="shared" si="172"/>
        <v>307.79840000000002</v>
      </c>
      <c r="E27" s="731">
        <f t="shared" si="173"/>
        <v>574.67759999999998</v>
      </c>
      <c r="F27" s="731">
        <f t="shared" si="174"/>
        <v>270.20280000000002</v>
      </c>
      <c r="G27" s="3361"/>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2236</v>
      </c>
      <c r="B28" s="735">
        <v>392</v>
      </c>
      <c r="C28" s="735">
        <v>302</v>
      </c>
      <c r="D28" s="735">
        <f t="shared" si="172"/>
        <v>302</v>
      </c>
      <c r="E28" s="735">
        <v>553</v>
      </c>
      <c r="F28" s="736">
        <v>266</v>
      </c>
      <c r="G28" s="3362">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2237</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60"/>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2238</v>
      </c>
      <c r="B30" s="731">
        <f t="shared" si="183"/>
        <v>360.06949782209392</v>
      </c>
      <c r="C30" s="731">
        <f t="shared" si="183"/>
        <v>289.84672674747821</v>
      </c>
      <c r="D30" s="731">
        <f t="shared" si="184"/>
        <v>289.84672674747821</v>
      </c>
      <c r="E30" s="731">
        <f t="shared" si="185"/>
        <v>501.06543001181495</v>
      </c>
      <c r="F30" s="731">
        <f t="shared" si="185"/>
        <v>256.82882500744967</v>
      </c>
      <c r="G30" s="3360"/>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2239</v>
      </c>
      <c r="B31" s="731">
        <f t="shared" si="183"/>
        <v>346.720748986128</v>
      </c>
      <c r="C31" s="731">
        <f t="shared" si="183"/>
        <v>284.30282172386285</v>
      </c>
      <c r="D31" s="731">
        <f t="shared" si="184"/>
        <v>284.30282172386285</v>
      </c>
      <c r="E31" s="731">
        <f t="shared" si="185"/>
        <v>479.58023546306947</v>
      </c>
      <c r="F31" s="731">
        <f t="shared" si="185"/>
        <v>253.25788877571213</v>
      </c>
      <c r="G31" s="3363"/>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2240</v>
      </c>
      <c r="B32" s="735">
        <v>333</v>
      </c>
      <c r="C32" s="735">
        <v>277</v>
      </c>
      <c r="D32" s="735">
        <f t="shared" si="184"/>
        <v>277</v>
      </c>
      <c r="E32" s="735">
        <v>459</v>
      </c>
      <c r="F32" s="736">
        <v>249</v>
      </c>
      <c r="G32" s="3364">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2241</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60"/>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2242</v>
      </c>
      <c r="B34" s="731">
        <f t="shared" si="187"/>
        <v>322.34053690220776</v>
      </c>
      <c r="C34" s="731">
        <f t="shared" si="187"/>
        <v>271.46160770422546</v>
      </c>
      <c r="D34" s="731">
        <f t="shared" si="184"/>
        <v>271.46160770422546</v>
      </c>
      <c r="E34" s="731">
        <f t="shared" si="188"/>
        <v>442.69434542172456</v>
      </c>
      <c r="F34" s="731">
        <f t="shared" si="188"/>
        <v>241.34030753190925</v>
      </c>
      <c r="G34" s="3360"/>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2243</v>
      </c>
      <c r="B35" s="731">
        <f t="shared" si="187"/>
        <v>319.87748030386797</v>
      </c>
      <c r="C35" s="731">
        <f t="shared" si="187"/>
        <v>269.60135833173649</v>
      </c>
      <c r="D35" s="731">
        <f t="shared" si="184"/>
        <v>269.60135833173649</v>
      </c>
      <c r="E35" s="731">
        <f t="shared" si="188"/>
        <v>439.18089823583784</v>
      </c>
      <c r="F35" s="731">
        <f t="shared" si="188"/>
        <v>239.23503918706311</v>
      </c>
      <c r="G35" s="3363"/>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2244</v>
      </c>
      <c r="B36" s="740">
        <v>318</v>
      </c>
      <c r="C36" s="740">
        <v>268</v>
      </c>
      <c r="D36" s="740">
        <f t="shared" si="184"/>
        <v>268</v>
      </c>
      <c r="E36" s="740">
        <v>437</v>
      </c>
      <c r="F36" s="741">
        <v>237</v>
      </c>
      <c r="G36" s="3364">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2245</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60"/>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2246</v>
      </c>
      <c r="B38" s="731">
        <f t="shared" si="189"/>
        <v>314.72141172386546</v>
      </c>
      <c r="C38" s="731">
        <f t="shared" si="189"/>
        <v>263.03901319069001</v>
      </c>
      <c r="D38" s="731">
        <f t="shared" si="184"/>
        <v>263.03901319069001</v>
      </c>
      <c r="E38" s="731">
        <f t="shared" si="190"/>
        <v>433.65745506782821</v>
      </c>
      <c r="F38" s="731">
        <f t="shared" si="190"/>
        <v>233.23005080045735</v>
      </c>
      <c r="G38" s="3360"/>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2247</v>
      </c>
      <c r="B39" s="744">
        <f t="shared" si="189"/>
        <v>307.34512863658733</v>
      </c>
      <c r="C39" s="744">
        <f t="shared" si="189"/>
        <v>257.80556031626975</v>
      </c>
      <c r="D39" s="744">
        <f t="shared" si="184"/>
        <v>257.80556031626975</v>
      </c>
      <c r="E39" s="744">
        <f t="shared" si="190"/>
        <v>422.70928459677179</v>
      </c>
      <c r="F39" s="744">
        <f t="shared" si="190"/>
        <v>229.73803270336617</v>
      </c>
      <c r="G39" s="3363"/>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2248</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2249</v>
      </c>
      <c r="B40" s="735">
        <v>299</v>
      </c>
      <c r="C40" s="735">
        <v>252</v>
      </c>
      <c r="D40" s="735">
        <f t="shared" si="184"/>
        <v>252</v>
      </c>
      <c r="E40" s="735">
        <v>409</v>
      </c>
      <c r="F40" s="736">
        <v>227</v>
      </c>
      <c r="G40" s="3365">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2250</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66"/>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2251</v>
      </c>
      <c r="B42" s="731">
        <f t="shared" si="193"/>
        <v>288.2649053828776</v>
      </c>
      <c r="C42" s="731">
        <f t="shared" si="193"/>
        <v>243.64564425013293</v>
      </c>
      <c r="D42" s="731">
        <f t="shared" si="184"/>
        <v>243.64564425013293</v>
      </c>
      <c r="E42" s="731">
        <f t="shared" si="194"/>
        <v>393.31080825986544</v>
      </c>
      <c r="F42" s="731">
        <f t="shared" si="194"/>
        <v>223.07903790551154</v>
      </c>
      <c r="G42" s="3366"/>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2252</v>
      </c>
      <c r="B43" s="731">
        <f t="shared" si="193"/>
        <v>282.50186729015837</v>
      </c>
      <c r="C43" s="731">
        <f t="shared" si="193"/>
        <v>238.09796174155468</v>
      </c>
      <c r="D43" s="731">
        <f t="shared" si="184"/>
        <v>238.09796174155468</v>
      </c>
      <c r="E43" s="731">
        <f t="shared" si="194"/>
        <v>385.33438646014054</v>
      </c>
      <c r="F43" s="731">
        <f t="shared" si="194"/>
        <v>221.55034055567739</v>
      </c>
      <c r="G43" s="3367"/>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2253</v>
      </c>
      <c r="B44" s="747">
        <v>278</v>
      </c>
      <c r="C44" s="747">
        <v>234</v>
      </c>
      <c r="D44" s="747">
        <f t="shared" si="184"/>
        <v>234</v>
      </c>
      <c r="E44" s="747">
        <v>379</v>
      </c>
      <c r="F44" s="748">
        <v>220</v>
      </c>
      <c r="G44" s="3364">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2254</v>
      </c>
      <c r="B45" s="731">
        <f>B44/(1+N44)</f>
        <v>275.49301357645425</v>
      </c>
      <c r="C45" s="731">
        <f>C44/(1+O44)</f>
        <v>232.41954707985698</v>
      </c>
      <c r="D45" s="731">
        <f t="shared" si="184"/>
        <v>232.41954707985698</v>
      </c>
      <c r="E45" s="731">
        <f t="shared" ref="E45:F47" si="195">E44/(1+P44)</f>
        <v>375.32184591008121</v>
      </c>
      <c r="F45" s="731">
        <f t="shared" si="195"/>
        <v>218.03766105054513</v>
      </c>
      <c r="G45" s="3360"/>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2255</v>
      </c>
      <c r="B46" s="731">
        <f>B45/(1+N45)</f>
        <v>275.24529281292263</v>
      </c>
      <c r="C46" s="731">
        <f>C45/(1+O45)</f>
        <v>231.74747938962707</v>
      </c>
      <c r="D46" s="731">
        <f t="shared" si="184"/>
        <v>231.74747938962707</v>
      </c>
      <c r="E46" s="731">
        <f t="shared" si="195"/>
        <v>375.35938184826603</v>
      </c>
      <c r="F46" s="731">
        <f t="shared" si="195"/>
        <v>216.78033510692495</v>
      </c>
      <c r="G46" s="3360"/>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2256</v>
      </c>
      <c r="B47" s="731">
        <f>B46/(1+N46)</f>
        <v>275.19025476197027</v>
      </c>
      <c r="C47" s="749">
        <v>232</v>
      </c>
      <c r="D47" s="749">
        <f t="shared" si="184"/>
        <v>232</v>
      </c>
      <c r="E47" s="731">
        <f t="shared" si="195"/>
        <v>375.65990977608692</v>
      </c>
      <c r="F47" s="731">
        <f t="shared" si="195"/>
        <v>214.12518283971252</v>
      </c>
      <c r="G47" s="3363"/>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2257</v>
      </c>
      <c r="B48" s="735">
        <v>275</v>
      </c>
      <c r="C48" s="735">
        <v>232</v>
      </c>
      <c r="D48" s="735">
        <f t="shared" si="184"/>
        <v>232</v>
      </c>
      <c r="E48" s="735">
        <v>376</v>
      </c>
      <c r="F48" s="736">
        <v>213</v>
      </c>
      <c r="G48" s="3364">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2258</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60">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2259</v>
      </c>
      <c r="B50" s="731">
        <f t="shared" si="196"/>
        <v>275.19335084830601</v>
      </c>
      <c r="C50" s="731">
        <f t="shared" si="196"/>
        <v>230.18088050139744</v>
      </c>
      <c r="D50" s="731">
        <f t="shared" si="184"/>
        <v>230.18088050139744</v>
      </c>
      <c r="E50" s="731">
        <f t="shared" si="197"/>
        <v>377.58482925212331</v>
      </c>
      <c r="F50" s="731">
        <f t="shared" si="197"/>
        <v>210.90687997847917</v>
      </c>
      <c r="G50" s="3360">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2260</v>
      </c>
      <c r="B51" s="731">
        <f t="shared" si="196"/>
        <v>276.29854502841971</v>
      </c>
      <c r="C51" s="731">
        <f t="shared" si="196"/>
        <v>229.79023709833027</v>
      </c>
      <c r="D51" s="731">
        <f t="shared" si="184"/>
        <v>229.79023709833027</v>
      </c>
      <c r="E51" s="731">
        <f t="shared" si="197"/>
        <v>379.78759731655936</v>
      </c>
      <c r="F51" s="731">
        <f t="shared" si="197"/>
        <v>211.32953905659235</v>
      </c>
      <c r="G51" s="3363">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2261</v>
      </c>
      <c r="B52" s="735">
        <v>269</v>
      </c>
      <c r="C52" s="735">
        <v>221</v>
      </c>
      <c r="D52" s="735">
        <f t="shared" si="184"/>
        <v>221</v>
      </c>
      <c r="E52" s="735">
        <v>373</v>
      </c>
      <c r="F52" s="736">
        <v>196</v>
      </c>
      <c r="G52" s="3364">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2262</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60">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2263</v>
      </c>
      <c r="B54" s="731">
        <f t="shared" si="198"/>
        <v>242.95398227588385</v>
      </c>
      <c r="C54" s="731">
        <f t="shared" si="198"/>
        <v>199.59137053614126</v>
      </c>
      <c r="D54" s="731">
        <f t="shared" si="184"/>
        <v>199.59137053614126</v>
      </c>
      <c r="E54" s="731">
        <f t="shared" si="199"/>
        <v>335.92189522342125</v>
      </c>
      <c r="F54" s="731">
        <f t="shared" si="199"/>
        <v>183.10139991109489</v>
      </c>
      <c r="G54" s="3360">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2264</v>
      </c>
      <c r="B55" s="731">
        <f t="shared" si="198"/>
        <v>232.06990378821649</v>
      </c>
      <c r="C55" s="731">
        <f t="shared" si="198"/>
        <v>192.74878854286936</v>
      </c>
      <c r="D55" s="731">
        <f t="shared" si="184"/>
        <v>192.74878854286936</v>
      </c>
      <c r="E55" s="731">
        <f t="shared" si="199"/>
        <v>319.71247284992984</v>
      </c>
      <c r="F55" s="731">
        <f t="shared" si="199"/>
        <v>175.67053622862409</v>
      </c>
      <c r="G55" s="3363">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2265</v>
      </c>
      <c r="B56" s="735">
        <v>220</v>
      </c>
      <c r="C56" s="735">
        <v>187</v>
      </c>
      <c r="D56" s="735">
        <f t="shared" si="184"/>
        <v>187</v>
      </c>
      <c r="E56" s="735">
        <v>301</v>
      </c>
      <c r="F56" s="736">
        <v>168</v>
      </c>
      <c r="G56" s="3364">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2266</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60">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2267</v>
      </c>
      <c r="B58" s="731">
        <f t="shared" si="200"/>
        <v>210.630522469011</v>
      </c>
      <c r="C58" s="731">
        <f t="shared" si="200"/>
        <v>181.69567812247232</v>
      </c>
      <c r="D58" s="731">
        <f t="shared" si="184"/>
        <v>181.69567812247232</v>
      </c>
      <c r="E58" s="731">
        <f t="shared" si="201"/>
        <v>286.13517466736738</v>
      </c>
      <c r="F58" s="731">
        <f t="shared" si="201"/>
        <v>165.47535084591149</v>
      </c>
      <c r="G58" s="3360">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2268</v>
      </c>
      <c r="B59" s="731">
        <f t="shared" si="200"/>
        <v>208.83454537875372</v>
      </c>
      <c r="C59" s="731">
        <f t="shared" si="200"/>
        <v>183.77230517090351</v>
      </c>
      <c r="D59" s="731">
        <f t="shared" si="184"/>
        <v>183.77230517090351</v>
      </c>
      <c r="E59" s="731">
        <f t="shared" si="201"/>
        <v>281.10342338870947</v>
      </c>
      <c r="F59" s="731">
        <f t="shared" si="201"/>
        <v>168.97309388942256</v>
      </c>
      <c r="G59" s="3363">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2269</v>
      </c>
      <c r="B60" s="747">
        <v>214</v>
      </c>
      <c r="C60" s="747">
        <v>188</v>
      </c>
      <c r="D60" s="747">
        <f t="shared" si="184"/>
        <v>188</v>
      </c>
      <c r="E60" s="747">
        <v>289</v>
      </c>
      <c r="F60" s="748">
        <v>166</v>
      </c>
      <c r="G60" s="3364">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2270</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60">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2271</v>
      </c>
      <c r="B62" s="731">
        <f t="shared" si="202"/>
        <v>206.31694671589116</v>
      </c>
      <c r="C62" s="731">
        <f t="shared" si="202"/>
        <v>183.61041121036101</v>
      </c>
      <c r="D62" s="731">
        <f t="shared" si="184"/>
        <v>183.61041121036101</v>
      </c>
      <c r="E62" s="731">
        <f t="shared" si="203"/>
        <v>276.66850301795557</v>
      </c>
      <c r="F62" s="731">
        <f t="shared" si="203"/>
        <v>165.1360938278614</v>
      </c>
      <c r="G62" s="3360">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2272</v>
      </c>
      <c r="B63" s="750">
        <f t="shared" si="202"/>
        <v>196.62341248059772</v>
      </c>
      <c r="C63" s="750">
        <f t="shared" si="202"/>
        <v>170.99125648199012</v>
      </c>
      <c r="D63" s="750">
        <f t="shared" si="184"/>
        <v>170.99125648199012</v>
      </c>
      <c r="E63" s="750">
        <f t="shared" si="203"/>
        <v>266.07857570490052</v>
      </c>
      <c r="F63" s="750">
        <f t="shared" si="203"/>
        <v>154.53499328828505</v>
      </c>
      <c r="G63" s="3363">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2273</v>
      </c>
      <c r="B64" s="735">
        <v>188</v>
      </c>
      <c r="C64" s="735">
        <v>165</v>
      </c>
      <c r="D64" s="735">
        <f t="shared" si="184"/>
        <v>165</v>
      </c>
      <c r="E64" s="735">
        <v>254</v>
      </c>
      <c r="F64" s="736">
        <v>148</v>
      </c>
      <c r="G64" s="3364">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2274</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60">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2275</v>
      </c>
      <c r="B66" s="731">
        <f t="shared" si="206"/>
        <v>168.82017748715555</v>
      </c>
      <c r="C66" s="731">
        <f t="shared" si="206"/>
        <v>148.06267029972753</v>
      </c>
      <c r="D66" s="731">
        <f t="shared" si="184"/>
        <v>148.06267029972753</v>
      </c>
      <c r="E66" s="731">
        <f t="shared" si="207"/>
        <v>216.46288379323747</v>
      </c>
      <c r="F66" s="731">
        <f t="shared" si="207"/>
        <v>134.23529411764704</v>
      </c>
      <c r="G66" s="3360">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2276</v>
      </c>
      <c r="B67" s="731">
        <f t="shared" si="206"/>
        <v>163.84913591779542</v>
      </c>
      <c r="C67" s="731">
        <f t="shared" si="206"/>
        <v>145.0283378746594</v>
      </c>
      <c r="D67" s="731">
        <f t="shared" si="184"/>
        <v>145.0283378746594</v>
      </c>
      <c r="E67" s="731">
        <f t="shared" si="207"/>
        <v>204.95180722891567</v>
      </c>
      <c r="F67" s="731">
        <f t="shared" si="207"/>
        <v>125.95920303605313</v>
      </c>
      <c r="G67" s="3363">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2277</v>
      </c>
      <c r="B68" s="740">
        <v>159</v>
      </c>
      <c r="C68" s="740">
        <v>141</v>
      </c>
      <c r="D68" s="740">
        <f t="shared" si="184"/>
        <v>141</v>
      </c>
      <c r="E68" s="740">
        <v>195</v>
      </c>
      <c r="F68" s="741">
        <v>122</v>
      </c>
      <c r="G68" s="3364">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2278</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60">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2279</v>
      </c>
      <c r="B70" s="731">
        <f t="shared" si="210"/>
        <v>146.57412060301507</v>
      </c>
      <c r="C70" s="731">
        <f t="shared" si="210"/>
        <v>136.46831955922866</v>
      </c>
      <c r="D70" s="731">
        <f t="shared" si="184"/>
        <v>136.46831955922866</v>
      </c>
      <c r="E70" s="731">
        <f t="shared" si="211"/>
        <v>166.73864894795128</v>
      </c>
      <c r="F70" s="731">
        <f t="shared" si="211"/>
        <v>115.05882352941177</v>
      </c>
      <c r="G70" s="3360">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2280</v>
      </c>
      <c r="B71" s="731">
        <f t="shared" si="210"/>
        <v>144.04145728643215</v>
      </c>
      <c r="C71" s="731">
        <f t="shared" si="210"/>
        <v>136.12396694214877</v>
      </c>
      <c r="D71" s="731">
        <f t="shared" si="184"/>
        <v>136.12396694214877</v>
      </c>
      <c r="E71" s="731">
        <f t="shared" si="211"/>
        <v>158.32225913621264</v>
      </c>
      <c r="F71" s="731">
        <f t="shared" si="211"/>
        <v>114.04278074866311</v>
      </c>
      <c r="G71" s="3363">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2281</v>
      </c>
      <c r="B72" s="740">
        <v>138</v>
      </c>
      <c r="C72" s="740">
        <v>131</v>
      </c>
      <c r="D72" s="740">
        <f t="shared" si="184"/>
        <v>131</v>
      </c>
      <c r="E72" s="740">
        <v>155</v>
      </c>
      <c r="F72" s="741">
        <v>114</v>
      </c>
      <c r="G72" s="3364">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2282</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60">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2283</v>
      </c>
      <c r="B74" s="731">
        <f t="shared" si="214"/>
        <v>124.29032258064517</v>
      </c>
      <c r="C74" s="731">
        <f t="shared" si="214"/>
        <v>123.8968609865471</v>
      </c>
      <c r="D74" s="731">
        <f t="shared" si="184"/>
        <v>123.8968609865471</v>
      </c>
      <c r="E74" s="731">
        <f t="shared" si="215"/>
        <v>138.00507614213197</v>
      </c>
      <c r="F74" s="731">
        <f t="shared" si="215"/>
        <v>107.96106557377048</v>
      </c>
      <c r="G74" s="3360">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2284</v>
      </c>
      <c r="B75" s="731">
        <f t="shared" si="214"/>
        <v>122.57204301075269</v>
      </c>
      <c r="C75" s="731">
        <f t="shared" si="214"/>
        <v>123.4932735426009</v>
      </c>
      <c r="D75" s="731">
        <f t="shared" si="184"/>
        <v>123.4932735426009</v>
      </c>
      <c r="E75" s="731">
        <f t="shared" si="215"/>
        <v>129.82233502538071</v>
      </c>
      <c r="F75" s="731">
        <f t="shared" si="215"/>
        <v>107.39446721311475</v>
      </c>
      <c r="G75" s="3363">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2285</v>
      </c>
      <c r="B76" s="747">
        <v>121</v>
      </c>
      <c r="C76" s="747">
        <v>122</v>
      </c>
      <c r="D76" s="747">
        <f t="shared" si="184"/>
        <v>122</v>
      </c>
      <c r="E76" s="747">
        <v>124</v>
      </c>
      <c r="F76" s="748">
        <v>107</v>
      </c>
      <c r="G76" s="3364">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2286</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60">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2287</v>
      </c>
      <c r="B78" s="731">
        <f t="shared" si="218"/>
        <v>116.99099099099099</v>
      </c>
      <c r="C78" s="731">
        <f t="shared" si="218"/>
        <v>118.84848484848486</v>
      </c>
      <c r="D78" s="731">
        <f t="shared" si="184"/>
        <v>118.84848484848486</v>
      </c>
      <c r="E78" s="731">
        <f t="shared" si="219"/>
        <v>117.60960960960961</v>
      </c>
      <c r="F78" s="731">
        <f t="shared" si="219"/>
        <v>104</v>
      </c>
      <c r="G78" s="3360">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2288</v>
      </c>
      <c r="B79" s="750">
        <f t="shared" si="218"/>
        <v>112.48648648648648</v>
      </c>
      <c r="C79" s="750">
        <f t="shared" si="218"/>
        <v>115.21212121212122</v>
      </c>
      <c r="D79" s="750">
        <f t="shared" si="184"/>
        <v>115.21212121212122</v>
      </c>
      <c r="E79" s="750">
        <f t="shared" si="219"/>
        <v>110.4024024024024</v>
      </c>
      <c r="F79" s="750">
        <f t="shared" si="219"/>
        <v>104</v>
      </c>
      <c r="G79" s="3363">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2289</v>
      </c>
      <c r="B80" s="800">
        <v>111</v>
      </c>
      <c r="C80" s="800">
        <v>114</v>
      </c>
      <c r="D80" s="800">
        <f t="shared" si="184"/>
        <v>114</v>
      </c>
      <c r="E80" s="800">
        <v>108</v>
      </c>
      <c r="F80" s="801">
        <v>104</v>
      </c>
      <c r="G80" s="3364">
        <v>2003</v>
      </c>
      <c r="H80" s="752">
        <v>4</v>
      </c>
      <c r="I80" s="816"/>
      <c r="J80" s="816"/>
      <c r="K80" s="816"/>
      <c r="L80" s="816"/>
      <c r="N80" s="817"/>
      <c r="O80" s="816"/>
      <c r="P80" s="816"/>
      <c r="Q80" s="816"/>
      <c r="S80" s="817"/>
      <c r="T80" s="816"/>
      <c r="U80" s="816"/>
      <c r="V80" s="816"/>
      <c r="X80" s="822"/>
      <c r="Y80" s="822"/>
      <c r="Z80" s="822"/>
    </row>
    <row r="81" spans="1:26">
      <c r="A81" s="730" t="s">
        <v>2290</v>
      </c>
      <c r="B81" s="802">
        <f t="shared" ref="B81:C83" si="220">B82+(B$80-B$84)/4</f>
        <v>109.75</v>
      </c>
      <c r="C81" s="802">
        <f t="shared" si="220"/>
        <v>112.25</v>
      </c>
      <c r="D81" s="802">
        <f t="shared" si="184"/>
        <v>112.25</v>
      </c>
      <c r="E81" s="802">
        <f t="shared" ref="E81:F83" si="221">E82+(E$80-E$84)/4</f>
        <v>107.25</v>
      </c>
      <c r="F81" s="802">
        <f t="shared" si="221"/>
        <v>103.5</v>
      </c>
      <c r="G81" s="3360">
        <v>2003</v>
      </c>
      <c r="H81" s="739">
        <v>3</v>
      </c>
      <c r="I81" s="816"/>
      <c r="J81" s="816"/>
      <c r="K81" s="816"/>
      <c r="L81" s="816"/>
      <c r="X81" s="822"/>
      <c r="Y81" s="822"/>
      <c r="Z81" s="822"/>
    </row>
    <row r="82" spans="1:26">
      <c r="A82" s="730" t="s">
        <v>2291</v>
      </c>
      <c r="B82" s="802">
        <f t="shared" si="220"/>
        <v>108.5</v>
      </c>
      <c r="C82" s="802">
        <f t="shared" si="220"/>
        <v>110.5</v>
      </c>
      <c r="D82" s="802">
        <f t="shared" si="184"/>
        <v>110.5</v>
      </c>
      <c r="E82" s="802">
        <f t="shared" si="221"/>
        <v>106.5</v>
      </c>
      <c r="F82" s="802">
        <f t="shared" si="221"/>
        <v>103</v>
      </c>
      <c r="G82" s="3360">
        <v>2003</v>
      </c>
      <c r="H82" s="737">
        <v>2</v>
      </c>
      <c r="I82" s="816"/>
      <c r="J82" s="816"/>
      <c r="K82" s="816"/>
      <c r="L82" s="816"/>
      <c r="X82" s="822"/>
      <c r="Y82" s="822"/>
      <c r="Z82" s="822"/>
    </row>
    <row r="83" spans="1:26">
      <c r="A83" s="730" t="s">
        <v>2292</v>
      </c>
      <c r="B83" s="802">
        <f t="shared" si="220"/>
        <v>107.25</v>
      </c>
      <c r="C83" s="802">
        <f t="shared" si="220"/>
        <v>108.75</v>
      </c>
      <c r="D83" s="802">
        <f t="shared" si="184"/>
        <v>108.75</v>
      </c>
      <c r="E83" s="802">
        <f t="shared" si="221"/>
        <v>105.75</v>
      </c>
      <c r="F83" s="802">
        <f t="shared" si="221"/>
        <v>102.5</v>
      </c>
      <c r="G83" s="3363">
        <v>2003</v>
      </c>
      <c r="H83" s="803">
        <v>1</v>
      </c>
      <c r="I83" s="816"/>
      <c r="J83" s="816"/>
      <c r="K83" s="816"/>
      <c r="L83" s="816"/>
      <c r="S83" s="760"/>
      <c r="T83" s="761"/>
      <c r="U83" s="761"/>
      <c r="X83" s="822"/>
      <c r="Y83" s="822"/>
      <c r="Z83" s="822"/>
    </row>
    <row r="84" spans="1:26">
      <c r="A84" s="730" t="s">
        <v>2293</v>
      </c>
      <c r="B84" s="804">
        <v>106</v>
      </c>
      <c r="C84" s="804">
        <v>107</v>
      </c>
      <c r="D84" s="804">
        <f t="shared" si="184"/>
        <v>107</v>
      </c>
      <c r="E84" s="804">
        <v>105</v>
      </c>
      <c r="F84" s="805">
        <v>102</v>
      </c>
      <c r="G84" s="3364">
        <v>2002</v>
      </c>
      <c r="H84" s="738">
        <v>4</v>
      </c>
      <c r="I84" s="816"/>
      <c r="J84" s="816"/>
      <c r="K84" s="816"/>
      <c r="L84" s="816"/>
      <c r="N84" s="817"/>
      <c r="O84" s="816"/>
      <c r="P84" s="816"/>
      <c r="Q84" s="816"/>
      <c r="S84" s="817"/>
      <c r="T84" s="816"/>
      <c r="U84" s="816"/>
      <c r="V84" s="816"/>
      <c r="X84" s="822"/>
      <c r="Y84" s="822"/>
      <c r="Z84" s="822"/>
    </row>
    <row r="85" spans="1:26">
      <c r="A85" s="730" t="s">
        <v>2294</v>
      </c>
      <c r="B85" s="802">
        <f t="shared" ref="B85:C87" si="222">B86+(B$84-B$88)/4</f>
        <v>105</v>
      </c>
      <c r="C85" s="802">
        <f t="shared" si="222"/>
        <v>106</v>
      </c>
      <c r="D85" s="802">
        <f t="shared" si="184"/>
        <v>106</v>
      </c>
      <c r="E85" s="802">
        <f t="shared" ref="E85:F87" si="223">E86+(E$84-E$88)/4</f>
        <v>104.5</v>
      </c>
      <c r="F85" s="802">
        <f t="shared" si="223"/>
        <v>101.5</v>
      </c>
      <c r="G85" s="3360">
        <v>2002</v>
      </c>
      <c r="H85" s="739">
        <v>3</v>
      </c>
      <c r="I85" s="816"/>
      <c r="J85" s="816"/>
      <c r="K85" s="816"/>
      <c r="L85" s="816"/>
      <c r="X85" s="822"/>
      <c r="Y85" s="822"/>
      <c r="Z85" s="822"/>
    </row>
    <row r="86" spans="1:26">
      <c r="A86" s="730" t="s">
        <v>2295</v>
      </c>
      <c r="B86" s="802">
        <f t="shared" si="222"/>
        <v>104</v>
      </c>
      <c r="C86" s="802">
        <f t="shared" si="222"/>
        <v>105</v>
      </c>
      <c r="D86" s="802">
        <f t="shared" si="184"/>
        <v>105</v>
      </c>
      <c r="E86" s="802">
        <f t="shared" si="223"/>
        <v>104</v>
      </c>
      <c r="F86" s="802">
        <f t="shared" si="223"/>
        <v>101</v>
      </c>
      <c r="G86" s="3360">
        <v>2002</v>
      </c>
      <c r="H86" s="737">
        <v>2</v>
      </c>
      <c r="I86" s="816"/>
      <c r="J86" s="816"/>
      <c r="K86" s="816"/>
      <c r="L86" s="816"/>
      <c r="X86" s="822"/>
      <c r="Y86" s="822"/>
      <c r="Z86" s="822"/>
    </row>
    <row r="87" spans="1:26" s="708" customFormat="1">
      <c r="A87" s="743" t="s">
        <v>2296</v>
      </c>
      <c r="B87" s="791">
        <f t="shared" si="222"/>
        <v>103</v>
      </c>
      <c r="C87" s="791">
        <f t="shared" si="222"/>
        <v>104</v>
      </c>
      <c r="D87" s="791">
        <f t="shared" si="184"/>
        <v>104</v>
      </c>
      <c r="E87" s="791">
        <f t="shared" si="223"/>
        <v>103.5</v>
      </c>
      <c r="F87" s="791">
        <f t="shared" si="223"/>
        <v>100.5</v>
      </c>
      <c r="G87" s="3363">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2297</v>
      </c>
      <c r="G90" s="811"/>
      <c r="N90" s="811"/>
      <c r="S90" s="811"/>
    </row>
    <row r="91" spans="1:26" s="710" customFormat="1">
      <c r="A91" s="710" t="s">
        <v>2298</v>
      </c>
      <c r="G91" s="811"/>
      <c r="N91" s="811"/>
      <c r="S91" s="811"/>
    </row>
    <row r="92" spans="1:26" s="710" customFormat="1">
      <c r="A92" s="710" t="s">
        <v>2299</v>
      </c>
      <c r="G92" s="811"/>
      <c r="I92" s="820"/>
      <c r="J92" s="820"/>
      <c r="K92" s="820"/>
      <c r="L92" s="820"/>
      <c r="N92" s="821"/>
      <c r="O92" s="820"/>
      <c r="P92" s="820"/>
      <c r="Q92" s="820"/>
      <c r="S92" s="821"/>
      <c r="T92" s="820"/>
      <c r="U92" s="820"/>
      <c r="V92" s="820"/>
    </row>
    <row r="93" spans="1:26" s="710" customFormat="1">
      <c r="A93" s="710" t="s">
        <v>2300</v>
      </c>
      <c r="G93" s="811"/>
      <c r="N93" s="811"/>
      <c r="S93" s="811"/>
    </row>
    <row r="101" spans="7:22">
      <c r="G101" s="711"/>
      <c r="S101" s="825" t="s">
        <v>2301</v>
      </c>
      <c r="T101" s="739" t="s">
        <v>2302</v>
      </c>
      <c r="U101" s="739" t="s">
        <v>2303</v>
      </c>
      <c r="V101" s="739" t="s">
        <v>2304</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topLeftCell="F1" zoomScale="90" zoomScaleNormal="90" workbookViewId="0">
      <pane ySplit="24" topLeftCell="A25" activePane="bottomLeft" state="frozen"/>
      <selection pane="bottomLeft" activeCell="C4" sqref="C4:M4"/>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2305</v>
      </c>
      <c r="C1" s="3368" t="s">
        <v>2306</v>
      </c>
      <c r="D1" s="3369"/>
      <c r="E1" s="3369"/>
      <c r="F1" s="3369"/>
      <c r="G1" s="3369"/>
      <c r="H1" s="3369"/>
      <c r="I1" s="3369"/>
      <c r="J1" s="3369"/>
      <c r="K1" s="3369"/>
      <c r="L1" s="3369"/>
      <c r="M1" s="3369"/>
      <c r="N1" s="3369"/>
      <c r="O1" s="3369"/>
      <c r="P1" s="3369"/>
      <c r="Q1" s="3369"/>
      <c r="R1" s="3369"/>
      <c r="S1" s="3370"/>
      <c r="T1" s="597" t="s">
        <v>1868</v>
      </c>
    </row>
    <row r="2" spans="1:45" s="6" customFormat="1" ht="38.25">
      <c r="A2" s="598"/>
      <c r="B2" s="599" t="s">
        <v>366</v>
      </c>
      <c r="C2" s="514" t="str">
        <f t="shared" ref="C2:L2" si="0">C3&amp;"(含)"&amp;"-"&amp;D3</f>
        <v>0(含)-300</v>
      </c>
      <c r="D2" s="515" t="str">
        <f t="shared" si="0"/>
        <v>300(含)-600</v>
      </c>
      <c r="E2" s="515" t="str">
        <f t="shared" si="0"/>
        <v>600(含)-900</v>
      </c>
      <c r="F2" s="515" t="str">
        <f t="shared" si="0"/>
        <v>900(含)-1200</v>
      </c>
      <c r="G2" s="515" t="str">
        <f t="shared" si="0"/>
        <v>1200(含)-1500</v>
      </c>
      <c r="H2" s="515" t="str">
        <f t="shared" si="0"/>
        <v>1500(含)-2000</v>
      </c>
      <c r="I2" s="515" t="str">
        <f t="shared" si="0"/>
        <v>2000(含)-2500</v>
      </c>
      <c r="J2" s="515" t="str">
        <f t="shared" si="0"/>
        <v>2500(含)-3000</v>
      </c>
      <c r="K2" s="515" t="str">
        <f t="shared" si="0"/>
        <v>3000(含)-3500</v>
      </c>
      <c r="L2" s="515" t="str">
        <f t="shared" si="0"/>
        <v>3500(含)-4000</v>
      </c>
      <c r="M2" s="515" t="str">
        <f t="shared" ref="M2" si="1">M3&amp;"(含)"&amp;"-"&amp;N3</f>
        <v>4000(含)-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300</v>
      </c>
      <c r="E3" s="516">
        <v>600</v>
      </c>
      <c r="F3" s="516">
        <v>900</v>
      </c>
      <c r="G3" s="516">
        <v>1200</v>
      </c>
      <c r="H3" s="516">
        <v>1500</v>
      </c>
      <c r="I3" s="516">
        <v>2000</v>
      </c>
      <c r="J3" s="519">
        <v>2500</v>
      </c>
      <c r="K3" s="519">
        <v>3000</v>
      </c>
      <c r="L3" s="520">
        <v>3500</v>
      </c>
      <c r="M3" s="1505">
        <v>4000</v>
      </c>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5" thickBot="1">
      <c r="A4" s="602"/>
      <c r="B4" s="603"/>
      <c r="C4" s="517">
        <f>'比较法-商业租金'!C104</f>
        <v>100</v>
      </c>
      <c r="D4" s="518">
        <f>'比较法-商业租金'!D104</f>
        <v>99</v>
      </c>
      <c r="E4" s="517">
        <f>'比较法-商业租金'!E104</f>
        <v>98</v>
      </c>
      <c r="F4" s="518">
        <f>'比较法-商业租金'!F104</f>
        <v>97</v>
      </c>
      <c r="G4" s="517">
        <f>'比较法-商业租金'!G104</f>
        <v>96</v>
      </c>
      <c r="H4" s="518">
        <f>'比较法-商业租金'!H104</f>
        <v>95</v>
      </c>
      <c r="I4" s="517">
        <f>'比较法-商业租金'!I104</f>
        <v>94</v>
      </c>
      <c r="J4" s="518">
        <f>'比较法-商业租金'!J104</f>
        <v>93</v>
      </c>
      <c r="K4" s="517">
        <f>'比较法-商业租金'!K104</f>
        <v>92</v>
      </c>
      <c r="L4" s="518">
        <f>'比较法-商业租金'!L104</f>
        <v>91</v>
      </c>
      <c r="M4" s="517">
        <f>'比较法-商业租金'!M104</f>
        <v>90</v>
      </c>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75" thickTop="1">
      <c r="A5" s="151"/>
      <c r="B5" s="604" t="s">
        <v>2870</v>
      </c>
      <c r="C5" s="605" t="s">
        <v>2854</v>
      </c>
      <c r="D5" s="606" t="s">
        <v>2855</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2307</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2851</v>
      </c>
      <c r="C11" s="2938" t="s">
        <v>2852</v>
      </c>
      <c r="D11" s="2939" t="s">
        <v>2853</v>
      </c>
      <c r="E11" s="2939"/>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22" t="s">
        <v>2308</v>
      </c>
      <c r="C13" s="623"/>
      <c r="D13" s="607"/>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c r="D14" s="625"/>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2309</v>
      </c>
      <c r="B17" s="629" t="s">
        <v>2310</v>
      </c>
      <c r="C17" s="2930" t="s">
        <v>2829</v>
      </c>
      <c r="D17" s="2931" t="s">
        <v>2830</v>
      </c>
      <c r="E17" s="2931" t="s">
        <v>2831</v>
      </c>
      <c r="F17" s="2931"/>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35</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2311</v>
      </c>
      <c r="E19" s="637"/>
      <c r="F19" s="637"/>
      <c r="G19" s="637"/>
      <c r="H19" s="136"/>
      <c r="I19" s="635"/>
      <c r="J19" s="635"/>
      <c r="K19" s="635"/>
      <c r="L19" s="635"/>
      <c r="M19" s="635"/>
      <c r="N19" s="635"/>
      <c r="O19" s="635"/>
      <c r="P19" s="635"/>
      <c r="Q19" s="635"/>
      <c r="R19" s="635"/>
      <c r="S19" s="120"/>
    </row>
    <row r="20" spans="1:45" ht="15.75">
      <c r="A20" s="638" t="s">
        <v>2312</v>
      </c>
      <c r="B20" s="639">
        <f>IF(D20="——",S22,S22-F20)</f>
        <v>1</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2313</v>
      </c>
      <c r="B21" s="639">
        <f>ROUND(B20*10000/B22,0)</f>
        <v>2</v>
      </c>
      <c r="C21" s="635"/>
      <c r="D21" s="635"/>
      <c r="E21" s="635"/>
      <c r="F21" s="635"/>
      <c r="G21" s="635"/>
      <c r="H21" s="635"/>
      <c r="I21" s="635"/>
      <c r="J21" s="635"/>
      <c r="K21" s="635"/>
      <c r="L21" s="635"/>
      <c r="M21" s="635"/>
      <c r="N21" s="635"/>
      <c r="O21" s="635"/>
      <c r="P21" s="635"/>
      <c r="Q21" s="635"/>
      <c r="R21" s="635"/>
      <c r="S21" s="120"/>
    </row>
    <row r="22" spans="1:45">
      <c r="A22" s="49" t="s">
        <v>2314</v>
      </c>
      <c r="B22" s="75">
        <f>SUM(B24:B10000)</f>
        <v>6578.91</v>
      </c>
      <c r="C22" s="3371" t="s">
        <v>124</v>
      </c>
      <c r="D22" s="3372"/>
      <c r="E22" s="3372"/>
      <c r="F22" s="3372"/>
      <c r="G22" s="3372"/>
      <c r="H22" s="3372"/>
      <c r="I22" s="3372"/>
      <c r="J22" s="3372"/>
      <c r="K22" s="3372"/>
      <c r="L22" s="3372"/>
      <c r="M22" s="3372"/>
      <c r="N22" s="3372"/>
      <c r="O22" s="3372"/>
      <c r="P22" s="3372"/>
      <c r="Q22" s="3373"/>
      <c r="R22" s="75">
        <f>ROUND(S22*10000/B22,0)</f>
        <v>2</v>
      </c>
      <c r="S22" s="75">
        <f>SUM(S24:S10000)</f>
        <v>1</v>
      </c>
    </row>
    <row r="23" spans="1:45" s="593" customFormat="1" ht="25.5">
      <c r="A23" s="643" t="s">
        <v>2315</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修正项6</v>
      </c>
      <c r="M23" s="643" t="s">
        <v>1868</v>
      </c>
      <c r="N23" s="643">
        <f>B15</f>
        <v>0</v>
      </c>
      <c r="O23" s="643" t="s">
        <v>1868</v>
      </c>
      <c r="P23" s="643" t="str">
        <f>B17</f>
        <v>楼层</v>
      </c>
      <c r="Q23" s="643" t="s">
        <v>1868</v>
      </c>
      <c r="R23" s="643" t="s">
        <v>2316</v>
      </c>
      <c r="S23" s="643" t="s">
        <v>2317</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健身房</v>
      </c>
      <c r="B24" s="645">
        <f>'数据-基础表'!I13</f>
        <v>1837.06</v>
      </c>
      <c r="C24" s="646">
        <v>1</v>
      </c>
      <c r="D24" s="647" t="s">
        <v>1194</v>
      </c>
      <c r="E24" s="646">
        <v>1</v>
      </c>
      <c r="F24" s="647"/>
      <c r="G24" s="646">
        <v>1</v>
      </c>
      <c r="H24" s="647"/>
      <c r="I24" s="646">
        <v>1</v>
      </c>
      <c r="J24" s="647" t="s">
        <v>2850</v>
      </c>
      <c r="K24" s="646">
        <v>1</v>
      </c>
      <c r="L24" s="647"/>
      <c r="M24" s="646">
        <v>1</v>
      </c>
      <c r="N24" s="647"/>
      <c r="O24" s="646">
        <v>1</v>
      </c>
      <c r="P24" s="649" t="s">
        <v>1647</v>
      </c>
      <c r="Q24" s="646">
        <v>1</v>
      </c>
      <c r="R24" s="645">
        <f>'比较法-商业租金'!C49</f>
        <v>2.75</v>
      </c>
      <c r="S24" s="698">
        <f t="shared" ref="S24:S54" si="11">ROUND(R24*B24/10000,0)</f>
        <v>1</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1562.01</v>
      </c>
      <c r="C25" s="75">
        <f t="shared" ref="C25:C37" si="12">IF(B25="",1,(LOOKUP(B25,$3:$3,$4:$4)-LOOKUP($B$24,$3:$3,$4:$4)+100)/100)</f>
        <v>1</v>
      </c>
      <c r="D25" s="647" t="s">
        <v>1194</v>
      </c>
      <c r="E25" s="75">
        <f>(SUMIF($5:$5,D25,$6:$6)-SUMIF($5:$5,$D$24,$6:$6)+100)/100</f>
        <v>1</v>
      </c>
      <c r="F25" s="649"/>
      <c r="G25" s="75">
        <f>(SUMIF($7:$7,F25,$8:$8)-SUMIF($7:$7,$F$24,$8:$8)+100)/100</f>
        <v>1</v>
      </c>
      <c r="H25" s="647"/>
      <c r="I25" s="75">
        <f>(SUMIF($9:$9,H25,$10:$10)-SUMIF($9:$9,$H$24,$10:$10)+100)/100</f>
        <v>1</v>
      </c>
      <c r="J25" s="647" t="s">
        <v>2850</v>
      </c>
      <c r="K25" s="75">
        <f>(SUMIF($11:$11,J25,$12:$12)-SUMIF($11:$11,$J$24,$12:$12)+100)/100</f>
        <v>1</v>
      </c>
      <c r="L25" s="649"/>
      <c r="M25" s="75">
        <f>(SUMIF($13:$13,L25,$14:$14)-SUMIF($13:$13,$L$24,$14:$14)+100)/100</f>
        <v>1</v>
      </c>
      <c r="N25" s="649"/>
      <c r="O25" s="75">
        <f>(SUMIF($15:$15,N25,$16:$16)-SUMIF($15:$15,$N$24,$16:$16)+100)/100</f>
        <v>1</v>
      </c>
      <c r="P25" s="649" t="s">
        <v>2832</v>
      </c>
      <c r="Q25" s="75">
        <f>(SUMIF($17:$17,P25,$18:$18)-SUMIF($17:$17,$P$24,$18:$18)+100)/100</f>
        <v>0.5</v>
      </c>
      <c r="R25" s="2668">
        <f>IF(B25="",0,ROUND($R$24*C25*E25*G25*I25*K25*M25*O25*Q25,2))</f>
        <v>1.38</v>
      </c>
      <c r="S25" s="49">
        <f t="shared" ref="S25:S37" si="13">ROUND(R25*B25/10000,0)</f>
        <v>0</v>
      </c>
      <c r="T25" s="699"/>
      <c r="U25" s="596">
        <f>B24</f>
        <v>1837.06</v>
      </c>
      <c r="V25" s="2531">
        <f>R24</f>
        <v>2.75</v>
      </c>
    </row>
    <row r="26" spans="1:45">
      <c r="A26" s="644">
        <f>'数据-基础表'!C15</f>
        <v>0</v>
      </c>
      <c r="B26" s="645">
        <f>'数据-基础表'!I15</f>
        <v>3179.84</v>
      </c>
      <c r="C26" s="75">
        <f t="shared" si="12"/>
        <v>0.97</v>
      </c>
      <c r="D26" s="647" t="s">
        <v>1194</v>
      </c>
      <c r="E26" s="75">
        <f t="shared" ref="E26:E89" si="14">(SUMIF($5:$5,D26,$6:$6)-SUMIF($5:$5,$D$24,$6:$6)+100)/100</f>
        <v>1</v>
      </c>
      <c r="F26" s="649"/>
      <c r="G26" s="75">
        <f t="shared" ref="G26:G89" si="15">(SUMIF($7:$7,F26,$8:$8)-SUMIF($7:$7,$F$24,$8:$8)+100)/100</f>
        <v>1</v>
      </c>
      <c r="H26" s="647"/>
      <c r="I26" s="75">
        <f t="shared" ref="I26:I89" si="16">(SUMIF($9:$9,H26,$10:$10)-SUMIF($9:$9,$H$24,$10:$10)+100)/100</f>
        <v>1</v>
      </c>
      <c r="J26" s="647" t="s">
        <v>2850</v>
      </c>
      <c r="K26" s="75">
        <f t="shared" ref="K26:K89" si="17">(SUMIF($11:$11,J26,$12:$12)-SUMIF($11:$11,$J$24,$12:$12)+100)/100</f>
        <v>1</v>
      </c>
      <c r="L26" s="649"/>
      <c r="M26" s="75">
        <f t="shared" ref="M26:M89" si="18">(SUMIF($13:$13,L26,$14:$14)-SUMIF($13:$13,$L$24,$14:$14)+100)/100</f>
        <v>1</v>
      </c>
      <c r="N26" s="649"/>
      <c r="O26" s="75">
        <f t="shared" ref="O26:O89" si="19">(SUMIF($15:$15,N26,$16:$16)-SUMIF($15:$15,$N$24,$16:$16)+100)/100</f>
        <v>1</v>
      </c>
      <c r="P26" s="649" t="s">
        <v>2833</v>
      </c>
      <c r="Q26" s="75">
        <f t="shared" ref="Q26:Q89" si="20">(SUMIF($17:$17,P26,$18:$18)-SUMIF($17:$17,$P$24,$18:$18)+100)/100</f>
        <v>0.35</v>
      </c>
      <c r="R26" s="2668">
        <f>IF(B26="",0,ROUND($R$24*C26*E26*G26*I26*K26*M26*O26*Q26,2))</f>
        <v>0.93</v>
      </c>
      <c r="S26" s="49">
        <f t="shared" si="13"/>
        <v>0</v>
      </c>
      <c r="T26" s="699"/>
      <c r="U26" s="596">
        <f t="shared" ref="U26:U30" si="21">B25</f>
        <v>1562.01</v>
      </c>
      <c r="V26" s="2531">
        <f t="shared" ref="V26:V30" si="22">R25</f>
        <v>1.38</v>
      </c>
    </row>
    <row r="27" spans="1:45">
      <c r="A27" s="650"/>
      <c r="B27" s="648"/>
      <c r="C27" s="75">
        <f t="shared" ref="C27:C31" si="23">IF(B27="",1,(LOOKUP(B27,$3:$3,$4:$4)-LOOKUP($B$24,$3:$3,$4:$4)+100)/100)</f>
        <v>1</v>
      </c>
      <c r="D27" s="649"/>
      <c r="E27" s="75">
        <f t="shared" ref="E27:E31" si="24">(SUMIF($5:$5,D27,$6:$6)-SUMIF($5:$5,$D$24,$6:$6)+100)/100</f>
        <v>0</v>
      </c>
      <c r="F27" s="649"/>
      <c r="G27" s="75">
        <f t="shared" ref="G27:G31" si="25">(SUMIF($7:$7,F27,$8:$8)-SUMIF($7:$7,$F$24,$8:$8)+100)/100</f>
        <v>1</v>
      </c>
      <c r="H27" s="649"/>
      <c r="I27" s="75">
        <f t="shared" ref="I27:I31" si="26">(SUMIF($9:$9,H27,$10:$10)-SUMIF($9:$9,$H$24,$10:$10)+100)/100</f>
        <v>1</v>
      </c>
      <c r="J27" s="649"/>
      <c r="K27" s="75">
        <f t="shared" ref="K27:K31" si="27">(SUMIF($11:$11,J27,$12:$12)-SUMIF($11:$11,$J$24,$12:$12)+100)/100</f>
        <v>0</v>
      </c>
      <c r="L27" s="649"/>
      <c r="M27" s="75">
        <f t="shared" ref="M27:M31" si="28">(SUMIF($13:$13,L27,$14:$14)-SUMIF($13:$13,$L$24,$14:$14)+100)/100</f>
        <v>1</v>
      </c>
      <c r="N27" s="649"/>
      <c r="O27" s="75">
        <f t="shared" ref="O27:O31" si="29">(SUMIF($15:$15,N27,$16:$16)-SUMIF($15:$15,$N$24,$16:$16)+100)/100</f>
        <v>1</v>
      </c>
      <c r="P27" s="649"/>
      <c r="Q27" s="75">
        <f t="shared" ref="Q27:Q31" si="30">(SUMIF($17:$17,P27,$18:$18)-SUMIF($17:$17,$P$24,$18:$18)+100)/100</f>
        <v>0</v>
      </c>
      <c r="R27" s="700">
        <f t="shared" ref="R27:R28" si="31">IF(B27="",0,ROUND($R$24*C27*E27*G27*I27*K27*M27*O27*Q27,1))</f>
        <v>0</v>
      </c>
      <c r="S27" s="49">
        <f t="shared" ref="S27:S31" si="32">ROUND(R27*B27/10000,0)</f>
        <v>0</v>
      </c>
      <c r="T27" s="699"/>
      <c r="U27" s="596">
        <f t="shared" si="21"/>
        <v>3179.84</v>
      </c>
      <c r="V27" s="2531">
        <f t="shared" si="22"/>
        <v>0.93</v>
      </c>
      <c r="W27" s="596">
        <f>ROUND((U25*V25+U26*V26+U27*V27)/(U25+U26+U27+U28),2)</f>
        <v>1.52</v>
      </c>
      <c r="X27" s="2975">
        <f>ROUND(W27*(U25+U26+U27+U28)*365/10000,2)</f>
        <v>370.75</v>
      </c>
    </row>
    <row r="28" spans="1:45">
      <c r="A28" s="651"/>
      <c r="B28" s="648"/>
      <c r="C28" s="75">
        <f t="shared" si="23"/>
        <v>1</v>
      </c>
      <c r="D28" s="649"/>
      <c r="E28" s="75">
        <f t="shared" si="24"/>
        <v>0</v>
      </c>
      <c r="F28" s="649"/>
      <c r="G28" s="75">
        <f t="shared" si="25"/>
        <v>1</v>
      </c>
      <c r="H28" s="649"/>
      <c r="I28" s="75">
        <f t="shared" si="26"/>
        <v>1</v>
      </c>
      <c r="J28" s="649"/>
      <c r="K28" s="75">
        <f t="shared" si="27"/>
        <v>0</v>
      </c>
      <c r="L28" s="649"/>
      <c r="M28" s="75">
        <f t="shared" si="28"/>
        <v>1</v>
      </c>
      <c r="N28" s="649"/>
      <c r="O28" s="75">
        <f t="shared" si="29"/>
        <v>1</v>
      </c>
      <c r="P28" s="649"/>
      <c r="Q28" s="75">
        <f t="shared" si="30"/>
        <v>0</v>
      </c>
      <c r="R28" s="700">
        <f t="shared" si="31"/>
        <v>0</v>
      </c>
      <c r="S28" s="49">
        <f t="shared" si="32"/>
        <v>0</v>
      </c>
      <c r="T28" s="699"/>
      <c r="U28" s="596">
        <v>103.67</v>
      </c>
      <c r="V28" s="2531">
        <f t="shared" si="22"/>
        <v>0</v>
      </c>
    </row>
    <row r="29" spans="1:45">
      <c r="A29" s="652"/>
      <c r="B29" s="648"/>
      <c r="C29" s="75">
        <f t="shared" si="23"/>
        <v>1</v>
      </c>
      <c r="D29" s="649"/>
      <c r="E29" s="75">
        <f t="shared" si="24"/>
        <v>0</v>
      </c>
      <c r="F29" s="649"/>
      <c r="G29" s="75">
        <f t="shared" si="25"/>
        <v>1</v>
      </c>
      <c r="H29" s="649"/>
      <c r="I29" s="75">
        <f t="shared" si="26"/>
        <v>1</v>
      </c>
      <c r="J29" s="649"/>
      <c r="K29" s="75">
        <f t="shared" si="27"/>
        <v>0</v>
      </c>
      <c r="L29" s="649"/>
      <c r="M29" s="75">
        <f t="shared" si="28"/>
        <v>1</v>
      </c>
      <c r="N29" s="649"/>
      <c r="O29" s="75">
        <f t="shared" si="29"/>
        <v>1</v>
      </c>
      <c r="P29" s="649"/>
      <c r="Q29" s="75">
        <f t="shared" si="30"/>
        <v>0</v>
      </c>
      <c r="R29" s="75">
        <f>IF(B29="",0,ROUND($R$24*C29*E29*G29*I29*K29*M29*O29*Q29,0))</f>
        <v>0</v>
      </c>
      <c r="S29" s="49">
        <f t="shared" si="32"/>
        <v>0</v>
      </c>
      <c r="T29" s="699"/>
      <c r="U29" s="596">
        <f t="shared" si="21"/>
        <v>0</v>
      </c>
      <c r="V29" s="2531">
        <f t="shared" si="22"/>
        <v>0</v>
      </c>
    </row>
    <row r="30" spans="1:45">
      <c r="A30" s="652"/>
      <c r="B30" s="648"/>
      <c r="C30" s="75">
        <f t="shared" si="23"/>
        <v>1</v>
      </c>
      <c r="D30" s="649"/>
      <c r="E30" s="75">
        <f t="shared" si="24"/>
        <v>0</v>
      </c>
      <c r="F30" s="649"/>
      <c r="G30" s="75">
        <f t="shared" si="25"/>
        <v>1</v>
      </c>
      <c r="H30" s="649"/>
      <c r="I30" s="75">
        <f t="shared" si="26"/>
        <v>1</v>
      </c>
      <c r="J30" s="649"/>
      <c r="K30" s="75">
        <f t="shared" si="27"/>
        <v>0</v>
      </c>
      <c r="L30" s="649"/>
      <c r="M30" s="75">
        <f t="shared" si="28"/>
        <v>1</v>
      </c>
      <c r="N30" s="649"/>
      <c r="O30" s="75">
        <f t="shared" si="29"/>
        <v>1</v>
      </c>
      <c r="P30" s="649"/>
      <c r="Q30" s="75">
        <f t="shared" si="30"/>
        <v>0</v>
      </c>
      <c r="R30" s="75">
        <f>IF(B30="",0,ROUND($R$24*C30*E30*G30*I30*K30*M30*O30*Q30,0))</f>
        <v>0</v>
      </c>
      <c r="S30" s="49">
        <f t="shared" si="32"/>
        <v>0</v>
      </c>
      <c r="T30" s="699"/>
      <c r="U30" s="596">
        <f t="shared" si="21"/>
        <v>0</v>
      </c>
      <c r="V30" s="2531">
        <f t="shared" si="22"/>
        <v>0</v>
      </c>
      <c r="W30" s="596">
        <f>ROUND((U28*V28+U29*V29+U30*V30)/(U28+U29+U30),2)</f>
        <v>0</v>
      </c>
      <c r="X30" s="596">
        <f>W30*(U28+U29+U30)*365/10000</f>
        <v>0</v>
      </c>
    </row>
    <row r="31" spans="1:45">
      <c r="A31" s="652"/>
      <c r="B31" s="648"/>
      <c r="C31" s="75">
        <f t="shared" si="23"/>
        <v>1</v>
      </c>
      <c r="D31" s="649"/>
      <c r="E31" s="75">
        <f t="shared" si="24"/>
        <v>0</v>
      </c>
      <c r="F31" s="649"/>
      <c r="G31" s="75">
        <f t="shared" si="25"/>
        <v>1</v>
      </c>
      <c r="H31" s="649"/>
      <c r="I31" s="75">
        <f t="shared" si="26"/>
        <v>1</v>
      </c>
      <c r="J31" s="649"/>
      <c r="K31" s="75">
        <f t="shared" si="27"/>
        <v>0</v>
      </c>
      <c r="L31" s="649"/>
      <c r="M31" s="75">
        <f t="shared" si="28"/>
        <v>1</v>
      </c>
      <c r="N31" s="649"/>
      <c r="O31" s="75">
        <f t="shared" si="29"/>
        <v>1</v>
      </c>
      <c r="P31" s="649"/>
      <c r="Q31" s="75">
        <f t="shared" si="30"/>
        <v>0</v>
      </c>
      <c r="R31" s="75">
        <f>IF(B31="",0,ROUND($R$24*C31*E31*G31*I31*K31*M31*O31*Q31,0))</f>
        <v>0</v>
      </c>
      <c r="S31" s="49">
        <f t="shared" si="32"/>
        <v>0</v>
      </c>
      <c r="T31" s="699"/>
    </row>
    <row r="32" spans="1:45">
      <c r="A32" s="651"/>
      <c r="B32" s="648"/>
      <c r="C32" s="75">
        <f t="shared" si="12"/>
        <v>1</v>
      </c>
      <c r="D32" s="649"/>
      <c r="E32" s="75">
        <f t="shared" si="14"/>
        <v>0</v>
      </c>
      <c r="F32" s="649"/>
      <c r="G32" s="75">
        <f t="shared" si="15"/>
        <v>1</v>
      </c>
      <c r="H32" s="649"/>
      <c r="I32" s="75">
        <f t="shared" si="16"/>
        <v>1</v>
      </c>
      <c r="J32" s="649"/>
      <c r="K32" s="75">
        <f t="shared" si="17"/>
        <v>0</v>
      </c>
      <c r="L32" s="649"/>
      <c r="M32" s="75">
        <f t="shared" si="18"/>
        <v>1</v>
      </c>
      <c r="N32" s="649"/>
      <c r="O32" s="75">
        <f t="shared" si="19"/>
        <v>1</v>
      </c>
      <c r="P32" s="649"/>
      <c r="Q32" s="75">
        <f t="shared" si="20"/>
        <v>0</v>
      </c>
      <c r="R32" s="700">
        <f t="shared" ref="R32" si="33">IF(B32="",0,ROUND($R$24*C32*E32*G32*I32*K32*M32*O32*Q32,1))</f>
        <v>0</v>
      </c>
      <c r="S32" s="49">
        <f t="shared" si="13"/>
        <v>0</v>
      </c>
      <c r="T32" s="699"/>
    </row>
    <row r="33" spans="1:19">
      <c r="A33" s="652"/>
      <c r="B33" s="648"/>
      <c r="C33" s="75">
        <f t="shared" si="12"/>
        <v>1</v>
      </c>
      <c r="D33" s="649"/>
      <c r="E33" s="75">
        <f t="shared" si="14"/>
        <v>0</v>
      </c>
      <c r="F33" s="649"/>
      <c r="G33" s="75">
        <f t="shared" si="15"/>
        <v>1</v>
      </c>
      <c r="H33" s="649"/>
      <c r="I33" s="75">
        <f t="shared" si="16"/>
        <v>1</v>
      </c>
      <c r="J33" s="649"/>
      <c r="K33" s="75">
        <f t="shared" si="17"/>
        <v>0</v>
      </c>
      <c r="L33" s="649"/>
      <c r="M33" s="75">
        <f t="shared" si="18"/>
        <v>1</v>
      </c>
      <c r="N33" s="649"/>
      <c r="O33" s="75">
        <f t="shared" si="19"/>
        <v>1</v>
      </c>
      <c r="P33" s="649"/>
      <c r="Q33" s="75">
        <f t="shared" si="20"/>
        <v>0</v>
      </c>
      <c r="R33" s="75">
        <f>IF(B33="",0,ROUND($R$24*C33*E33*G33*I33*K33*M33*O33*Q33,0))</f>
        <v>0</v>
      </c>
      <c r="S33" s="49">
        <f t="shared" si="13"/>
        <v>0</v>
      </c>
    </row>
    <row r="34" spans="1:19">
      <c r="A34" s="652"/>
      <c r="B34" s="648"/>
      <c r="C34" s="75">
        <f t="shared" si="12"/>
        <v>1</v>
      </c>
      <c r="D34" s="649"/>
      <c r="E34" s="75">
        <f t="shared" si="14"/>
        <v>0</v>
      </c>
      <c r="F34" s="649"/>
      <c r="G34" s="75">
        <f t="shared" si="15"/>
        <v>1</v>
      </c>
      <c r="H34" s="649"/>
      <c r="I34" s="75">
        <f t="shared" si="16"/>
        <v>1</v>
      </c>
      <c r="J34" s="649"/>
      <c r="K34" s="75">
        <f t="shared" si="17"/>
        <v>0</v>
      </c>
      <c r="L34" s="649"/>
      <c r="M34" s="75">
        <f t="shared" si="18"/>
        <v>1</v>
      </c>
      <c r="N34" s="649"/>
      <c r="O34" s="75">
        <f t="shared" si="19"/>
        <v>1</v>
      </c>
      <c r="P34" s="649"/>
      <c r="Q34" s="75">
        <f t="shared" si="20"/>
        <v>0</v>
      </c>
      <c r="R34" s="75">
        <f>IF(B34="",0,ROUND($R$24*C34*E34*G34*I34*K34*M34*O34*Q34,0))</f>
        <v>0</v>
      </c>
      <c r="S34" s="49">
        <f t="shared" si="13"/>
        <v>0</v>
      </c>
    </row>
    <row r="35" spans="1:19">
      <c r="A35" s="652"/>
      <c r="B35" s="648"/>
      <c r="C35" s="75">
        <f t="shared" si="12"/>
        <v>1</v>
      </c>
      <c r="D35" s="649"/>
      <c r="E35" s="75">
        <f t="shared" si="14"/>
        <v>0</v>
      </c>
      <c r="F35" s="649"/>
      <c r="G35" s="75">
        <f t="shared" si="15"/>
        <v>1</v>
      </c>
      <c r="H35" s="649"/>
      <c r="I35" s="75">
        <f t="shared" si="16"/>
        <v>1</v>
      </c>
      <c r="J35" s="649"/>
      <c r="K35" s="75">
        <f t="shared" si="17"/>
        <v>0</v>
      </c>
      <c r="L35" s="649"/>
      <c r="M35" s="75">
        <f t="shared" si="18"/>
        <v>1</v>
      </c>
      <c r="N35" s="649"/>
      <c r="O35" s="75">
        <f t="shared" si="19"/>
        <v>1</v>
      </c>
      <c r="P35" s="649"/>
      <c r="Q35" s="75">
        <f t="shared" si="20"/>
        <v>0</v>
      </c>
      <c r="R35" s="75">
        <f>IF(B35="",0,ROUND($R$24*C35*E35*G35*I35*K35*M35*O35*Q35,0))</f>
        <v>0</v>
      </c>
      <c r="S35" s="49">
        <f t="shared" si="13"/>
        <v>0</v>
      </c>
    </row>
    <row r="36" spans="1:19">
      <c r="A36" s="652"/>
      <c r="B36" s="648"/>
      <c r="C36" s="75">
        <f t="shared" si="12"/>
        <v>1</v>
      </c>
      <c r="D36" s="649"/>
      <c r="E36" s="75">
        <f t="shared" si="14"/>
        <v>0</v>
      </c>
      <c r="F36" s="649"/>
      <c r="G36" s="75">
        <f t="shared" si="15"/>
        <v>1</v>
      </c>
      <c r="H36" s="649"/>
      <c r="I36" s="75">
        <f t="shared" si="16"/>
        <v>1</v>
      </c>
      <c r="J36" s="649"/>
      <c r="K36" s="75">
        <f t="shared" si="17"/>
        <v>0</v>
      </c>
      <c r="L36" s="649"/>
      <c r="M36" s="75">
        <f t="shared" si="18"/>
        <v>1</v>
      </c>
      <c r="N36" s="649"/>
      <c r="O36" s="75">
        <f t="shared" si="19"/>
        <v>1</v>
      </c>
      <c r="P36" s="649"/>
      <c r="Q36" s="75">
        <f t="shared" si="20"/>
        <v>0</v>
      </c>
      <c r="R36" s="75">
        <f>IF(B36="",0,ROUND($R$24*C36*E36*G36*I36*K36*M36*O36*Q36,0))</f>
        <v>0</v>
      </c>
      <c r="S36" s="49">
        <f t="shared" si="13"/>
        <v>0</v>
      </c>
    </row>
    <row r="37" spans="1:19">
      <c r="A37" s="652"/>
      <c r="B37" s="648"/>
      <c r="C37" s="75">
        <f t="shared" si="12"/>
        <v>1</v>
      </c>
      <c r="D37" s="649"/>
      <c r="E37" s="75">
        <f t="shared" si="14"/>
        <v>0</v>
      </c>
      <c r="F37" s="649"/>
      <c r="G37" s="75">
        <f t="shared" si="15"/>
        <v>1</v>
      </c>
      <c r="H37" s="649"/>
      <c r="I37" s="75">
        <f t="shared" si="16"/>
        <v>1</v>
      </c>
      <c r="J37" s="649"/>
      <c r="K37" s="75">
        <f t="shared" si="17"/>
        <v>0</v>
      </c>
      <c r="L37" s="649"/>
      <c r="M37" s="75">
        <f t="shared" si="18"/>
        <v>1</v>
      </c>
      <c r="N37" s="649"/>
      <c r="O37" s="75">
        <f t="shared" si="19"/>
        <v>1</v>
      </c>
      <c r="P37" s="649"/>
      <c r="Q37" s="75">
        <f t="shared" si="20"/>
        <v>0</v>
      </c>
      <c r="R37" s="75">
        <f>IF(B37="",0,ROUND($R$24*C37*E37*G37*I37*K37*M37*O37*Q37,0))</f>
        <v>0</v>
      </c>
      <c r="S37" s="49">
        <f t="shared" si="13"/>
        <v>0</v>
      </c>
    </row>
    <row r="38" spans="1:19">
      <c r="A38" s="652"/>
      <c r="B38" s="648"/>
      <c r="C38" s="75">
        <f t="shared" ref="C38:C89" si="34">IF(B38="",1,(LOOKUP(B38,$3:$3,$4:$4)-LOOKUP($B$24,$3:$3,$4:$4)+100)/100)</f>
        <v>1</v>
      </c>
      <c r="D38" s="649"/>
      <c r="E38" s="75">
        <f t="shared" si="14"/>
        <v>0</v>
      </c>
      <c r="F38" s="649"/>
      <c r="G38" s="75">
        <f t="shared" si="15"/>
        <v>1</v>
      </c>
      <c r="H38" s="649"/>
      <c r="I38" s="75">
        <f t="shared" si="16"/>
        <v>1</v>
      </c>
      <c r="J38" s="649"/>
      <c r="K38" s="75">
        <f t="shared" si="17"/>
        <v>0</v>
      </c>
      <c r="L38" s="649"/>
      <c r="M38" s="75">
        <f t="shared" si="18"/>
        <v>1</v>
      </c>
      <c r="N38" s="649"/>
      <c r="O38" s="75">
        <f t="shared" si="19"/>
        <v>1</v>
      </c>
      <c r="P38" s="649"/>
      <c r="Q38" s="75">
        <f t="shared" si="20"/>
        <v>0</v>
      </c>
      <c r="R38" s="75">
        <f t="shared" ref="R38:R89" si="35">IF(B38="",0,ROUND($R$24*C38*E38*G38*I38*K38*M38*O38*Q38,0))</f>
        <v>0</v>
      </c>
      <c r="S38" s="49">
        <f t="shared" si="11"/>
        <v>0</v>
      </c>
    </row>
    <row r="39" spans="1:19">
      <c r="A39" s="652"/>
      <c r="B39" s="648"/>
      <c r="C39" s="75">
        <f t="shared" si="34"/>
        <v>1</v>
      </c>
      <c r="D39" s="649"/>
      <c r="E39" s="75">
        <f t="shared" si="14"/>
        <v>0</v>
      </c>
      <c r="F39" s="649"/>
      <c r="G39" s="75">
        <f t="shared" si="15"/>
        <v>1</v>
      </c>
      <c r="H39" s="649"/>
      <c r="I39" s="75">
        <f t="shared" si="16"/>
        <v>1</v>
      </c>
      <c r="J39" s="649"/>
      <c r="K39" s="75">
        <f t="shared" si="17"/>
        <v>0</v>
      </c>
      <c r="L39" s="649"/>
      <c r="M39" s="75">
        <f t="shared" si="18"/>
        <v>1</v>
      </c>
      <c r="N39" s="649"/>
      <c r="O39" s="75">
        <f t="shared" si="19"/>
        <v>1</v>
      </c>
      <c r="P39" s="649"/>
      <c r="Q39" s="75">
        <f t="shared" si="20"/>
        <v>0</v>
      </c>
      <c r="R39" s="75">
        <f t="shared" si="35"/>
        <v>0</v>
      </c>
      <c r="S39" s="49">
        <f t="shared" si="11"/>
        <v>0</v>
      </c>
    </row>
    <row r="40" spans="1:19">
      <c r="A40" s="652"/>
      <c r="B40" s="648"/>
      <c r="C40" s="75">
        <f t="shared" si="34"/>
        <v>1</v>
      </c>
      <c r="D40" s="649"/>
      <c r="E40" s="75">
        <f t="shared" si="14"/>
        <v>0</v>
      </c>
      <c r="F40" s="649"/>
      <c r="G40" s="75">
        <f t="shared" si="15"/>
        <v>1</v>
      </c>
      <c r="H40" s="649"/>
      <c r="I40" s="75">
        <f t="shared" si="16"/>
        <v>1</v>
      </c>
      <c r="J40" s="649"/>
      <c r="K40" s="75">
        <f t="shared" si="17"/>
        <v>0</v>
      </c>
      <c r="L40" s="649"/>
      <c r="M40" s="75">
        <f t="shared" si="18"/>
        <v>1</v>
      </c>
      <c r="N40" s="649"/>
      <c r="O40" s="75">
        <f t="shared" si="19"/>
        <v>1</v>
      </c>
      <c r="P40" s="649"/>
      <c r="Q40" s="75">
        <f t="shared" si="20"/>
        <v>0</v>
      </c>
      <c r="R40" s="75">
        <f t="shared" si="35"/>
        <v>0</v>
      </c>
      <c r="S40" s="49">
        <f t="shared" si="11"/>
        <v>0</v>
      </c>
    </row>
    <row r="41" spans="1:19">
      <c r="A41" s="652"/>
      <c r="B41" s="648"/>
      <c r="C41" s="75">
        <f t="shared" si="34"/>
        <v>1</v>
      </c>
      <c r="D41" s="649"/>
      <c r="E41" s="75">
        <f t="shared" si="14"/>
        <v>0</v>
      </c>
      <c r="F41" s="649"/>
      <c r="G41" s="75">
        <f t="shared" si="15"/>
        <v>1</v>
      </c>
      <c r="H41" s="649"/>
      <c r="I41" s="75">
        <f t="shared" si="16"/>
        <v>1</v>
      </c>
      <c r="J41" s="649"/>
      <c r="K41" s="75">
        <f t="shared" si="17"/>
        <v>0</v>
      </c>
      <c r="L41" s="649"/>
      <c r="M41" s="75">
        <f t="shared" si="18"/>
        <v>1</v>
      </c>
      <c r="N41" s="649"/>
      <c r="O41" s="75">
        <f t="shared" si="19"/>
        <v>1</v>
      </c>
      <c r="P41" s="649"/>
      <c r="Q41" s="75">
        <f t="shared" si="20"/>
        <v>0</v>
      </c>
      <c r="R41" s="75">
        <f t="shared" si="35"/>
        <v>0</v>
      </c>
      <c r="S41" s="49">
        <f t="shared" si="11"/>
        <v>0</v>
      </c>
    </row>
    <row r="42" spans="1:19">
      <c r="A42" s="652"/>
      <c r="B42" s="648"/>
      <c r="C42" s="75">
        <f t="shared" si="34"/>
        <v>1</v>
      </c>
      <c r="D42" s="649"/>
      <c r="E42" s="75">
        <f t="shared" si="14"/>
        <v>0</v>
      </c>
      <c r="F42" s="649"/>
      <c r="G42" s="75">
        <f t="shared" si="15"/>
        <v>1</v>
      </c>
      <c r="H42" s="649"/>
      <c r="I42" s="75">
        <f t="shared" si="16"/>
        <v>1</v>
      </c>
      <c r="J42" s="649"/>
      <c r="K42" s="75">
        <f t="shared" si="17"/>
        <v>0</v>
      </c>
      <c r="L42" s="649"/>
      <c r="M42" s="75">
        <f t="shared" si="18"/>
        <v>1</v>
      </c>
      <c r="N42" s="649"/>
      <c r="O42" s="75">
        <f t="shared" si="19"/>
        <v>1</v>
      </c>
      <c r="P42" s="649"/>
      <c r="Q42" s="75">
        <f t="shared" si="20"/>
        <v>0</v>
      </c>
      <c r="R42" s="75">
        <f t="shared" si="35"/>
        <v>0</v>
      </c>
      <c r="S42" s="49">
        <f t="shared" si="11"/>
        <v>0</v>
      </c>
    </row>
    <row r="43" spans="1:19">
      <c r="A43" s="652"/>
      <c r="B43" s="648"/>
      <c r="C43" s="75">
        <f t="shared" si="34"/>
        <v>1</v>
      </c>
      <c r="D43" s="649"/>
      <c r="E43" s="75">
        <f t="shared" si="14"/>
        <v>0</v>
      </c>
      <c r="F43" s="649"/>
      <c r="G43" s="75">
        <f t="shared" si="15"/>
        <v>1</v>
      </c>
      <c r="H43" s="649"/>
      <c r="I43" s="75">
        <f t="shared" si="16"/>
        <v>1</v>
      </c>
      <c r="J43" s="649"/>
      <c r="K43" s="75">
        <f t="shared" si="17"/>
        <v>0</v>
      </c>
      <c r="L43" s="649"/>
      <c r="M43" s="75">
        <f t="shared" si="18"/>
        <v>1</v>
      </c>
      <c r="N43" s="649"/>
      <c r="O43" s="75">
        <f t="shared" si="19"/>
        <v>1</v>
      </c>
      <c r="P43" s="649"/>
      <c r="Q43" s="75">
        <f t="shared" si="20"/>
        <v>0</v>
      </c>
      <c r="R43" s="75">
        <f t="shared" si="35"/>
        <v>0</v>
      </c>
      <c r="S43" s="49">
        <f t="shared" si="11"/>
        <v>0</v>
      </c>
    </row>
    <row r="44" spans="1:19">
      <c r="A44" s="652"/>
      <c r="B44" s="648"/>
      <c r="C44" s="75">
        <f t="shared" si="34"/>
        <v>1</v>
      </c>
      <c r="D44" s="649"/>
      <c r="E44" s="75">
        <f t="shared" si="14"/>
        <v>0</v>
      </c>
      <c r="F44" s="649"/>
      <c r="G44" s="75">
        <f t="shared" si="15"/>
        <v>1</v>
      </c>
      <c r="H44" s="649"/>
      <c r="I44" s="75">
        <f t="shared" si="16"/>
        <v>1</v>
      </c>
      <c r="J44" s="649"/>
      <c r="K44" s="75">
        <f t="shared" si="17"/>
        <v>0</v>
      </c>
      <c r="L44" s="649"/>
      <c r="M44" s="75">
        <f t="shared" si="18"/>
        <v>1</v>
      </c>
      <c r="N44" s="649"/>
      <c r="O44" s="75">
        <f t="shared" si="19"/>
        <v>1</v>
      </c>
      <c r="P44" s="649"/>
      <c r="Q44" s="75">
        <f t="shared" si="20"/>
        <v>0</v>
      </c>
      <c r="R44" s="75">
        <f t="shared" si="35"/>
        <v>0</v>
      </c>
      <c r="S44" s="49">
        <f t="shared" si="11"/>
        <v>0</v>
      </c>
    </row>
    <row r="45" spans="1:19">
      <c r="A45" s="652"/>
      <c r="B45" s="648"/>
      <c r="C45" s="75">
        <f t="shared" si="34"/>
        <v>1</v>
      </c>
      <c r="D45" s="649"/>
      <c r="E45" s="75">
        <f t="shared" si="14"/>
        <v>0</v>
      </c>
      <c r="F45" s="649"/>
      <c r="G45" s="75">
        <f t="shared" si="15"/>
        <v>1</v>
      </c>
      <c r="H45" s="649"/>
      <c r="I45" s="75">
        <f t="shared" si="16"/>
        <v>1</v>
      </c>
      <c r="J45" s="649"/>
      <c r="K45" s="75">
        <f t="shared" si="17"/>
        <v>0</v>
      </c>
      <c r="L45" s="649"/>
      <c r="M45" s="75">
        <f t="shared" si="18"/>
        <v>1</v>
      </c>
      <c r="N45" s="649"/>
      <c r="O45" s="75">
        <f t="shared" si="19"/>
        <v>1</v>
      </c>
      <c r="P45" s="649"/>
      <c r="Q45" s="75">
        <f t="shared" si="20"/>
        <v>0</v>
      </c>
      <c r="R45" s="75">
        <f t="shared" si="35"/>
        <v>0</v>
      </c>
      <c r="S45" s="49">
        <f t="shared" si="11"/>
        <v>0</v>
      </c>
    </row>
    <row r="46" spans="1:19">
      <c r="A46" s="652"/>
      <c r="B46" s="648"/>
      <c r="C46" s="75">
        <f t="shared" si="34"/>
        <v>1</v>
      </c>
      <c r="D46" s="649"/>
      <c r="E46" s="75">
        <f t="shared" si="14"/>
        <v>0</v>
      </c>
      <c r="F46" s="649"/>
      <c r="G46" s="75">
        <f t="shared" si="15"/>
        <v>1</v>
      </c>
      <c r="H46" s="649"/>
      <c r="I46" s="75">
        <f t="shared" si="16"/>
        <v>1</v>
      </c>
      <c r="J46" s="649"/>
      <c r="K46" s="75">
        <f t="shared" si="17"/>
        <v>0</v>
      </c>
      <c r="L46" s="649"/>
      <c r="M46" s="75">
        <f t="shared" si="18"/>
        <v>1</v>
      </c>
      <c r="N46" s="649"/>
      <c r="O46" s="75">
        <f t="shared" si="19"/>
        <v>1</v>
      </c>
      <c r="P46" s="649"/>
      <c r="Q46" s="75">
        <f t="shared" si="20"/>
        <v>0</v>
      </c>
      <c r="R46" s="75">
        <f t="shared" si="35"/>
        <v>0</v>
      </c>
      <c r="S46" s="49">
        <f t="shared" si="11"/>
        <v>0</v>
      </c>
    </row>
    <row r="47" spans="1:19">
      <c r="A47" s="652"/>
      <c r="B47" s="648"/>
      <c r="C47" s="75">
        <f t="shared" si="34"/>
        <v>1</v>
      </c>
      <c r="D47" s="649"/>
      <c r="E47" s="75">
        <f t="shared" si="14"/>
        <v>0</v>
      </c>
      <c r="F47" s="649"/>
      <c r="G47" s="75">
        <f t="shared" si="15"/>
        <v>1</v>
      </c>
      <c r="H47" s="649"/>
      <c r="I47" s="75">
        <f t="shared" si="16"/>
        <v>1</v>
      </c>
      <c r="J47" s="649"/>
      <c r="K47" s="75">
        <f t="shared" si="17"/>
        <v>0</v>
      </c>
      <c r="L47" s="649"/>
      <c r="M47" s="75">
        <f t="shared" si="18"/>
        <v>1</v>
      </c>
      <c r="N47" s="649"/>
      <c r="O47" s="75">
        <f t="shared" si="19"/>
        <v>1</v>
      </c>
      <c r="P47" s="649"/>
      <c r="Q47" s="75">
        <f t="shared" si="20"/>
        <v>0</v>
      </c>
      <c r="R47" s="75">
        <f t="shared" si="35"/>
        <v>0</v>
      </c>
      <c r="S47" s="49">
        <f t="shared" si="11"/>
        <v>0</v>
      </c>
    </row>
    <row r="48" spans="1:19">
      <c r="A48" s="652"/>
      <c r="B48" s="648"/>
      <c r="C48" s="75">
        <f t="shared" si="34"/>
        <v>1</v>
      </c>
      <c r="D48" s="649"/>
      <c r="E48" s="75">
        <f t="shared" si="14"/>
        <v>0</v>
      </c>
      <c r="F48" s="649"/>
      <c r="G48" s="75">
        <f t="shared" si="15"/>
        <v>1</v>
      </c>
      <c r="H48" s="649"/>
      <c r="I48" s="75">
        <f t="shared" si="16"/>
        <v>1</v>
      </c>
      <c r="J48" s="649"/>
      <c r="K48" s="75">
        <f t="shared" si="17"/>
        <v>0</v>
      </c>
      <c r="L48" s="649"/>
      <c r="M48" s="75">
        <f t="shared" si="18"/>
        <v>1</v>
      </c>
      <c r="N48" s="649"/>
      <c r="O48" s="75">
        <f t="shared" si="19"/>
        <v>1</v>
      </c>
      <c r="P48" s="649"/>
      <c r="Q48" s="75">
        <f t="shared" si="20"/>
        <v>0</v>
      </c>
      <c r="R48" s="75">
        <f t="shared" si="35"/>
        <v>0</v>
      </c>
      <c r="S48" s="49">
        <f t="shared" si="11"/>
        <v>0</v>
      </c>
    </row>
    <row r="49" spans="1:19">
      <c r="A49" s="652"/>
      <c r="B49" s="648"/>
      <c r="C49" s="75">
        <f t="shared" si="34"/>
        <v>1</v>
      </c>
      <c r="D49" s="649"/>
      <c r="E49" s="75">
        <f t="shared" si="14"/>
        <v>0</v>
      </c>
      <c r="F49" s="649"/>
      <c r="G49" s="75">
        <f t="shared" si="15"/>
        <v>1</v>
      </c>
      <c r="H49" s="649"/>
      <c r="I49" s="75">
        <f t="shared" si="16"/>
        <v>1</v>
      </c>
      <c r="J49" s="649"/>
      <c r="K49" s="75">
        <f t="shared" si="17"/>
        <v>0</v>
      </c>
      <c r="L49" s="649"/>
      <c r="M49" s="75">
        <f t="shared" si="18"/>
        <v>1</v>
      </c>
      <c r="N49" s="649"/>
      <c r="O49" s="75">
        <f t="shared" si="19"/>
        <v>1</v>
      </c>
      <c r="P49" s="649"/>
      <c r="Q49" s="75">
        <f t="shared" si="20"/>
        <v>0</v>
      </c>
      <c r="R49" s="75">
        <f t="shared" si="35"/>
        <v>0</v>
      </c>
      <c r="S49" s="49">
        <f t="shared" si="11"/>
        <v>0</v>
      </c>
    </row>
    <row r="50" spans="1:19">
      <c r="A50" s="652"/>
      <c r="B50" s="648"/>
      <c r="C50" s="75">
        <f t="shared" si="34"/>
        <v>1</v>
      </c>
      <c r="D50" s="649"/>
      <c r="E50" s="75">
        <f t="shared" si="14"/>
        <v>0</v>
      </c>
      <c r="F50" s="649"/>
      <c r="G50" s="75">
        <f t="shared" si="15"/>
        <v>1</v>
      </c>
      <c r="H50" s="649"/>
      <c r="I50" s="75">
        <f t="shared" si="16"/>
        <v>1</v>
      </c>
      <c r="J50" s="649"/>
      <c r="K50" s="75">
        <f t="shared" si="17"/>
        <v>0</v>
      </c>
      <c r="L50" s="649"/>
      <c r="M50" s="75">
        <f t="shared" si="18"/>
        <v>1</v>
      </c>
      <c r="N50" s="649"/>
      <c r="O50" s="75">
        <f t="shared" si="19"/>
        <v>1</v>
      </c>
      <c r="P50" s="649"/>
      <c r="Q50" s="75">
        <f t="shared" si="20"/>
        <v>0</v>
      </c>
      <c r="R50" s="75">
        <f t="shared" si="35"/>
        <v>0</v>
      </c>
      <c r="S50" s="49">
        <f t="shared" si="11"/>
        <v>0</v>
      </c>
    </row>
    <row r="51" spans="1:19">
      <c r="A51" s="652"/>
      <c r="B51" s="648"/>
      <c r="C51" s="75">
        <f t="shared" si="34"/>
        <v>1</v>
      </c>
      <c r="D51" s="649"/>
      <c r="E51" s="75">
        <f t="shared" si="14"/>
        <v>0</v>
      </c>
      <c r="F51" s="649"/>
      <c r="G51" s="75">
        <f t="shared" si="15"/>
        <v>1</v>
      </c>
      <c r="H51" s="649"/>
      <c r="I51" s="75">
        <f t="shared" si="16"/>
        <v>1</v>
      </c>
      <c r="J51" s="649"/>
      <c r="K51" s="75">
        <f t="shared" si="17"/>
        <v>0</v>
      </c>
      <c r="L51" s="649"/>
      <c r="M51" s="75">
        <f t="shared" si="18"/>
        <v>1</v>
      </c>
      <c r="N51" s="649"/>
      <c r="O51" s="75">
        <f t="shared" si="19"/>
        <v>1</v>
      </c>
      <c r="P51" s="649"/>
      <c r="Q51" s="75">
        <f t="shared" si="20"/>
        <v>0</v>
      </c>
      <c r="R51" s="75">
        <f t="shared" si="35"/>
        <v>0</v>
      </c>
      <c r="S51" s="49">
        <f t="shared" si="11"/>
        <v>0</v>
      </c>
    </row>
    <row r="52" spans="1:19">
      <c r="A52" s="652"/>
      <c r="B52" s="648"/>
      <c r="C52" s="75">
        <f t="shared" si="34"/>
        <v>1</v>
      </c>
      <c r="D52" s="649"/>
      <c r="E52" s="75">
        <f t="shared" si="14"/>
        <v>0</v>
      </c>
      <c r="F52" s="649"/>
      <c r="G52" s="75">
        <f t="shared" si="15"/>
        <v>1</v>
      </c>
      <c r="H52" s="649"/>
      <c r="I52" s="75">
        <f t="shared" si="16"/>
        <v>1</v>
      </c>
      <c r="J52" s="649"/>
      <c r="K52" s="75">
        <f t="shared" si="17"/>
        <v>0</v>
      </c>
      <c r="L52" s="649"/>
      <c r="M52" s="75">
        <f t="shared" si="18"/>
        <v>1</v>
      </c>
      <c r="N52" s="649"/>
      <c r="O52" s="75">
        <f t="shared" si="19"/>
        <v>1</v>
      </c>
      <c r="P52" s="649"/>
      <c r="Q52" s="75">
        <f t="shared" si="20"/>
        <v>0</v>
      </c>
      <c r="R52" s="75">
        <f t="shared" si="35"/>
        <v>0</v>
      </c>
      <c r="S52" s="49">
        <f t="shared" si="11"/>
        <v>0</v>
      </c>
    </row>
    <row r="53" spans="1:19">
      <c r="A53" s="652"/>
      <c r="B53" s="648"/>
      <c r="C53" s="75">
        <f t="shared" si="34"/>
        <v>1</v>
      </c>
      <c r="D53" s="649"/>
      <c r="E53" s="75">
        <f t="shared" si="14"/>
        <v>0</v>
      </c>
      <c r="F53" s="649"/>
      <c r="G53" s="75">
        <f t="shared" si="15"/>
        <v>1</v>
      </c>
      <c r="H53" s="649"/>
      <c r="I53" s="75">
        <f t="shared" si="16"/>
        <v>1</v>
      </c>
      <c r="J53" s="649"/>
      <c r="K53" s="75">
        <f t="shared" si="17"/>
        <v>0</v>
      </c>
      <c r="L53" s="649"/>
      <c r="M53" s="75">
        <f t="shared" si="18"/>
        <v>1</v>
      </c>
      <c r="N53" s="649"/>
      <c r="O53" s="75">
        <f t="shared" si="19"/>
        <v>1</v>
      </c>
      <c r="P53" s="649"/>
      <c r="Q53" s="75">
        <f t="shared" si="20"/>
        <v>0</v>
      </c>
      <c r="R53" s="75">
        <f t="shared" si="35"/>
        <v>0</v>
      </c>
      <c r="S53" s="49">
        <f t="shared" si="11"/>
        <v>0</v>
      </c>
    </row>
    <row r="54" spans="1:19">
      <c r="A54" s="652"/>
      <c r="B54" s="648"/>
      <c r="C54" s="75">
        <f t="shared" si="34"/>
        <v>1</v>
      </c>
      <c r="D54" s="649"/>
      <c r="E54" s="75">
        <f t="shared" si="14"/>
        <v>0</v>
      </c>
      <c r="F54" s="649"/>
      <c r="G54" s="75">
        <f t="shared" si="15"/>
        <v>1</v>
      </c>
      <c r="H54" s="649"/>
      <c r="I54" s="75">
        <f t="shared" si="16"/>
        <v>1</v>
      </c>
      <c r="J54" s="649"/>
      <c r="K54" s="75">
        <f t="shared" si="17"/>
        <v>0</v>
      </c>
      <c r="L54" s="649"/>
      <c r="M54" s="75">
        <f t="shared" si="18"/>
        <v>1</v>
      </c>
      <c r="N54" s="649"/>
      <c r="O54" s="75">
        <f t="shared" si="19"/>
        <v>1</v>
      </c>
      <c r="P54" s="649"/>
      <c r="Q54" s="75">
        <f t="shared" si="20"/>
        <v>0</v>
      </c>
      <c r="R54" s="75">
        <f t="shared" si="35"/>
        <v>0</v>
      </c>
      <c r="S54" s="49">
        <f t="shared" si="11"/>
        <v>0</v>
      </c>
    </row>
    <row r="55" spans="1:19">
      <c r="A55" s="652"/>
      <c r="B55" s="648"/>
      <c r="C55" s="75">
        <f t="shared" si="34"/>
        <v>1</v>
      </c>
      <c r="D55" s="649"/>
      <c r="E55" s="75">
        <f t="shared" si="14"/>
        <v>0</v>
      </c>
      <c r="F55" s="649"/>
      <c r="G55" s="75">
        <f t="shared" si="15"/>
        <v>1</v>
      </c>
      <c r="H55" s="649"/>
      <c r="I55" s="75">
        <f t="shared" si="16"/>
        <v>1</v>
      </c>
      <c r="J55" s="649"/>
      <c r="K55" s="75">
        <f t="shared" si="17"/>
        <v>0</v>
      </c>
      <c r="L55" s="649"/>
      <c r="M55" s="75">
        <f t="shared" si="18"/>
        <v>1</v>
      </c>
      <c r="N55" s="649"/>
      <c r="O55" s="75">
        <f t="shared" si="19"/>
        <v>1</v>
      </c>
      <c r="P55" s="649"/>
      <c r="Q55" s="75">
        <f t="shared" si="20"/>
        <v>0</v>
      </c>
      <c r="R55" s="75">
        <f t="shared" si="35"/>
        <v>0</v>
      </c>
      <c r="S55" s="49">
        <f t="shared" ref="S55:S77" si="36">ROUND(R55*B55/10000,0)</f>
        <v>0</v>
      </c>
    </row>
    <row r="56" spans="1:19">
      <c r="A56" s="652"/>
      <c r="B56" s="648"/>
      <c r="C56" s="75">
        <f t="shared" si="34"/>
        <v>1</v>
      </c>
      <c r="D56" s="649"/>
      <c r="E56" s="75">
        <f t="shared" si="14"/>
        <v>0</v>
      </c>
      <c r="F56" s="649"/>
      <c r="G56" s="75">
        <f t="shared" si="15"/>
        <v>1</v>
      </c>
      <c r="H56" s="649"/>
      <c r="I56" s="75">
        <f t="shared" si="16"/>
        <v>1</v>
      </c>
      <c r="J56" s="649"/>
      <c r="K56" s="75">
        <f t="shared" si="17"/>
        <v>0</v>
      </c>
      <c r="L56" s="649"/>
      <c r="M56" s="75">
        <f t="shared" si="18"/>
        <v>1</v>
      </c>
      <c r="N56" s="649"/>
      <c r="O56" s="75">
        <f t="shared" si="19"/>
        <v>1</v>
      </c>
      <c r="P56" s="649"/>
      <c r="Q56" s="75">
        <f t="shared" si="20"/>
        <v>0</v>
      </c>
      <c r="R56" s="75">
        <f t="shared" si="35"/>
        <v>0</v>
      </c>
      <c r="S56" s="49">
        <f t="shared" si="36"/>
        <v>0</v>
      </c>
    </row>
    <row r="57" spans="1:19">
      <c r="A57" s="652"/>
      <c r="B57" s="648"/>
      <c r="C57" s="75">
        <f t="shared" si="34"/>
        <v>1</v>
      </c>
      <c r="D57" s="649"/>
      <c r="E57" s="75">
        <f t="shared" si="14"/>
        <v>0</v>
      </c>
      <c r="F57" s="649"/>
      <c r="G57" s="75">
        <f t="shared" si="15"/>
        <v>1</v>
      </c>
      <c r="H57" s="649"/>
      <c r="I57" s="75">
        <f t="shared" si="16"/>
        <v>1</v>
      </c>
      <c r="J57" s="649"/>
      <c r="K57" s="75">
        <f t="shared" si="17"/>
        <v>0</v>
      </c>
      <c r="L57" s="649"/>
      <c r="M57" s="75">
        <f t="shared" si="18"/>
        <v>1</v>
      </c>
      <c r="N57" s="649"/>
      <c r="O57" s="75">
        <f t="shared" si="19"/>
        <v>1</v>
      </c>
      <c r="P57" s="649"/>
      <c r="Q57" s="75">
        <f t="shared" si="20"/>
        <v>0</v>
      </c>
      <c r="R57" s="75">
        <f t="shared" si="35"/>
        <v>0</v>
      </c>
      <c r="S57" s="49">
        <f t="shared" si="36"/>
        <v>0</v>
      </c>
    </row>
    <row r="58" spans="1:19">
      <c r="A58" s="652"/>
      <c r="B58" s="648"/>
      <c r="C58" s="75">
        <f t="shared" si="34"/>
        <v>1</v>
      </c>
      <c r="D58" s="649"/>
      <c r="E58" s="75">
        <f t="shared" si="14"/>
        <v>0</v>
      </c>
      <c r="F58" s="649"/>
      <c r="G58" s="75">
        <f t="shared" si="15"/>
        <v>1</v>
      </c>
      <c r="H58" s="649"/>
      <c r="I58" s="75">
        <f t="shared" si="16"/>
        <v>1</v>
      </c>
      <c r="J58" s="649"/>
      <c r="K58" s="75">
        <f t="shared" si="17"/>
        <v>0</v>
      </c>
      <c r="L58" s="649"/>
      <c r="M58" s="75">
        <f t="shared" si="18"/>
        <v>1</v>
      </c>
      <c r="N58" s="649"/>
      <c r="O58" s="75">
        <f t="shared" si="19"/>
        <v>1</v>
      </c>
      <c r="P58" s="649"/>
      <c r="Q58" s="75">
        <f t="shared" si="20"/>
        <v>0</v>
      </c>
      <c r="R58" s="75">
        <f t="shared" si="35"/>
        <v>0</v>
      </c>
      <c r="S58" s="49">
        <f t="shared" si="36"/>
        <v>0</v>
      </c>
    </row>
    <row r="59" spans="1:19">
      <c r="A59" s="652"/>
      <c r="B59" s="648"/>
      <c r="C59" s="75">
        <f t="shared" si="34"/>
        <v>1</v>
      </c>
      <c r="D59" s="649"/>
      <c r="E59" s="75">
        <f t="shared" si="14"/>
        <v>0</v>
      </c>
      <c r="F59" s="649"/>
      <c r="G59" s="75">
        <f t="shared" si="15"/>
        <v>1</v>
      </c>
      <c r="H59" s="649"/>
      <c r="I59" s="75">
        <f t="shared" si="16"/>
        <v>1</v>
      </c>
      <c r="J59" s="649"/>
      <c r="K59" s="75">
        <f t="shared" si="17"/>
        <v>0</v>
      </c>
      <c r="L59" s="649"/>
      <c r="M59" s="75">
        <f t="shared" si="18"/>
        <v>1</v>
      </c>
      <c r="N59" s="649"/>
      <c r="O59" s="75">
        <f t="shared" si="19"/>
        <v>1</v>
      </c>
      <c r="P59" s="649"/>
      <c r="Q59" s="75">
        <f t="shared" si="20"/>
        <v>0</v>
      </c>
      <c r="R59" s="75">
        <f t="shared" si="35"/>
        <v>0</v>
      </c>
      <c r="S59" s="49">
        <f t="shared" si="36"/>
        <v>0</v>
      </c>
    </row>
    <row r="60" spans="1:19">
      <c r="A60" s="652"/>
      <c r="B60" s="648"/>
      <c r="C60" s="75">
        <f t="shared" si="34"/>
        <v>1</v>
      </c>
      <c r="D60" s="649"/>
      <c r="E60" s="75">
        <f t="shared" si="14"/>
        <v>0</v>
      </c>
      <c r="F60" s="649"/>
      <c r="G60" s="75">
        <f t="shared" si="15"/>
        <v>1</v>
      </c>
      <c r="H60" s="649"/>
      <c r="I60" s="75">
        <f t="shared" si="16"/>
        <v>1</v>
      </c>
      <c r="J60" s="649"/>
      <c r="K60" s="75">
        <f t="shared" si="17"/>
        <v>0</v>
      </c>
      <c r="L60" s="649"/>
      <c r="M60" s="75">
        <f t="shared" si="18"/>
        <v>1</v>
      </c>
      <c r="N60" s="649"/>
      <c r="O60" s="75">
        <f t="shared" si="19"/>
        <v>1</v>
      </c>
      <c r="P60" s="649"/>
      <c r="Q60" s="75">
        <f t="shared" si="20"/>
        <v>0</v>
      </c>
      <c r="R60" s="75">
        <f t="shared" si="35"/>
        <v>0</v>
      </c>
      <c r="S60" s="49">
        <f t="shared" si="36"/>
        <v>0</v>
      </c>
    </row>
    <row r="61" spans="1:19">
      <c r="A61" s="652"/>
      <c r="B61" s="648"/>
      <c r="C61" s="75">
        <f t="shared" si="34"/>
        <v>1</v>
      </c>
      <c r="D61" s="649"/>
      <c r="E61" s="75">
        <f t="shared" si="14"/>
        <v>0</v>
      </c>
      <c r="F61" s="649"/>
      <c r="G61" s="75">
        <f t="shared" si="15"/>
        <v>1</v>
      </c>
      <c r="H61" s="649"/>
      <c r="I61" s="75">
        <f t="shared" si="16"/>
        <v>1</v>
      </c>
      <c r="J61" s="649"/>
      <c r="K61" s="75">
        <f t="shared" si="17"/>
        <v>0</v>
      </c>
      <c r="L61" s="649"/>
      <c r="M61" s="75">
        <f t="shared" si="18"/>
        <v>1</v>
      </c>
      <c r="N61" s="649"/>
      <c r="O61" s="75">
        <f t="shared" si="19"/>
        <v>1</v>
      </c>
      <c r="P61" s="649"/>
      <c r="Q61" s="75">
        <f t="shared" si="20"/>
        <v>0</v>
      </c>
      <c r="R61" s="75">
        <f t="shared" si="35"/>
        <v>0</v>
      </c>
      <c r="S61" s="49">
        <f t="shared" si="36"/>
        <v>0</v>
      </c>
    </row>
    <row r="62" spans="1:19">
      <c r="A62" s="652"/>
      <c r="B62" s="648"/>
      <c r="C62" s="75">
        <f t="shared" si="34"/>
        <v>1</v>
      </c>
      <c r="D62" s="649"/>
      <c r="E62" s="75">
        <f t="shared" si="14"/>
        <v>0</v>
      </c>
      <c r="F62" s="649"/>
      <c r="G62" s="75">
        <f t="shared" si="15"/>
        <v>1</v>
      </c>
      <c r="H62" s="649"/>
      <c r="I62" s="75">
        <f t="shared" si="16"/>
        <v>1</v>
      </c>
      <c r="J62" s="649"/>
      <c r="K62" s="75">
        <f t="shared" si="17"/>
        <v>0</v>
      </c>
      <c r="L62" s="649"/>
      <c r="M62" s="75">
        <f t="shared" si="18"/>
        <v>1</v>
      </c>
      <c r="N62" s="649"/>
      <c r="O62" s="75">
        <f t="shared" si="19"/>
        <v>1</v>
      </c>
      <c r="P62" s="649"/>
      <c r="Q62" s="75">
        <f t="shared" si="20"/>
        <v>0</v>
      </c>
      <c r="R62" s="75">
        <f t="shared" si="35"/>
        <v>0</v>
      </c>
      <c r="S62" s="49">
        <f t="shared" si="36"/>
        <v>0</v>
      </c>
    </row>
    <row r="63" spans="1:19">
      <c r="A63" s="652"/>
      <c r="B63" s="648"/>
      <c r="C63" s="75">
        <f t="shared" si="34"/>
        <v>1</v>
      </c>
      <c r="D63" s="649"/>
      <c r="E63" s="75">
        <f t="shared" si="14"/>
        <v>0</v>
      </c>
      <c r="F63" s="649"/>
      <c r="G63" s="75">
        <f t="shared" si="15"/>
        <v>1</v>
      </c>
      <c r="H63" s="649"/>
      <c r="I63" s="75">
        <f t="shared" si="16"/>
        <v>1</v>
      </c>
      <c r="J63" s="649"/>
      <c r="K63" s="75">
        <f t="shared" si="17"/>
        <v>0</v>
      </c>
      <c r="L63" s="649"/>
      <c r="M63" s="75">
        <f t="shared" si="18"/>
        <v>1</v>
      </c>
      <c r="N63" s="649"/>
      <c r="O63" s="75">
        <f t="shared" si="19"/>
        <v>1</v>
      </c>
      <c r="P63" s="649"/>
      <c r="Q63" s="75">
        <f t="shared" si="20"/>
        <v>0</v>
      </c>
      <c r="R63" s="75">
        <f t="shared" si="35"/>
        <v>0</v>
      </c>
      <c r="S63" s="49">
        <f t="shared" si="36"/>
        <v>0</v>
      </c>
    </row>
    <row r="64" spans="1:19">
      <c r="A64" s="652"/>
      <c r="B64" s="648"/>
      <c r="C64" s="75">
        <f t="shared" si="34"/>
        <v>1</v>
      </c>
      <c r="D64" s="649"/>
      <c r="E64" s="75">
        <f t="shared" si="14"/>
        <v>0</v>
      </c>
      <c r="F64" s="649"/>
      <c r="G64" s="75">
        <f t="shared" si="15"/>
        <v>1</v>
      </c>
      <c r="H64" s="649"/>
      <c r="I64" s="75">
        <f t="shared" si="16"/>
        <v>1</v>
      </c>
      <c r="J64" s="649"/>
      <c r="K64" s="75">
        <f t="shared" si="17"/>
        <v>0</v>
      </c>
      <c r="L64" s="649"/>
      <c r="M64" s="75">
        <f t="shared" si="18"/>
        <v>1</v>
      </c>
      <c r="N64" s="649"/>
      <c r="O64" s="75">
        <f t="shared" si="19"/>
        <v>1</v>
      </c>
      <c r="P64" s="649"/>
      <c r="Q64" s="75">
        <f t="shared" si="20"/>
        <v>0</v>
      </c>
      <c r="R64" s="75">
        <f t="shared" si="35"/>
        <v>0</v>
      </c>
      <c r="S64" s="49">
        <f t="shared" si="36"/>
        <v>0</v>
      </c>
    </row>
    <row r="65" spans="1:19">
      <c r="A65" s="652"/>
      <c r="B65" s="648"/>
      <c r="C65" s="75">
        <f t="shared" si="34"/>
        <v>1</v>
      </c>
      <c r="D65" s="649"/>
      <c r="E65" s="75">
        <f t="shared" si="14"/>
        <v>0</v>
      </c>
      <c r="F65" s="649"/>
      <c r="G65" s="75">
        <f t="shared" si="15"/>
        <v>1</v>
      </c>
      <c r="H65" s="649"/>
      <c r="I65" s="75">
        <f t="shared" si="16"/>
        <v>1</v>
      </c>
      <c r="J65" s="649"/>
      <c r="K65" s="75">
        <f t="shared" si="17"/>
        <v>0</v>
      </c>
      <c r="L65" s="649"/>
      <c r="M65" s="75">
        <f t="shared" si="18"/>
        <v>1</v>
      </c>
      <c r="N65" s="649"/>
      <c r="O65" s="75">
        <f t="shared" si="19"/>
        <v>1</v>
      </c>
      <c r="P65" s="649"/>
      <c r="Q65" s="75">
        <f t="shared" si="20"/>
        <v>0</v>
      </c>
      <c r="R65" s="75">
        <f t="shared" si="35"/>
        <v>0</v>
      </c>
      <c r="S65" s="49">
        <f t="shared" si="36"/>
        <v>0</v>
      </c>
    </row>
    <row r="66" spans="1:19">
      <c r="A66" s="652"/>
      <c r="B66" s="648"/>
      <c r="C66" s="75">
        <f t="shared" si="34"/>
        <v>1</v>
      </c>
      <c r="D66" s="649"/>
      <c r="E66" s="75">
        <f t="shared" si="14"/>
        <v>0</v>
      </c>
      <c r="F66" s="649"/>
      <c r="G66" s="75">
        <f t="shared" si="15"/>
        <v>1</v>
      </c>
      <c r="H66" s="649"/>
      <c r="I66" s="75">
        <f t="shared" si="16"/>
        <v>1</v>
      </c>
      <c r="J66" s="649"/>
      <c r="K66" s="75">
        <f t="shared" si="17"/>
        <v>0</v>
      </c>
      <c r="L66" s="649"/>
      <c r="M66" s="75">
        <f t="shared" si="18"/>
        <v>1</v>
      </c>
      <c r="N66" s="649"/>
      <c r="O66" s="75">
        <f t="shared" si="19"/>
        <v>1</v>
      </c>
      <c r="P66" s="649"/>
      <c r="Q66" s="75">
        <f t="shared" si="20"/>
        <v>0</v>
      </c>
      <c r="R66" s="75">
        <f t="shared" si="35"/>
        <v>0</v>
      </c>
      <c r="S66" s="49">
        <f t="shared" si="36"/>
        <v>0</v>
      </c>
    </row>
    <row r="67" spans="1:19">
      <c r="A67" s="652"/>
      <c r="B67" s="648"/>
      <c r="C67" s="75">
        <f t="shared" si="34"/>
        <v>1</v>
      </c>
      <c r="D67" s="649"/>
      <c r="E67" s="75">
        <f t="shared" si="14"/>
        <v>0</v>
      </c>
      <c r="F67" s="649"/>
      <c r="G67" s="75">
        <f t="shared" si="15"/>
        <v>1</v>
      </c>
      <c r="H67" s="649"/>
      <c r="I67" s="75">
        <f t="shared" si="16"/>
        <v>1</v>
      </c>
      <c r="J67" s="649"/>
      <c r="K67" s="75">
        <f t="shared" si="17"/>
        <v>0</v>
      </c>
      <c r="L67" s="649"/>
      <c r="M67" s="75">
        <f t="shared" si="18"/>
        <v>1</v>
      </c>
      <c r="N67" s="649"/>
      <c r="O67" s="75">
        <f t="shared" si="19"/>
        <v>1</v>
      </c>
      <c r="P67" s="649"/>
      <c r="Q67" s="75">
        <f t="shared" si="20"/>
        <v>0</v>
      </c>
      <c r="R67" s="75">
        <f t="shared" si="35"/>
        <v>0</v>
      </c>
      <c r="S67" s="49">
        <f t="shared" si="36"/>
        <v>0</v>
      </c>
    </row>
    <row r="68" spans="1:19">
      <c r="A68" s="652"/>
      <c r="B68" s="648"/>
      <c r="C68" s="75">
        <f t="shared" si="34"/>
        <v>1</v>
      </c>
      <c r="D68" s="649"/>
      <c r="E68" s="75">
        <f t="shared" si="14"/>
        <v>0</v>
      </c>
      <c r="F68" s="649"/>
      <c r="G68" s="75">
        <f t="shared" si="15"/>
        <v>1</v>
      </c>
      <c r="H68" s="649"/>
      <c r="I68" s="75">
        <f t="shared" si="16"/>
        <v>1</v>
      </c>
      <c r="J68" s="649"/>
      <c r="K68" s="75">
        <f t="shared" si="17"/>
        <v>0</v>
      </c>
      <c r="L68" s="649"/>
      <c r="M68" s="75">
        <f t="shared" si="18"/>
        <v>1</v>
      </c>
      <c r="N68" s="649"/>
      <c r="O68" s="75">
        <f t="shared" si="19"/>
        <v>1</v>
      </c>
      <c r="P68" s="649"/>
      <c r="Q68" s="75">
        <f t="shared" si="20"/>
        <v>0</v>
      </c>
      <c r="R68" s="75">
        <f t="shared" si="35"/>
        <v>0</v>
      </c>
      <c r="S68" s="49">
        <f t="shared" si="36"/>
        <v>0</v>
      </c>
    </row>
    <row r="69" spans="1:19">
      <c r="A69" s="652"/>
      <c r="B69" s="648"/>
      <c r="C69" s="75">
        <f t="shared" si="34"/>
        <v>1</v>
      </c>
      <c r="D69" s="649"/>
      <c r="E69" s="75">
        <f t="shared" si="14"/>
        <v>0</v>
      </c>
      <c r="F69" s="649"/>
      <c r="G69" s="75">
        <f t="shared" si="15"/>
        <v>1</v>
      </c>
      <c r="H69" s="649"/>
      <c r="I69" s="75">
        <f t="shared" si="16"/>
        <v>1</v>
      </c>
      <c r="J69" s="649"/>
      <c r="K69" s="75">
        <f t="shared" si="17"/>
        <v>0</v>
      </c>
      <c r="L69" s="649"/>
      <c r="M69" s="75">
        <f t="shared" si="18"/>
        <v>1</v>
      </c>
      <c r="N69" s="649"/>
      <c r="O69" s="75">
        <f t="shared" si="19"/>
        <v>1</v>
      </c>
      <c r="P69" s="649"/>
      <c r="Q69" s="75">
        <f t="shared" si="20"/>
        <v>0</v>
      </c>
      <c r="R69" s="75">
        <f t="shared" si="35"/>
        <v>0</v>
      </c>
      <c r="S69" s="49">
        <f t="shared" si="36"/>
        <v>0</v>
      </c>
    </row>
    <row r="70" spans="1:19">
      <c r="A70" s="652"/>
      <c r="B70" s="648"/>
      <c r="C70" s="75">
        <f t="shared" si="34"/>
        <v>1</v>
      </c>
      <c r="D70" s="649"/>
      <c r="E70" s="75">
        <f t="shared" si="14"/>
        <v>0</v>
      </c>
      <c r="F70" s="649"/>
      <c r="G70" s="75">
        <f t="shared" si="15"/>
        <v>1</v>
      </c>
      <c r="H70" s="649"/>
      <c r="I70" s="75">
        <f t="shared" si="16"/>
        <v>1</v>
      </c>
      <c r="J70" s="649"/>
      <c r="K70" s="75">
        <f t="shared" si="17"/>
        <v>0</v>
      </c>
      <c r="L70" s="649"/>
      <c r="M70" s="75">
        <f t="shared" si="18"/>
        <v>1</v>
      </c>
      <c r="N70" s="649"/>
      <c r="O70" s="75">
        <f t="shared" si="19"/>
        <v>1</v>
      </c>
      <c r="P70" s="649"/>
      <c r="Q70" s="75">
        <f t="shared" si="20"/>
        <v>0</v>
      </c>
      <c r="R70" s="75">
        <f t="shared" si="35"/>
        <v>0</v>
      </c>
      <c r="S70" s="49">
        <f t="shared" si="36"/>
        <v>0</v>
      </c>
    </row>
    <row r="71" spans="1:19">
      <c r="A71" s="652"/>
      <c r="B71" s="648"/>
      <c r="C71" s="75">
        <f t="shared" si="34"/>
        <v>1</v>
      </c>
      <c r="D71" s="649"/>
      <c r="E71" s="75">
        <f t="shared" si="14"/>
        <v>0</v>
      </c>
      <c r="F71" s="649"/>
      <c r="G71" s="75">
        <f t="shared" si="15"/>
        <v>1</v>
      </c>
      <c r="H71" s="649"/>
      <c r="I71" s="75">
        <f t="shared" si="16"/>
        <v>1</v>
      </c>
      <c r="J71" s="649"/>
      <c r="K71" s="75">
        <f t="shared" si="17"/>
        <v>0</v>
      </c>
      <c r="L71" s="649"/>
      <c r="M71" s="75">
        <f t="shared" si="18"/>
        <v>1</v>
      </c>
      <c r="N71" s="649"/>
      <c r="O71" s="75">
        <f t="shared" si="19"/>
        <v>1</v>
      </c>
      <c r="P71" s="649"/>
      <c r="Q71" s="75">
        <f t="shared" si="20"/>
        <v>0</v>
      </c>
      <c r="R71" s="75">
        <f t="shared" si="35"/>
        <v>0</v>
      </c>
      <c r="S71" s="49">
        <f t="shared" si="36"/>
        <v>0</v>
      </c>
    </row>
    <row r="72" spans="1:19">
      <c r="A72" s="652"/>
      <c r="B72" s="648"/>
      <c r="C72" s="75">
        <f t="shared" si="34"/>
        <v>1</v>
      </c>
      <c r="D72" s="649"/>
      <c r="E72" s="75">
        <f t="shared" si="14"/>
        <v>0</v>
      </c>
      <c r="F72" s="649"/>
      <c r="G72" s="75">
        <f t="shared" si="15"/>
        <v>1</v>
      </c>
      <c r="H72" s="649"/>
      <c r="I72" s="75">
        <f t="shared" si="16"/>
        <v>1</v>
      </c>
      <c r="J72" s="649"/>
      <c r="K72" s="75">
        <f t="shared" si="17"/>
        <v>0</v>
      </c>
      <c r="L72" s="649"/>
      <c r="M72" s="75">
        <f t="shared" si="18"/>
        <v>1</v>
      </c>
      <c r="N72" s="649"/>
      <c r="O72" s="75">
        <f t="shared" si="19"/>
        <v>1</v>
      </c>
      <c r="P72" s="649"/>
      <c r="Q72" s="75">
        <f t="shared" si="20"/>
        <v>0</v>
      </c>
      <c r="R72" s="75">
        <f t="shared" si="35"/>
        <v>0</v>
      </c>
      <c r="S72" s="49">
        <f t="shared" si="36"/>
        <v>0</v>
      </c>
    </row>
    <row r="73" spans="1:19">
      <c r="A73" s="652"/>
      <c r="B73" s="648"/>
      <c r="C73" s="75">
        <f t="shared" si="34"/>
        <v>1</v>
      </c>
      <c r="D73" s="649"/>
      <c r="E73" s="75">
        <f t="shared" si="14"/>
        <v>0</v>
      </c>
      <c r="F73" s="649"/>
      <c r="G73" s="75">
        <f t="shared" si="15"/>
        <v>1</v>
      </c>
      <c r="H73" s="649"/>
      <c r="I73" s="75">
        <f t="shared" si="16"/>
        <v>1</v>
      </c>
      <c r="J73" s="649"/>
      <c r="K73" s="75">
        <f t="shared" si="17"/>
        <v>0</v>
      </c>
      <c r="L73" s="649"/>
      <c r="M73" s="75">
        <f t="shared" si="18"/>
        <v>1</v>
      </c>
      <c r="N73" s="649"/>
      <c r="O73" s="75">
        <f t="shared" si="19"/>
        <v>1</v>
      </c>
      <c r="P73" s="649"/>
      <c r="Q73" s="75">
        <f t="shared" si="20"/>
        <v>0</v>
      </c>
      <c r="R73" s="75">
        <f t="shared" si="35"/>
        <v>0</v>
      </c>
      <c r="S73" s="49">
        <f t="shared" si="36"/>
        <v>0</v>
      </c>
    </row>
    <row r="74" spans="1:19">
      <c r="A74" s="652"/>
      <c r="B74" s="648"/>
      <c r="C74" s="75">
        <f t="shared" si="34"/>
        <v>1</v>
      </c>
      <c r="D74" s="649"/>
      <c r="E74" s="75">
        <f t="shared" si="14"/>
        <v>0</v>
      </c>
      <c r="F74" s="649"/>
      <c r="G74" s="75">
        <f t="shared" si="15"/>
        <v>1</v>
      </c>
      <c r="H74" s="649"/>
      <c r="I74" s="75">
        <f t="shared" si="16"/>
        <v>1</v>
      </c>
      <c r="J74" s="649"/>
      <c r="K74" s="75">
        <f t="shared" si="17"/>
        <v>0</v>
      </c>
      <c r="L74" s="649"/>
      <c r="M74" s="75">
        <f t="shared" si="18"/>
        <v>1</v>
      </c>
      <c r="N74" s="649"/>
      <c r="O74" s="75">
        <f t="shared" si="19"/>
        <v>1</v>
      </c>
      <c r="P74" s="649"/>
      <c r="Q74" s="75">
        <f t="shared" si="20"/>
        <v>0</v>
      </c>
      <c r="R74" s="75">
        <f t="shared" si="35"/>
        <v>0</v>
      </c>
      <c r="S74" s="49">
        <f t="shared" si="36"/>
        <v>0</v>
      </c>
    </row>
    <row r="75" spans="1:19">
      <c r="A75" s="652"/>
      <c r="B75" s="648"/>
      <c r="C75" s="75">
        <f t="shared" si="34"/>
        <v>1</v>
      </c>
      <c r="D75" s="649"/>
      <c r="E75" s="75">
        <f t="shared" si="14"/>
        <v>0</v>
      </c>
      <c r="F75" s="649"/>
      <c r="G75" s="75">
        <f t="shared" si="15"/>
        <v>1</v>
      </c>
      <c r="H75" s="649"/>
      <c r="I75" s="75">
        <f t="shared" si="16"/>
        <v>1</v>
      </c>
      <c r="J75" s="649"/>
      <c r="K75" s="75">
        <f t="shared" si="17"/>
        <v>0</v>
      </c>
      <c r="L75" s="649"/>
      <c r="M75" s="75">
        <f t="shared" si="18"/>
        <v>1</v>
      </c>
      <c r="N75" s="649"/>
      <c r="O75" s="75">
        <f t="shared" si="19"/>
        <v>1</v>
      </c>
      <c r="P75" s="649"/>
      <c r="Q75" s="75">
        <f t="shared" si="20"/>
        <v>0</v>
      </c>
      <c r="R75" s="75">
        <f t="shared" si="35"/>
        <v>0</v>
      </c>
      <c r="S75" s="49">
        <f t="shared" si="36"/>
        <v>0</v>
      </c>
    </row>
    <row r="76" spans="1:19">
      <c r="A76" s="652"/>
      <c r="B76" s="648"/>
      <c r="C76" s="75">
        <f t="shared" si="34"/>
        <v>1</v>
      </c>
      <c r="D76" s="649"/>
      <c r="E76" s="75">
        <f t="shared" si="14"/>
        <v>0</v>
      </c>
      <c r="F76" s="649"/>
      <c r="G76" s="75">
        <f t="shared" si="15"/>
        <v>1</v>
      </c>
      <c r="H76" s="649"/>
      <c r="I76" s="75">
        <f t="shared" si="16"/>
        <v>1</v>
      </c>
      <c r="J76" s="649"/>
      <c r="K76" s="75">
        <f t="shared" si="17"/>
        <v>0</v>
      </c>
      <c r="L76" s="649"/>
      <c r="M76" s="75">
        <f t="shared" si="18"/>
        <v>1</v>
      </c>
      <c r="N76" s="649"/>
      <c r="O76" s="75">
        <f t="shared" si="19"/>
        <v>1</v>
      </c>
      <c r="P76" s="649"/>
      <c r="Q76" s="75">
        <f t="shared" si="20"/>
        <v>0</v>
      </c>
      <c r="R76" s="75">
        <f t="shared" si="35"/>
        <v>0</v>
      </c>
      <c r="S76" s="49">
        <f t="shared" si="36"/>
        <v>0</v>
      </c>
    </row>
    <row r="77" spans="1:19">
      <c r="A77" s="652"/>
      <c r="B77" s="648"/>
      <c r="C77" s="75">
        <f t="shared" si="34"/>
        <v>1</v>
      </c>
      <c r="D77" s="649"/>
      <c r="E77" s="75">
        <f t="shared" si="14"/>
        <v>0</v>
      </c>
      <c r="F77" s="649"/>
      <c r="G77" s="75">
        <f t="shared" si="15"/>
        <v>1</v>
      </c>
      <c r="H77" s="649"/>
      <c r="I77" s="75">
        <f t="shared" si="16"/>
        <v>1</v>
      </c>
      <c r="J77" s="649"/>
      <c r="K77" s="75">
        <f t="shared" si="17"/>
        <v>0</v>
      </c>
      <c r="L77" s="649"/>
      <c r="M77" s="75">
        <f t="shared" si="18"/>
        <v>1</v>
      </c>
      <c r="N77" s="649"/>
      <c r="O77" s="75">
        <f t="shared" si="19"/>
        <v>1</v>
      </c>
      <c r="P77" s="649"/>
      <c r="Q77" s="75">
        <f t="shared" si="20"/>
        <v>0</v>
      </c>
      <c r="R77" s="75">
        <f t="shared" si="35"/>
        <v>0</v>
      </c>
      <c r="S77" s="49">
        <f t="shared" si="36"/>
        <v>0</v>
      </c>
    </row>
    <row r="78" spans="1:19">
      <c r="A78" s="652"/>
      <c r="B78" s="648"/>
      <c r="C78" s="75">
        <f t="shared" si="34"/>
        <v>1</v>
      </c>
      <c r="D78" s="649"/>
      <c r="E78" s="75">
        <f t="shared" si="14"/>
        <v>0</v>
      </c>
      <c r="F78" s="649"/>
      <c r="G78" s="75">
        <f t="shared" si="15"/>
        <v>1</v>
      </c>
      <c r="H78" s="649"/>
      <c r="I78" s="75">
        <f t="shared" si="16"/>
        <v>1</v>
      </c>
      <c r="J78" s="649"/>
      <c r="K78" s="75">
        <f t="shared" si="17"/>
        <v>0</v>
      </c>
      <c r="L78" s="649"/>
      <c r="M78" s="75">
        <f t="shared" si="18"/>
        <v>1</v>
      </c>
      <c r="N78" s="649"/>
      <c r="O78" s="75">
        <f t="shared" si="19"/>
        <v>1</v>
      </c>
      <c r="P78" s="649"/>
      <c r="Q78" s="75">
        <f t="shared" si="20"/>
        <v>0</v>
      </c>
      <c r="R78" s="75">
        <f t="shared" si="35"/>
        <v>0</v>
      </c>
      <c r="S78" s="49">
        <f t="shared" ref="S78:S122" si="37">ROUND(R78*B78/10000,0)</f>
        <v>0</v>
      </c>
    </row>
    <row r="79" spans="1:19">
      <c r="A79" s="652"/>
      <c r="B79" s="648"/>
      <c r="C79" s="75">
        <f t="shared" si="34"/>
        <v>1</v>
      </c>
      <c r="D79" s="649"/>
      <c r="E79" s="75">
        <f t="shared" si="14"/>
        <v>0</v>
      </c>
      <c r="F79" s="649"/>
      <c r="G79" s="75">
        <f t="shared" si="15"/>
        <v>1</v>
      </c>
      <c r="H79" s="649"/>
      <c r="I79" s="75">
        <f t="shared" si="16"/>
        <v>1</v>
      </c>
      <c r="J79" s="649"/>
      <c r="K79" s="75">
        <f t="shared" si="17"/>
        <v>0</v>
      </c>
      <c r="L79" s="649"/>
      <c r="M79" s="75">
        <f t="shared" si="18"/>
        <v>1</v>
      </c>
      <c r="N79" s="649"/>
      <c r="O79" s="75">
        <f t="shared" si="19"/>
        <v>1</v>
      </c>
      <c r="P79" s="649"/>
      <c r="Q79" s="75">
        <f t="shared" si="20"/>
        <v>0</v>
      </c>
      <c r="R79" s="75">
        <f t="shared" si="35"/>
        <v>0</v>
      </c>
      <c r="S79" s="49">
        <f t="shared" si="37"/>
        <v>0</v>
      </c>
    </row>
    <row r="80" spans="1:19">
      <c r="A80" s="652"/>
      <c r="B80" s="648"/>
      <c r="C80" s="75">
        <f t="shared" si="34"/>
        <v>1</v>
      </c>
      <c r="D80" s="649"/>
      <c r="E80" s="75">
        <f t="shared" si="14"/>
        <v>0</v>
      </c>
      <c r="F80" s="649"/>
      <c r="G80" s="75">
        <f t="shared" si="15"/>
        <v>1</v>
      </c>
      <c r="H80" s="649"/>
      <c r="I80" s="75">
        <f t="shared" si="16"/>
        <v>1</v>
      </c>
      <c r="J80" s="649"/>
      <c r="K80" s="75">
        <f t="shared" si="17"/>
        <v>0</v>
      </c>
      <c r="L80" s="649"/>
      <c r="M80" s="75">
        <f t="shared" si="18"/>
        <v>1</v>
      </c>
      <c r="N80" s="649"/>
      <c r="O80" s="75">
        <f t="shared" si="19"/>
        <v>1</v>
      </c>
      <c r="P80" s="649"/>
      <c r="Q80" s="75">
        <f t="shared" si="20"/>
        <v>0</v>
      </c>
      <c r="R80" s="75">
        <f t="shared" si="35"/>
        <v>0</v>
      </c>
      <c r="S80" s="49">
        <f t="shared" si="37"/>
        <v>0</v>
      </c>
    </row>
    <row r="81" spans="1:19">
      <c r="A81" s="652"/>
      <c r="B81" s="648"/>
      <c r="C81" s="75">
        <f t="shared" si="34"/>
        <v>1</v>
      </c>
      <c r="D81" s="649"/>
      <c r="E81" s="75">
        <f t="shared" si="14"/>
        <v>0</v>
      </c>
      <c r="F81" s="649"/>
      <c r="G81" s="75">
        <f t="shared" si="15"/>
        <v>1</v>
      </c>
      <c r="H81" s="649"/>
      <c r="I81" s="75">
        <f t="shared" si="16"/>
        <v>1</v>
      </c>
      <c r="J81" s="649"/>
      <c r="K81" s="75">
        <f t="shared" si="17"/>
        <v>0</v>
      </c>
      <c r="L81" s="649"/>
      <c r="M81" s="75">
        <f t="shared" si="18"/>
        <v>1</v>
      </c>
      <c r="N81" s="649"/>
      <c r="O81" s="75">
        <f t="shared" si="19"/>
        <v>1</v>
      </c>
      <c r="P81" s="649"/>
      <c r="Q81" s="75">
        <f t="shared" si="20"/>
        <v>0</v>
      </c>
      <c r="R81" s="75">
        <f t="shared" si="35"/>
        <v>0</v>
      </c>
      <c r="S81" s="49">
        <f t="shared" si="37"/>
        <v>0</v>
      </c>
    </row>
    <row r="82" spans="1:19">
      <c r="A82" s="652"/>
      <c r="B82" s="648"/>
      <c r="C82" s="75">
        <f t="shared" si="34"/>
        <v>1</v>
      </c>
      <c r="D82" s="649"/>
      <c r="E82" s="75">
        <f t="shared" si="14"/>
        <v>0</v>
      </c>
      <c r="F82" s="649"/>
      <c r="G82" s="75">
        <f t="shared" si="15"/>
        <v>1</v>
      </c>
      <c r="H82" s="649"/>
      <c r="I82" s="75">
        <f t="shared" si="16"/>
        <v>1</v>
      </c>
      <c r="J82" s="649"/>
      <c r="K82" s="75">
        <f t="shared" si="17"/>
        <v>0</v>
      </c>
      <c r="L82" s="649"/>
      <c r="M82" s="75">
        <f t="shared" si="18"/>
        <v>1</v>
      </c>
      <c r="N82" s="649"/>
      <c r="O82" s="75">
        <f t="shared" si="19"/>
        <v>1</v>
      </c>
      <c r="P82" s="649"/>
      <c r="Q82" s="75">
        <f t="shared" si="20"/>
        <v>0</v>
      </c>
      <c r="R82" s="75">
        <f t="shared" si="35"/>
        <v>0</v>
      </c>
      <c r="S82" s="49">
        <f t="shared" si="37"/>
        <v>0</v>
      </c>
    </row>
    <row r="83" spans="1:19">
      <c r="A83" s="652"/>
      <c r="B83" s="648"/>
      <c r="C83" s="75">
        <f t="shared" si="34"/>
        <v>1</v>
      </c>
      <c r="D83" s="649"/>
      <c r="E83" s="75">
        <f t="shared" si="14"/>
        <v>0</v>
      </c>
      <c r="F83" s="649"/>
      <c r="G83" s="75">
        <f t="shared" si="15"/>
        <v>1</v>
      </c>
      <c r="H83" s="649"/>
      <c r="I83" s="75">
        <f t="shared" si="16"/>
        <v>1</v>
      </c>
      <c r="J83" s="649"/>
      <c r="K83" s="75">
        <f t="shared" si="17"/>
        <v>0</v>
      </c>
      <c r="L83" s="649"/>
      <c r="M83" s="75">
        <f t="shared" si="18"/>
        <v>1</v>
      </c>
      <c r="N83" s="649"/>
      <c r="O83" s="75">
        <f t="shared" si="19"/>
        <v>1</v>
      </c>
      <c r="P83" s="649"/>
      <c r="Q83" s="75">
        <f t="shared" si="20"/>
        <v>0</v>
      </c>
      <c r="R83" s="75">
        <f t="shared" si="35"/>
        <v>0</v>
      </c>
      <c r="S83" s="49">
        <f t="shared" si="37"/>
        <v>0</v>
      </c>
    </row>
    <row r="84" spans="1:19">
      <c r="A84" s="652"/>
      <c r="B84" s="648"/>
      <c r="C84" s="75">
        <f t="shared" si="34"/>
        <v>1</v>
      </c>
      <c r="D84" s="649"/>
      <c r="E84" s="75">
        <f t="shared" si="14"/>
        <v>0</v>
      </c>
      <c r="F84" s="649"/>
      <c r="G84" s="75">
        <f t="shared" si="15"/>
        <v>1</v>
      </c>
      <c r="H84" s="649"/>
      <c r="I84" s="75">
        <f t="shared" si="16"/>
        <v>1</v>
      </c>
      <c r="J84" s="649"/>
      <c r="K84" s="75">
        <f t="shared" si="17"/>
        <v>0</v>
      </c>
      <c r="L84" s="649"/>
      <c r="M84" s="75">
        <f t="shared" si="18"/>
        <v>1</v>
      </c>
      <c r="N84" s="649"/>
      <c r="O84" s="75">
        <f t="shared" si="19"/>
        <v>1</v>
      </c>
      <c r="P84" s="649"/>
      <c r="Q84" s="75">
        <f t="shared" si="20"/>
        <v>0</v>
      </c>
      <c r="R84" s="75">
        <f t="shared" si="35"/>
        <v>0</v>
      </c>
      <c r="S84" s="49">
        <f t="shared" si="37"/>
        <v>0</v>
      </c>
    </row>
    <row r="85" spans="1:19">
      <c r="A85" s="652"/>
      <c r="B85" s="648"/>
      <c r="C85" s="75">
        <f t="shared" si="34"/>
        <v>1</v>
      </c>
      <c r="D85" s="649"/>
      <c r="E85" s="75">
        <f t="shared" si="14"/>
        <v>0</v>
      </c>
      <c r="F85" s="649"/>
      <c r="G85" s="75">
        <f t="shared" si="15"/>
        <v>1</v>
      </c>
      <c r="H85" s="649"/>
      <c r="I85" s="75">
        <f t="shared" si="16"/>
        <v>1</v>
      </c>
      <c r="J85" s="649"/>
      <c r="K85" s="75">
        <f t="shared" si="17"/>
        <v>0</v>
      </c>
      <c r="L85" s="649"/>
      <c r="M85" s="75">
        <f t="shared" si="18"/>
        <v>1</v>
      </c>
      <c r="N85" s="649"/>
      <c r="O85" s="75">
        <f t="shared" si="19"/>
        <v>1</v>
      </c>
      <c r="P85" s="649"/>
      <c r="Q85" s="75">
        <f t="shared" si="20"/>
        <v>0</v>
      </c>
      <c r="R85" s="75">
        <f t="shared" si="35"/>
        <v>0</v>
      </c>
      <c r="S85" s="49">
        <f t="shared" si="37"/>
        <v>0</v>
      </c>
    </row>
    <row r="86" spans="1:19">
      <c r="A86" s="652"/>
      <c r="B86" s="648"/>
      <c r="C86" s="75">
        <f t="shared" si="34"/>
        <v>1</v>
      </c>
      <c r="D86" s="649"/>
      <c r="E86" s="75">
        <f t="shared" si="14"/>
        <v>0</v>
      </c>
      <c r="F86" s="649"/>
      <c r="G86" s="75">
        <f t="shared" si="15"/>
        <v>1</v>
      </c>
      <c r="H86" s="649"/>
      <c r="I86" s="75">
        <f t="shared" si="16"/>
        <v>1</v>
      </c>
      <c r="J86" s="649"/>
      <c r="K86" s="75">
        <f t="shared" si="17"/>
        <v>0</v>
      </c>
      <c r="L86" s="649"/>
      <c r="M86" s="75">
        <f t="shared" si="18"/>
        <v>1</v>
      </c>
      <c r="N86" s="649"/>
      <c r="O86" s="75">
        <f t="shared" si="19"/>
        <v>1</v>
      </c>
      <c r="P86" s="649"/>
      <c r="Q86" s="75">
        <f t="shared" si="20"/>
        <v>0</v>
      </c>
      <c r="R86" s="75">
        <f t="shared" si="35"/>
        <v>0</v>
      </c>
      <c r="S86" s="49">
        <f t="shared" si="37"/>
        <v>0</v>
      </c>
    </row>
    <row r="87" spans="1:19">
      <c r="A87" s="652"/>
      <c r="B87" s="648"/>
      <c r="C87" s="75">
        <f t="shared" si="34"/>
        <v>1</v>
      </c>
      <c r="D87" s="649"/>
      <c r="E87" s="75">
        <f t="shared" si="14"/>
        <v>0</v>
      </c>
      <c r="F87" s="649"/>
      <c r="G87" s="75">
        <f t="shared" si="15"/>
        <v>1</v>
      </c>
      <c r="H87" s="649"/>
      <c r="I87" s="75">
        <f t="shared" si="16"/>
        <v>1</v>
      </c>
      <c r="J87" s="649"/>
      <c r="K87" s="75">
        <f t="shared" si="17"/>
        <v>0</v>
      </c>
      <c r="L87" s="649"/>
      <c r="M87" s="75">
        <f t="shared" si="18"/>
        <v>1</v>
      </c>
      <c r="N87" s="649"/>
      <c r="O87" s="75">
        <f t="shared" si="19"/>
        <v>1</v>
      </c>
      <c r="P87" s="649"/>
      <c r="Q87" s="75">
        <f t="shared" si="20"/>
        <v>0</v>
      </c>
      <c r="R87" s="75">
        <f t="shared" si="35"/>
        <v>0</v>
      </c>
      <c r="S87" s="49">
        <f t="shared" si="37"/>
        <v>0</v>
      </c>
    </row>
    <row r="88" spans="1:19">
      <c r="A88" s="652"/>
      <c r="B88" s="648"/>
      <c r="C88" s="75">
        <f t="shared" si="34"/>
        <v>1</v>
      </c>
      <c r="D88" s="649"/>
      <c r="E88" s="75">
        <f t="shared" si="14"/>
        <v>0</v>
      </c>
      <c r="F88" s="649"/>
      <c r="G88" s="75">
        <f t="shared" si="15"/>
        <v>1</v>
      </c>
      <c r="H88" s="649"/>
      <c r="I88" s="75">
        <f t="shared" si="16"/>
        <v>1</v>
      </c>
      <c r="J88" s="649"/>
      <c r="K88" s="75">
        <f t="shared" si="17"/>
        <v>0</v>
      </c>
      <c r="L88" s="649"/>
      <c r="M88" s="75">
        <f t="shared" si="18"/>
        <v>1</v>
      </c>
      <c r="N88" s="649"/>
      <c r="O88" s="75">
        <f t="shared" si="19"/>
        <v>1</v>
      </c>
      <c r="P88" s="649"/>
      <c r="Q88" s="75">
        <f t="shared" si="20"/>
        <v>0</v>
      </c>
      <c r="R88" s="75">
        <f t="shared" si="35"/>
        <v>0</v>
      </c>
      <c r="S88" s="49">
        <f t="shared" si="37"/>
        <v>0</v>
      </c>
    </row>
    <row r="89" spans="1:19">
      <c r="A89" s="652"/>
      <c r="B89" s="648"/>
      <c r="C89" s="75">
        <f t="shared" si="34"/>
        <v>1</v>
      </c>
      <c r="D89" s="649"/>
      <c r="E89" s="75">
        <f t="shared" si="14"/>
        <v>0</v>
      </c>
      <c r="F89" s="649"/>
      <c r="G89" s="75">
        <f t="shared" si="15"/>
        <v>1</v>
      </c>
      <c r="H89" s="649"/>
      <c r="I89" s="75">
        <f t="shared" si="16"/>
        <v>1</v>
      </c>
      <c r="J89" s="649"/>
      <c r="K89" s="75">
        <f t="shared" si="17"/>
        <v>0</v>
      </c>
      <c r="L89" s="649"/>
      <c r="M89" s="75">
        <f t="shared" si="18"/>
        <v>1</v>
      </c>
      <c r="N89" s="649"/>
      <c r="O89" s="75">
        <f t="shared" si="19"/>
        <v>1</v>
      </c>
      <c r="P89" s="649"/>
      <c r="Q89" s="75">
        <f t="shared" si="20"/>
        <v>0</v>
      </c>
      <c r="R89" s="75">
        <f t="shared" si="35"/>
        <v>0</v>
      </c>
      <c r="S89" s="49">
        <f t="shared" si="37"/>
        <v>0</v>
      </c>
    </row>
    <row r="90" spans="1:19">
      <c r="A90" s="652"/>
      <c r="B90" s="648"/>
      <c r="C90" s="75">
        <f t="shared" ref="C90:C153" si="38">IF(B90="",1,(LOOKUP(B90,$3:$3,$4:$4)-LOOKUP($B$24,$3:$3,$4:$4)+100)/100)</f>
        <v>1</v>
      </c>
      <c r="D90" s="649"/>
      <c r="E90" s="75">
        <f t="shared" ref="E90:E153" si="39">(SUMIF($5:$5,D90,$6:$6)-SUMIF($5:$5,$D$24,$6:$6)+100)/100</f>
        <v>0</v>
      </c>
      <c r="F90" s="649"/>
      <c r="G90" s="75">
        <f t="shared" ref="G90:G153" si="40">(SUMIF($7:$7,F90,$8:$8)-SUMIF($7:$7,$F$24,$8:$8)+100)/100</f>
        <v>1</v>
      </c>
      <c r="H90" s="649"/>
      <c r="I90" s="75">
        <f t="shared" ref="I90:I153" si="41">(SUMIF($9:$9,H90,$10:$10)-SUMIF($9:$9,$H$24,$10:$10)+100)/100</f>
        <v>1</v>
      </c>
      <c r="J90" s="649"/>
      <c r="K90" s="75">
        <f t="shared" ref="K90:K153" si="42">(SUMIF($11:$11,J90,$12:$12)-SUMIF($11:$11,$J$24,$12:$12)+100)/100</f>
        <v>0</v>
      </c>
      <c r="L90" s="649"/>
      <c r="M90" s="75">
        <f t="shared" ref="M90:M153" si="43">(SUMIF($13:$13,L90,$14:$14)-SUMIF($13:$13,$L$24,$14:$14)+100)/100</f>
        <v>1</v>
      </c>
      <c r="N90" s="649"/>
      <c r="O90" s="75">
        <f t="shared" ref="O90:O153" si="44">(SUMIF($15:$15,N90,$16:$16)-SUMIF($15:$15,$N$24,$16:$16)+100)/100</f>
        <v>1</v>
      </c>
      <c r="P90" s="649"/>
      <c r="Q90" s="75">
        <f t="shared" ref="Q90:Q153" si="45">(SUMIF($17:$17,P90,$18:$18)-SUMIF($17:$17,$P$24,$18:$18)+100)/100</f>
        <v>0</v>
      </c>
      <c r="R90" s="75">
        <f t="shared" ref="R90:R153" si="46">IF(B90="",0,ROUND($R$24*C90*E90*G90*I90*K90*M90*O90*Q90,0))</f>
        <v>0</v>
      </c>
      <c r="S90" s="49">
        <f t="shared" si="37"/>
        <v>0</v>
      </c>
    </row>
    <row r="91" spans="1:19">
      <c r="A91" s="652"/>
      <c r="B91" s="648"/>
      <c r="C91" s="75">
        <f t="shared" si="38"/>
        <v>1</v>
      </c>
      <c r="D91" s="649"/>
      <c r="E91" s="75">
        <f t="shared" si="39"/>
        <v>0</v>
      </c>
      <c r="F91" s="649"/>
      <c r="G91" s="75">
        <f t="shared" si="40"/>
        <v>1</v>
      </c>
      <c r="H91" s="649"/>
      <c r="I91" s="75">
        <f t="shared" si="41"/>
        <v>1</v>
      </c>
      <c r="J91" s="649"/>
      <c r="K91" s="75">
        <f t="shared" si="42"/>
        <v>0</v>
      </c>
      <c r="L91" s="649"/>
      <c r="M91" s="75">
        <f t="shared" si="43"/>
        <v>1</v>
      </c>
      <c r="N91" s="649"/>
      <c r="O91" s="75">
        <f t="shared" si="44"/>
        <v>1</v>
      </c>
      <c r="P91" s="649"/>
      <c r="Q91" s="75">
        <f t="shared" si="45"/>
        <v>0</v>
      </c>
      <c r="R91" s="75">
        <f t="shared" si="46"/>
        <v>0</v>
      </c>
      <c r="S91" s="49">
        <f t="shared" si="37"/>
        <v>0</v>
      </c>
    </row>
    <row r="92" spans="1:19">
      <c r="A92" s="652"/>
      <c r="B92" s="648"/>
      <c r="C92" s="75">
        <f t="shared" si="38"/>
        <v>1</v>
      </c>
      <c r="D92" s="649"/>
      <c r="E92" s="75">
        <f t="shared" si="39"/>
        <v>0</v>
      </c>
      <c r="F92" s="649"/>
      <c r="G92" s="75">
        <f t="shared" si="40"/>
        <v>1</v>
      </c>
      <c r="H92" s="649"/>
      <c r="I92" s="75">
        <f t="shared" si="41"/>
        <v>1</v>
      </c>
      <c r="J92" s="649"/>
      <c r="K92" s="75">
        <f t="shared" si="42"/>
        <v>0</v>
      </c>
      <c r="L92" s="649"/>
      <c r="M92" s="75">
        <f t="shared" si="43"/>
        <v>1</v>
      </c>
      <c r="N92" s="649"/>
      <c r="O92" s="75">
        <f t="shared" si="44"/>
        <v>1</v>
      </c>
      <c r="P92" s="649"/>
      <c r="Q92" s="75">
        <f t="shared" si="45"/>
        <v>0</v>
      </c>
      <c r="R92" s="75">
        <f t="shared" si="46"/>
        <v>0</v>
      </c>
      <c r="S92" s="49">
        <f t="shared" si="37"/>
        <v>0</v>
      </c>
    </row>
    <row r="93" spans="1:19">
      <c r="A93" s="652"/>
      <c r="B93" s="648"/>
      <c r="C93" s="75">
        <f t="shared" si="38"/>
        <v>1</v>
      </c>
      <c r="D93" s="649"/>
      <c r="E93" s="75">
        <f t="shared" si="39"/>
        <v>0</v>
      </c>
      <c r="F93" s="649"/>
      <c r="G93" s="75">
        <f t="shared" si="40"/>
        <v>1</v>
      </c>
      <c r="H93" s="649"/>
      <c r="I93" s="75">
        <f t="shared" si="41"/>
        <v>1</v>
      </c>
      <c r="J93" s="649"/>
      <c r="K93" s="75">
        <f t="shared" si="42"/>
        <v>0</v>
      </c>
      <c r="L93" s="649"/>
      <c r="M93" s="75">
        <f t="shared" si="43"/>
        <v>1</v>
      </c>
      <c r="N93" s="649"/>
      <c r="O93" s="75">
        <f t="shared" si="44"/>
        <v>1</v>
      </c>
      <c r="P93" s="649"/>
      <c r="Q93" s="75">
        <f t="shared" si="45"/>
        <v>0</v>
      </c>
      <c r="R93" s="75">
        <f t="shared" si="46"/>
        <v>0</v>
      </c>
      <c r="S93" s="49">
        <f t="shared" si="37"/>
        <v>0</v>
      </c>
    </row>
    <row r="94" spans="1:19">
      <c r="A94" s="652"/>
      <c r="B94" s="648"/>
      <c r="C94" s="75">
        <f t="shared" si="38"/>
        <v>1</v>
      </c>
      <c r="D94" s="649"/>
      <c r="E94" s="75">
        <f t="shared" si="39"/>
        <v>0</v>
      </c>
      <c r="F94" s="649"/>
      <c r="G94" s="75">
        <f t="shared" si="40"/>
        <v>1</v>
      </c>
      <c r="H94" s="649"/>
      <c r="I94" s="75">
        <f t="shared" si="41"/>
        <v>1</v>
      </c>
      <c r="J94" s="649"/>
      <c r="K94" s="75">
        <f t="shared" si="42"/>
        <v>0</v>
      </c>
      <c r="L94" s="649"/>
      <c r="M94" s="75">
        <f t="shared" si="43"/>
        <v>1</v>
      </c>
      <c r="N94" s="649"/>
      <c r="O94" s="75">
        <f t="shared" si="44"/>
        <v>1</v>
      </c>
      <c r="P94" s="649"/>
      <c r="Q94" s="75">
        <f t="shared" si="45"/>
        <v>0</v>
      </c>
      <c r="R94" s="75">
        <f t="shared" si="46"/>
        <v>0</v>
      </c>
      <c r="S94" s="49">
        <f t="shared" si="37"/>
        <v>0</v>
      </c>
    </row>
    <row r="95" spans="1:19">
      <c r="A95" s="652"/>
      <c r="B95" s="648"/>
      <c r="C95" s="75">
        <f t="shared" si="38"/>
        <v>1</v>
      </c>
      <c r="D95" s="649"/>
      <c r="E95" s="75">
        <f t="shared" si="39"/>
        <v>0</v>
      </c>
      <c r="F95" s="649"/>
      <c r="G95" s="75">
        <f t="shared" si="40"/>
        <v>1</v>
      </c>
      <c r="H95" s="649"/>
      <c r="I95" s="75">
        <f t="shared" si="41"/>
        <v>1</v>
      </c>
      <c r="J95" s="649"/>
      <c r="K95" s="75">
        <f t="shared" si="42"/>
        <v>0</v>
      </c>
      <c r="L95" s="649"/>
      <c r="M95" s="75">
        <f t="shared" si="43"/>
        <v>1</v>
      </c>
      <c r="N95" s="649"/>
      <c r="O95" s="75">
        <f t="shared" si="44"/>
        <v>1</v>
      </c>
      <c r="P95" s="649"/>
      <c r="Q95" s="75">
        <f t="shared" si="45"/>
        <v>0</v>
      </c>
      <c r="R95" s="75">
        <f t="shared" si="46"/>
        <v>0</v>
      </c>
      <c r="S95" s="49">
        <f t="shared" si="37"/>
        <v>0</v>
      </c>
    </row>
    <row r="96" spans="1:19">
      <c r="A96" s="652"/>
      <c r="B96" s="648"/>
      <c r="C96" s="75">
        <f t="shared" si="38"/>
        <v>1</v>
      </c>
      <c r="D96" s="649"/>
      <c r="E96" s="75">
        <f t="shared" si="39"/>
        <v>0</v>
      </c>
      <c r="F96" s="649"/>
      <c r="G96" s="75">
        <f t="shared" si="40"/>
        <v>1</v>
      </c>
      <c r="H96" s="649"/>
      <c r="I96" s="75">
        <f t="shared" si="41"/>
        <v>1</v>
      </c>
      <c r="J96" s="649"/>
      <c r="K96" s="75">
        <f t="shared" si="42"/>
        <v>0</v>
      </c>
      <c r="L96" s="649"/>
      <c r="M96" s="75">
        <f t="shared" si="43"/>
        <v>1</v>
      </c>
      <c r="N96" s="649"/>
      <c r="O96" s="75">
        <f t="shared" si="44"/>
        <v>1</v>
      </c>
      <c r="P96" s="649"/>
      <c r="Q96" s="75">
        <f t="shared" si="45"/>
        <v>0</v>
      </c>
      <c r="R96" s="75">
        <f t="shared" si="46"/>
        <v>0</v>
      </c>
      <c r="S96" s="49">
        <f t="shared" si="37"/>
        <v>0</v>
      </c>
    </row>
    <row r="97" spans="1:19">
      <c r="A97" s="652"/>
      <c r="B97" s="648"/>
      <c r="C97" s="75">
        <f t="shared" si="38"/>
        <v>1</v>
      </c>
      <c r="D97" s="649"/>
      <c r="E97" s="75">
        <f t="shared" si="39"/>
        <v>0</v>
      </c>
      <c r="F97" s="649"/>
      <c r="G97" s="75">
        <f t="shared" si="40"/>
        <v>1</v>
      </c>
      <c r="H97" s="649"/>
      <c r="I97" s="75">
        <f t="shared" si="41"/>
        <v>1</v>
      </c>
      <c r="J97" s="649"/>
      <c r="K97" s="75">
        <f t="shared" si="42"/>
        <v>0</v>
      </c>
      <c r="L97" s="649"/>
      <c r="M97" s="75">
        <f t="shared" si="43"/>
        <v>1</v>
      </c>
      <c r="N97" s="649"/>
      <c r="O97" s="75">
        <f t="shared" si="44"/>
        <v>1</v>
      </c>
      <c r="P97" s="649"/>
      <c r="Q97" s="75">
        <f t="shared" si="45"/>
        <v>0</v>
      </c>
      <c r="R97" s="75">
        <f t="shared" si="46"/>
        <v>0</v>
      </c>
      <c r="S97" s="49">
        <f t="shared" si="37"/>
        <v>0</v>
      </c>
    </row>
    <row r="98" spans="1:19">
      <c r="A98" s="652"/>
      <c r="B98" s="648"/>
      <c r="C98" s="75">
        <f t="shared" si="38"/>
        <v>1</v>
      </c>
      <c r="D98" s="649"/>
      <c r="E98" s="75">
        <f t="shared" si="39"/>
        <v>0</v>
      </c>
      <c r="F98" s="649"/>
      <c r="G98" s="75">
        <f t="shared" si="40"/>
        <v>1</v>
      </c>
      <c r="H98" s="649"/>
      <c r="I98" s="75">
        <f t="shared" si="41"/>
        <v>1</v>
      </c>
      <c r="J98" s="649"/>
      <c r="K98" s="75">
        <f t="shared" si="42"/>
        <v>0</v>
      </c>
      <c r="L98" s="649"/>
      <c r="M98" s="75">
        <f t="shared" si="43"/>
        <v>1</v>
      </c>
      <c r="N98" s="649"/>
      <c r="O98" s="75">
        <f t="shared" si="44"/>
        <v>1</v>
      </c>
      <c r="P98" s="649"/>
      <c r="Q98" s="75">
        <f t="shared" si="45"/>
        <v>0</v>
      </c>
      <c r="R98" s="75">
        <f t="shared" si="46"/>
        <v>0</v>
      </c>
      <c r="S98" s="49">
        <f t="shared" si="37"/>
        <v>0</v>
      </c>
    </row>
    <row r="99" spans="1:19">
      <c r="A99" s="652"/>
      <c r="B99" s="648"/>
      <c r="C99" s="75">
        <f t="shared" si="38"/>
        <v>1</v>
      </c>
      <c r="D99" s="649"/>
      <c r="E99" s="75">
        <f t="shared" si="39"/>
        <v>0</v>
      </c>
      <c r="F99" s="649"/>
      <c r="G99" s="75">
        <f t="shared" si="40"/>
        <v>1</v>
      </c>
      <c r="H99" s="649"/>
      <c r="I99" s="75">
        <f t="shared" si="41"/>
        <v>1</v>
      </c>
      <c r="J99" s="649"/>
      <c r="K99" s="75">
        <f t="shared" si="42"/>
        <v>0</v>
      </c>
      <c r="L99" s="649"/>
      <c r="M99" s="75">
        <f t="shared" si="43"/>
        <v>1</v>
      </c>
      <c r="N99" s="649"/>
      <c r="O99" s="75">
        <f t="shared" si="44"/>
        <v>1</v>
      </c>
      <c r="P99" s="649"/>
      <c r="Q99" s="75">
        <f t="shared" si="45"/>
        <v>0</v>
      </c>
      <c r="R99" s="75">
        <f t="shared" si="46"/>
        <v>0</v>
      </c>
      <c r="S99" s="49">
        <f t="shared" si="37"/>
        <v>0</v>
      </c>
    </row>
    <row r="100" spans="1:19">
      <c r="A100" s="652"/>
      <c r="B100" s="648"/>
      <c r="C100" s="75">
        <f t="shared" si="38"/>
        <v>1</v>
      </c>
      <c r="D100" s="649"/>
      <c r="E100" s="75">
        <f t="shared" si="39"/>
        <v>0</v>
      </c>
      <c r="F100" s="649"/>
      <c r="G100" s="75">
        <f t="shared" si="40"/>
        <v>1</v>
      </c>
      <c r="H100" s="649"/>
      <c r="I100" s="75">
        <f t="shared" si="41"/>
        <v>1</v>
      </c>
      <c r="J100" s="649"/>
      <c r="K100" s="75">
        <f t="shared" si="42"/>
        <v>0</v>
      </c>
      <c r="L100" s="649"/>
      <c r="M100" s="75">
        <f t="shared" si="43"/>
        <v>1</v>
      </c>
      <c r="N100" s="649"/>
      <c r="O100" s="75">
        <f t="shared" si="44"/>
        <v>1</v>
      </c>
      <c r="P100" s="649"/>
      <c r="Q100" s="75">
        <f t="shared" si="45"/>
        <v>0</v>
      </c>
      <c r="R100" s="75">
        <f t="shared" si="46"/>
        <v>0</v>
      </c>
      <c r="S100" s="49">
        <f t="shared" si="37"/>
        <v>0</v>
      </c>
    </row>
    <row r="101" spans="1:19">
      <c r="A101" s="652"/>
      <c r="B101" s="648"/>
      <c r="C101" s="75">
        <f t="shared" si="38"/>
        <v>1</v>
      </c>
      <c r="D101" s="649"/>
      <c r="E101" s="75">
        <f t="shared" si="39"/>
        <v>0</v>
      </c>
      <c r="F101" s="649"/>
      <c r="G101" s="75">
        <f t="shared" si="40"/>
        <v>1</v>
      </c>
      <c r="H101" s="649"/>
      <c r="I101" s="75">
        <f t="shared" si="41"/>
        <v>1</v>
      </c>
      <c r="J101" s="649"/>
      <c r="K101" s="75">
        <f t="shared" si="42"/>
        <v>0</v>
      </c>
      <c r="L101" s="649"/>
      <c r="M101" s="75">
        <f t="shared" si="43"/>
        <v>1</v>
      </c>
      <c r="N101" s="649"/>
      <c r="O101" s="75">
        <f t="shared" si="44"/>
        <v>1</v>
      </c>
      <c r="P101" s="649"/>
      <c r="Q101" s="75">
        <f t="shared" si="45"/>
        <v>0</v>
      </c>
      <c r="R101" s="75">
        <f t="shared" si="46"/>
        <v>0</v>
      </c>
      <c r="S101" s="49">
        <f t="shared" si="37"/>
        <v>0</v>
      </c>
    </row>
    <row r="102" spans="1:19">
      <c r="A102" s="652"/>
      <c r="B102" s="648"/>
      <c r="C102" s="75">
        <f t="shared" si="38"/>
        <v>1</v>
      </c>
      <c r="D102" s="649"/>
      <c r="E102" s="75">
        <f t="shared" si="39"/>
        <v>0</v>
      </c>
      <c r="F102" s="649"/>
      <c r="G102" s="75">
        <f t="shared" si="40"/>
        <v>1</v>
      </c>
      <c r="H102" s="649"/>
      <c r="I102" s="75">
        <f t="shared" si="41"/>
        <v>1</v>
      </c>
      <c r="J102" s="649"/>
      <c r="K102" s="75">
        <f t="shared" si="42"/>
        <v>0</v>
      </c>
      <c r="L102" s="649"/>
      <c r="M102" s="75">
        <f t="shared" si="43"/>
        <v>1</v>
      </c>
      <c r="N102" s="649"/>
      <c r="O102" s="75">
        <f t="shared" si="44"/>
        <v>1</v>
      </c>
      <c r="P102" s="649"/>
      <c r="Q102" s="75">
        <f t="shared" si="45"/>
        <v>0</v>
      </c>
      <c r="R102" s="75">
        <f t="shared" si="46"/>
        <v>0</v>
      </c>
      <c r="S102" s="49">
        <f t="shared" si="37"/>
        <v>0</v>
      </c>
    </row>
    <row r="103" spans="1:19">
      <c r="A103" s="652"/>
      <c r="B103" s="648"/>
      <c r="C103" s="75">
        <f t="shared" si="38"/>
        <v>1</v>
      </c>
      <c r="D103" s="649"/>
      <c r="E103" s="75">
        <f t="shared" si="39"/>
        <v>0</v>
      </c>
      <c r="F103" s="649"/>
      <c r="G103" s="75">
        <f t="shared" si="40"/>
        <v>1</v>
      </c>
      <c r="H103" s="649"/>
      <c r="I103" s="75">
        <f t="shared" si="41"/>
        <v>1</v>
      </c>
      <c r="J103" s="649"/>
      <c r="K103" s="75">
        <f t="shared" si="42"/>
        <v>0</v>
      </c>
      <c r="L103" s="649"/>
      <c r="M103" s="75">
        <f t="shared" si="43"/>
        <v>1</v>
      </c>
      <c r="N103" s="649"/>
      <c r="O103" s="75">
        <f t="shared" si="44"/>
        <v>1</v>
      </c>
      <c r="P103" s="649"/>
      <c r="Q103" s="75">
        <f t="shared" si="45"/>
        <v>0</v>
      </c>
      <c r="R103" s="75">
        <f t="shared" si="46"/>
        <v>0</v>
      </c>
      <c r="S103" s="49">
        <f t="shared" si="37"/>
        <v>0</v>
      </c>
    </row>
    <row r="104" spans="1:19">
      <c r="A104" s="652"/>
      <c r="B104" s="648"/>
      <c r="C104" s="75">
        <f t="shared" si="38"/>
        <v>1</v>
      </c>
      <c r="D104" s="649"/>
      <c r="E104" s="75">
        <f t="shared" si="39"/>
        <v>0</v>
      </c>
      <c r="F104" s="649"/>
      <c r="G104" s="75">
        <f t="shared" si="40"/>
        <v>1</v>
      </c>
      <c r="H104" s="649"/>
      <c r="I104" s="75">
        <f t="shared" si="41"/>
        <v>1</v>
      </c>
      <c r="J104" s="649"/>
      <c r="K104" s="75">
        <f t="shared" si="42"/>
        <v>0</v>
      </c>
      <c r="L104" s="649"/>
      <c r="M104" s="75">
        <f t="shared" si="43"/>
        <v>1</v>
      </c>
      <c r="N104" s="649"/>
      <c r="O104" s="75">
        <f t="shared" si="44"/>
        <v>1</v>
      </c>
      <c r="P104" s="649"/>
      <c r="Q104" s="75">
        <f t="shared" si="45"/>
        <v>0</v>
      </c>
      <c r="R104" s="75">
        <f t="shared" si="46"/>
        <v>0</v>
      </c>
      <c r="S104" s="49">
        <f t="shared" si="37"/>
        <v>0</v>
      </c>
    </row>
    <row r="105" spans="1:19">
      <c r="A105" s="652"/>
      <c r="B105" s="648"/>
      <c r="C105" s="75">
        <f t="shared" si="38"/>
        <v>1</v>
      </c>
      <c r="D105" s="649"/>
      <c r="E105" s="75">
        <f t="shared" si="39"/>
        <v>0</v>
      </c>
      <c r="F105" s="649"/>
      <c r="G105" s="75">
        <f t="shared" si="40"/>
        <v>1</v>
      </c>
      <c r="H105" s="649"/>
      <c r="I105" s="75">
        <f t="shared" si="41"/>
        <v>1</v>
      </c>
      <c r="J105" s="649"/>
      <c r="K105" s="75">
        <f t="shared" si="42"/>
        <v>0</v>
      </c>
      <c r="L105" s="649"/>
      <c r="M105" s="75">
        <f t="shared" si="43"/>
        <v>1</v>
      </c>
      <c r="N105" s="649"/>
      <c r="O105" s="75">
        <f t="shared" si="44"/>
        <v>1</v>
      </c>
      <c r="P105" s="649"/>
      <c r="Q105" s="75">
        <f t="shared" si="45"/>
        <v>0</v>
      </c>
      <c r="R105" s="75">
        <f t="shared" si="46"/>
        <v>0</v>
      </c>
      <c r="S105" s="49">
        <f t="shared" si="37"/>
        <v>0</v>
      </c>
    </row>
    <row r="106" spans="1:19">
      <c r="A106" s="652"/>
      <c r="B106" s="648"/>
      <c r="C106" s="75">
        <f t="shared" si="38"/>
        <v>1</v>
      </c>
      <c r="D106" s="649"/>
      <c r="E106" s="75">
        <f t="shared" si="39"/>
        <v>0</v>
      </c>
      <c r="F106" s="649"/>
      <c r="G106" s="75">
        <f t="shared" si="40"/>
        <v>1</v>
      </c>
      <c r="H106" s="649"/>
      <c r="I106" s="75">
        <f t="shared" si="41"/>
        <v>1</v>
      </c>
      <c r="J106" s="649"/>
      <c r="K106" s="75">
        <f t="shared" si="42"/>
        <v>0</v>
      </c>
      <c r="L106" s="649"/>
      <c r="M106" s="75">
        <f t="shared" si="43"/>
        <v>1</v>
      </c>
      <c r="N106" s="649"/>
      <c r="O106" s="75">
        <f t="shared" si="44"/>
        <v>1</v>
      </c>
      <c r="P106" s="649"/>
      <c r="Q106" s="75">
        <f t="shared" si="45"/>
        <v>0</v>
      </c>
      <c r="R106" s="75">
        <f t="shared" si="46"/>
        <v>0</v>
      </c>
      <c r="S106" s="49">
        <f t="shared" si="37"/>
        <v>0</v>
      </c>
    </row>
    <row r="107" spans="1:19">
      <c r="A107" s="652"/>
      <c r="B107" s="648"/>
      <c r="C107" s="75">
        <f t="shared" si="38"/>
        <v>1</v>
      </c>
      <c r="D107" s="649"/>
      <c r="E107" s="75">
        <f t="shared" si="39"/>
        <v>0</v>
      </c>
      <c r="F107" s="649"/>
      <c r="G107" s="75">
        <f t="shared" si="40"/>
        <v>1</v>
      </c>
      <c r="H107" s="649"/>
      <c r="I107" s="75">
        <f t="shared" si="41"/>
        <v>1</v>
      </c>
      <c r="J107" s="649"/>
      <c r="K107" s="75">
        <f t="shared" si="42"/>
        <v>0</v>
      </c>
      <c r="L107" s="649"/>
      <c r="M107" s="75">
        <f t="shared" si="43"/>
        <v>1</v>
      </c>
      <c r="N107" s="649"/>
      <c r="O107" s="75">
        <f t="shared" si="44"/>
        <v>1</v>
      </c>
      <c r="P107" s="649"/>
      <c r="Q107" s="75">
        <f t="shared" si="45"/>
        <v>0</v>
      </c>
      <c r="R107" s="75">
        <f t="shared" si="46"/>
        <v>0</v>
      </c>
      <c r="S107" s="49">
        <f t="shared" si="37"/>
        <v>0</v>
      </c>
    </row>
    <row r="108" spans="1:19">
      <c r="A108" s="652"/>
      <c r="B108" s="648"/>
      <c r="C108" s="75">
        <f t="shared" si="38"/>
        <v>1</v>
      </c>
      <c r="D108" s="649"/>
      <c r="E108" s="75">
        <f t="shared" si="39"/>
        <v>0</v>
      </c>
      <c r="F108" s="649"/>
      <c r="G108" s="75">
        <f t="shared" si="40"/>
        <v>1</v>
      </c>
      <c r="H108" s="649"/>
      <c r="I108" s="75">
        <f t="shared" si="41"/>
        <v>1</v>
      </c>
      <c r="J108" s="649"/>
      <c r="K108" s="75">
        <f t="shared" si="42"/>
        <v>0</v>
      </c>
      <c r="L108" s="649"/>
      <c r="M108" s="75">
        <f t="shared" si="43"/>
        <v>1</v>
      </c>
      <c r="N108" s="649"/>
      <c r="O108" s="75">
        <f t="shared" si="44"/>
        <v>1</v>
      </c>
      <c r="P108" s="649"/>
      <c r="Q108" s="75">
        <f t="shared" si="45"/>
        <v>0</v>
      </c>
      <c r="R108" s="75">
        <f t="shared" si="46"/>
        <v>0</v>
      </c>
      <c r="S108" s="49">
        <f t="shared" si="37"/>
        <v>0</v>
      </c>
    </row>
    <row r="109" spans="1:19">
      <c r="A109" s="652"/>
      <c r="B109" s="648"/>
      <c r="C109" s="75">
        <f t="shared" si="38"/>
        <v>1</v>
      </c>
      <c r="D109" s="649"/>
      <c r="E109" s="75">
        <f t="shared" si="39"/>
        <v>0</v>
      </c>
      <c r="F109" s="649"/>
      <c r="G109" s="75">
        <f t="shared" si="40"/>
        <v>1</v>
      </c>
      <c r="H109" s="649"/>
      <c r="I109" s="75">
        <f t="shared" si="41"/>
        <v>1</v>
      </c>
      <c r="J109" s="649"/>
      <c r="K109" s="75">
        <f t="shared" si="42"/>
        <v>0</v>
      </c>
      <c r="L109" s="649"/>
      <c r="M109" s="75">
        <f t="shared" si="43"/>
        <v>1</v>
      </c>
      <c r="N109" s="649"/>
      <c r="O109" s="75">
        <f t="shared" si="44"/>
        <v>1</v>
      </c>
      <c r="P109" s="649"/>
      <c r="Q109" s="75">
        <f t="shared" si="45"/>
        <v>0</v>
      </c>
      <c r="R109" s="75">
        <f t="shared" si="46"/>
        <v>0</v>
      </c>
      <c r="S109" s="49">
        <f t="shared" si="37"/>
        <v>0</v>
      </c>
    </row>
    <row r="110" spans="1:19">
      <c r="A110" s="652"/>
      <c r="B110" s="648"/>
      <c r="C110" s="75">
        <f t="shared" si="38"/>
        <v>1</v>
      </c>
      <c r="D110" s="649"/>
      <c r="E110" s="75">
        <f t="shared" si="39"/>
        <v>0</v>
      </c>
      <c r="F110" s="649"/>
      <c r="G110" s="75">
        <f t="shared" si="40"/>
        <v>1</v>
      </c>
      <c r="H110" s="649"/>
      <c r="I110" s="75">
        <f t="shared" si="41"/>
        <v>1</v>
      </c>
      <c r="J110" s="649"/>
      <c r="K110" s="75">
        <f t="shared" si="42"/>
        <v>0</v>
      </c>
      <c r="L110" s="649"/>
      <c r="M110" s="75">
        <f t="shared" si="43"/>
        <v>1</v>
      </c>
      <c r="N110" s="649"/>
      <c r="O110" s="75">
        <f t="shared" si="44"/>
        <v>1</v>
      </c>
      <c r="P110" s="649"/>
      <c r="Q110" s="75">
        <f t="shared" si="45"/>
        <v>0</v>
      </c>
      <c r="R110" s="75">
        <f t="shared" si="46"/>
        <v>0</v>
      </c>
      <c r="S110" s="49">
        <f t="shared" si="37"/>
        <v>0</v>
      </c>
    </row>
    <row r="111" spans="1:19">
      <c r="A111" s="652"/>
      <c r="B111" s="648"/>
      <c r="C111" s="75">
        <f t="shared" si="38"/>
        <v>1</v>
      </c>
      <c r="D111" s="649"/>
      <c r="E111" s="75">
        <f t="shared" si="39"/>
        <v>0</v>
      </c>
      <c r="F111" s="649"/>
      <c r="G111" s="75">
        <f t="shared" si="40"/>
        <v>1</v>
      </c>
      <c r="H111" s="649"/>
      <c r="I111" s="75">
        <f t="shared" si="41"/>
        <v>1</v>
      </c>
      <c r="J111" s="649"/>
      <c r="K111" s="75">
        <f t="shared" si="42"/>
        <v>0</v>
      </c>
      <c r="L111" s="649"/>
      <c r="M111" s="75">
        <f t="shared" si="43"/>
        <v>1</v>
      </c>
      <c r="N111" s="649"/>
      <c r="O111" s="75">
        <f t="shared" si="44"/>
        <v>1</v>
      </c>
      <c r="P111" s="649"/>
      <c r="Q111" s="75">
        <f t="shared" si="45"/>
        <v>0</v>
      </c>
      <c r="R111" s="75">
        <f t="shared" si="46"/>
        <v>0</v>
      </c>
      <c r="S111" s="49">
        <f t="shared" si="37"/>
        <v>0</v>
      </c>
    </row>
    <row r="112" spans="1:19">
      <c r="A112" s="652"/>
      <c r="B112" s="648"/>
      <c r="C112" s="75">
        <f t="shared" si="38"/>
        <v>1</v>
      </c>
      <c r="D112" s="649"/>
      <c r="E112" s="75">
        <f t="shared" si="39"/>
        <v>0</v>
      </c>
      <c r="F112" s="649"/>
      <c r="G112" s="75">
        <f t="shared" si="40"/>
        <v>1</v>
      </c>
      <c r="H112" s="649"/>
      <c r="I112" s="75">
        <f t="shared" si="41"/>
        <v>1</v>
      </c>
      <c r="J112" s="649"/>
      <c r="K112" s="75">
        <f t="shared" si="42"/>
        <v>0</v>
      </c>
      <c r="L112" s="649"/>
      <c r="M112" s="75">
        <f t="shared" si="43"/>
        <v>1</v>
      </c>
      <c r="N112" s="649"/>
      <c r="O112" s="75">
        <f t="shared" si="44"/>
        <v>1</v>
      </c>
      <c r="P112" s="649"/>
      <c r="Q112" s="75">
        <f t="shared" si="45"/>
        <v>0</v>
      </c>
      <c r="R112" s="75">
        <f t="shared" si="46"/>
        <v>0</v>
      </c>
      <c r="S112" s="49">
        <f t="shared" si="37"/>
        <v>0</v>
      </c>
    </row>
    <row r="113" spans="1:19">
      <c r="A113" s="652"/>
      <c r="B113" s="648"/>
      <c r="C113" s="75">
        <f t="shared" si="38"/>
        <v>1</v>
      </c>
      <c r="D113" s="649"/>
      <c r="E113" s="75">
        <f t="shared" si="39"/>
        <v>0</v>
      </c>
      <c r="F113" s="649"/>
      <c r="G113" s="75">
        <f t="shared" si="40"/>
        <v>1</v>
      </c>
      <c r="H113" s="649"/>
      <c r="I113" s="75">
        <f t="shared" si="41"/>
        <v>1</v>
      </c>
      <c r="J113" s="649"/>
      <c r="K113" s="75">
        <f t="shared" si="42"/>
        <v>0</v>
      </c>
      <c r="L113" s="649"/>
      <c r="M113" s="75">
        <f t="shared" si="43"/>
        <v>1</v>
      </c>
      <c r="N113" s="649"/>
      <c r="O113" s="75">
        <f t="shared" si="44"/>
        <v>1</v>
      </c>
      <c r="P113" s="649"/>
      <c r="Q113" s="75">
        <f t="shared" si="45"/>
        <v>0</v>
      </c>
      <c r="R113" s="75">
        <f t="shared" si="46"/>
        <v>0</v>
      </c>
      <c r="S113" s="49">
        <f t="shared" si="37"/>
        <v>0</v>
      </c>
    </row>
    <row r="114" spans="1:19">
      <c r="A114" s="652"/>
      <c r="B114" s="648"/>
      <c r="C114" s="75">
        <f t="shared" si="38"/>
        <v>1</v>
      </c>
      <c r="D114" s="649"/>
      <c r="E114" s="75">
        <f t="shared" si="39"/>
        <v>0</v>
      </c>
      <c r="F114" s="649"/>
      <c r="G114" s="75">
        <f t="shared" si="40"/>
        <v>1</v>
      </c>
      <c r="H114" s="649"/>
      <c r="I114" s="75">
        <f t="shared" si="41"/>
        <v>1</v>
      </c>
      <c r="J114" s="649"/>
      <c r="K114" s="75">
        <f t="shared" si="42"/>
        <v>0</v>
      </c>
      <c r="L114" s="649"/>
      <c r="M114" s="75">
        <f t="shared" si="43"/>
        <v>1</v>
      </c>
      <c r="N114" s="649"/>
      <c r="O114" s="75">
        <f t="shared" si="44"/>
        <v>1</v>
      </c>
      <c r="P114" s="649"/>
      <c r="Q114" s="75">
        <f t="shared" si="45"/>
        <v>0</v>
      </c>
      <c r="R114" s="75">
        <f t="shared" si="46"/>
        <v>0</v>
      </c>
      <c r="S114" s="49">
        <f t="shared" si="37"/>
        <v>0</v>
      </c>
    </row>
    <row r="115" spans="1:19">
      <c r="A115" s="652"/>
      <c r="B115" s="648"/>
      <c r="C115" s="75">
        <f t="shared" si="38"/>
        <v>1</v>
      </c>
      <c r="D115" s="649"/>
      <c r="E115" s="75">
        <f t="shared" si="39"/>
        <v>0</v>
      </c>
      <c r="F115" s="649"/>
      <c r="G115" s="75">
        <f t="shared" si="40"/>
        <v>1</v>
      </c>
      <c r="H115" s="649"/>
      <c r="I115" s="75">
        <f t="shared" si="41"/>
        <v>1</v>
      </c>
      <c r="J115" s="649"/>
      <c r="K115" s="75">
        <f t="shared" si="42"/>
        <v>0</v>
      </c>
      <c r="L115" s="649"/>
      <c r="M115" s="75">
        <f t="shared" si="43"/>
        <v>1</v>
      </c>
      <c r="N115" s="649"/>
      <c r="O115" s="75">
        <f t="shared" si="44"/>
        <v>1</v>
      </c>
      <c r="P115" s="649"/>
      <c r="Q115" s="75">
        <f t="shared" si="45"/>
        <v>0</v>
      </c>
      <c r="R115" s="75">
        <f t="shared" si="46"/>
        <v>0</v>
      </c>
      <c r="S115" s="49">
        <f t="shared" si="37"/>
        <v>0</v>
      </c>
    </row>
    <row r="116" spans="1:19">
      <c r="A116" s="652"/>
      <c r="B116" s="648"/>
      <c r="C116" s="75">
        <f t="shared" si="38"/>
        <v>1</v>
      </c>
      <c r="D116" s="649"/>
      <c r="E116" s="75">
        <f t="shared" si="39"/>
        <v>0</v>
      </c>
      <c r="F116" s="649"/>
      <c r="G116" s="75">
        <f t="shared" si="40"/>
        <v>1</v>
      </c>
      <c r="H116" s="649"/>
      <c r="I116" s="75">
        <f t="shared" si="41"/>
        <v>1</v>
      </c>
      <c r="J116" s="649"/>
      <c r="K116" s="75">
        <f t="shared" si="42"/>
        <v>0</v>
      </c>
      <c r="L116" s="649"/>
      <c r="M116" s="75">
        <f t="shared" si="43"/>
        <v>1</v>
      </c>
      <c r="N116" s="649"/>
      <c r="O116" s="75">
        <f t="shared" si="44"/>
        <v>1</v>
      </c>
      <c r="P116" s="649"/>
      <c r="Q116" s="75">
        <f t="shared" si="45"/>
        <v>0</v>
      </c>
      <c r="R116" s="75">
        <f t="shared" si="46"/>
        <v>0</v>
      </c>
      <c r="S116" s="49">
        <f t="shared" si="37"/>
        <v>0</v>
      </c>
    </row>
    <row r="117" spans="1:19">
      <c r="A117" s="652"/>
      <c r="B117" s="648"/>
      <c r="C117" s="75">
        <f t="shared" si="38"/>
        <v>1</v>
      </c>
      <c r="D117" s="649"/>
      <c r="E117" s="75">
        <f t="shared" si="39"/>
        <v>0</v>
      </c>
      <c r="F117" s="649"/>
      <c r="G117" s="75">
        <f t="shared" si="40"/>
        <v>1</v>
      </c>
      <c r="H117" s="649"/>
      <c r="I117" s="75">
        <f t="shared" si="41"/>
        <v>1</v>
      </c>
      <c r="J117" s="649"/>
      <c r="K117" s="75">
        <f t="shared" si="42"/>
        <v>0</v>
      </c>
      <c r="L117" s="649"/>
      <c r="M117" s="75">
        <f t="shared" si="43"/>
        <v>1</v>
      </c>
      <c r="N117" s="649"/>
      <c r="O117" s="75">
        <f t="shared" si="44"/>
        <v>1</v>
      </c>
      <c r="P117" s="649"/>
      <c r="Q117" s="75">
        <f t="shared" si="45"/>
        <v>0</v>
      </c>
      <c r="R117" s="75">
        <f t="shared" si="46"/>
        <v>0</v>
      </c>
      <c r="S117" s="49">
        <f t="shared" si="37"/>
        <v>0</v>
      </c>
    </row>
    <row r="118" spans="1:19">
      <c r="A118" s="652"/>
      <c r="B118" s="648"/>
      <c r="C118" s="75">
        <f t="shared" si="38"/>
        <v>1</v>
      </c>
      <c r="D118" s="649"/>
      <c r="E118" s="75">
        <f t="shared" si="39"/>
        <v>0</v>
      </c>
      <c r="F118" s="649"/>
      <c r="G118" s="75">
        <f t="shared" si="40"/>
        <v>1</v>
      </c>
      <c r="H118" s="649"/>
      <c r="I118" s="75">
        <f t="shared" si="41"/>
        <v>1</v>
      </c>
      <c r="J118" s="649"/>
      <c r="K118" s="75">
        <f t="shared" si="42"/>
        <v>0</v>
      </c>
      <c r="L118" s="649"/>
      <c r="M118" s="75">
        <f t="shared" si="43"/>
        <v>1</v>
      </c>
      <c r="N118" s="649"/>
      <c r="O118" s="75">
        <f t="shared" si="44"/>
        <v>1</v>
      </c>
      <c r="P118" s="649"/>
      <c r="Q118" s="75">
        <f t="shared" si="45"/>
        <v>0</v>
      </c>
      <c r="R118" s="75">
        <f t="shared" si="46"/>
        <v>0</v>
      </c>
      <c r="S118" s="49">
        <f t="shared" si="37"/>
        <v>0</v>
      </c>
    </row>
    <row r="119" spans="1:19">
      <c r="A119" s="652"/>
      <c r="B119" s="648"/>
      <c r="C119" s="75">
        <f t="shared" si="38"/>
        <v>1</v>
      </c>
      <c r="D119" s="649"/>
      <c r="E119" s="75">
        <f t="shared" si="39"/>
        <v>0</v>
      </c>
      <c r="F119" s="649"/>
      <c r="G119" s="75">
        <f t="shared" si="40"/>
        <v>1</v>
      </c>
      <c r="H119" s="649"/>
      <c r="I119" s="75">
        <f t="shared" si="41"/>
        <v>1</v>
      </c>
      <c r="J119" s="649"/>
      <c r="K119" s="75">
        <f t="shared" si="42"/>
        <v>0</v>
      </c>
      <c r="L119" s="649"/>
      <c r="M119" s="75">
        <f t="shared" si="43"/>
        <v>1</v>
      </c>
      <c r="N119" s="649"/>
      <c r="O119" s="75">
        <f t="shared" si="44"/>
        <v>1</v>
      </c>
      <c r="P119" s="649"/>
      <c r="Q119" s="75">
        <f t="shared" si="45"/>
        <v>0</v>
      </c>
      <c r="R119" s="75">
        <f t="shared" si="46"/>
        <v>0</v>
      </c>
      <c r="S119" s="49">
        <f t="shared" si="37"/>
        <v>0</v>
      </c>
    </row>
    <row r="120" spans="1:19">
      <c r="A120" s="652"/>
      <c r="B120" s="648"/>
      <c r="C120" s="75">
        <f t="shared" si="38"/>
        <v>1</v>
      </c>
      <c r="D120" s="649"/>
      <c r="E120" s="75">
        <f t="shared" si="39"/>
        <v>0</v>
      </c>
      <c r="F120" s="649"/>
      <c r="G120" s="75">
        <f t="shared" si="40"/>
        <v>1</v>
      </c>
      <c r="H120" s="649"/>
      <c r="I120" s="75">
        <f t="shared" si="41"/>
        <v>1</v>
      </c>
      <c r="J120" s="649"/>
      <c r="K120" s="75">
        <f t="shared" si="42"/>
        <v>0</v>
      </c>
      <c r="L120" s="649"/>
      <c r="M120" s="75">
        <f t="shared" si="43"/>
        <v>1</v>
      </c>
      <c r="N120" s="649"/>
      <c r="O120" s="75">
        <f t="shared" si="44"/>
        <v>1</v>
      </c>
      <c r="P120" s="649"/>
      <c r="Q120" s="75">
        <f t="shared" si="45"/>
        <v>0</v>
      </c>
      <c r="R120" s="75">
        <f t="shared" si="46"/>
        <v>0</v>
      </c>
      <c r="S120" s="49">
        <f t="shared" si="37"/>
        <v>0</v>
      </c>
    </row>
    <row r="121" spans="1:19">
      <c r="A121" s="652"/>
      <c r="B121" s="648"/>
      <c r="C121" s="75">
        <f t="shared" si="38"/>
        <v>1</v>
      </c>
      <c r="D121" s="649"/>
      <c r="E121" s="75">
        <f t="shared" si="39"/>
        <v>0</v>
      </c>
      <c r="F121" s="649"/>
      <c r="G121" s="75">
        <f t="shared" si="40"/>
        <v>1</v>
      </c>
      <c r="H121" s="649"/>
      <c r="I121" s="75">
        <f t="shared" si="41"/>
        <v>1</v>
      </c>
      <c r="J121" s="649"/>
      <c r="K121" s="75">
        <f t="shared" si="42"/>
        <v>0</v>
      </c>
      <c r="L121" s="649"/>
      <c r="M121" s="75">
        <f t="shared" si="43"/>
        <v>1</v>
      </c>
      <c r="N121" s="649"/>
      <c r="O121" s="75">
        <f t="shared" si="44"/>
        <v>1</v>
      </c>
      <c r="P121" s="649"/>
      <c r="Q121" s="75">
        <f t="shared" si="45"/>
        <v>0</v>
      </c>
      <c r="R121" s="75">
        <f t="shared" si="46"/>
        <v>0</v>
      </c>
      <c r="S121" s="49">
        <f t="shared" si="37"/>
        <v>0</v>
      </c>
    </row>
    <row r="122" spans="1:19">
      <c r="A122" s="652"/>
      <c r="B122" s="648"/>
      <c r="C122" s="75">
        <f t="shared" si="38"/>
        <v>1</v>
      </c>
      <c r="D122" s="649"/>
      <c r="E122" s="75">
        <f t="shared" si="39"/>
        <v>0</v>
      </c>
      <c r="F122" s="649"/>
      <c r="G122" s="75">
        <f t="shared" si="40"/>
        <v>1</v>
      </c>
      <c r="H122" s="649"/>
      <c r="I122" s="75">
        <f t="shared" si="41"/>
        <v>1</v>
      </c>
      <c r="J122" s="649"/>
      <c r="K122" s="75">
        <f t="shared" si="42"/>
        <v>0</v>
      </c>
      <c r="L122" s="649"/>
      <c r="M122" s="75">
        <f t="shared" si="43"/>
        <v>1</v>
      </c>
      <c r="N122" s="649"/>
      <c r="O122" s="75">
        <f t="shared" si="44"/>
        <v>1</v>
      </c>
      <c r="P122" s="649"/>
      <c r="Q122" s="75">
        <f t="shared" si="45"/>
        <v>0</v>
      </c>
      <c r="R122" s="75">
        <f t="shared" si="46"/>
        <v>0</v>
      </c>
      <c r="S122" s="49">
        <f t="shared" si="37"/>
        <v>0</v>
      </c>
    </row>
    <row r="123" spans="1:19">
      <c r="A123" s="652"/>
      <c r="B123" s="648"/>
      <c r="C123" s="75">
        <f t="shared" si="38"/>
        <v>1</v>
      </c>
      <c r="D123" s="649"/>
      <c r="E123" s="75">
        <f t="shared" si="39"/>
        <v>0</v>
      </c>
      <c r="F123" s="649"/>
      <c r="G123" s="75">
        <f t="shared" si="40"/>
        <v>1</v>
      </c>
      <c r="H123" s="649"/>
      <c r="I123" s="75">
        <f t="shared" si="41"/>
        <v>1</v>
      </c>
      <c r="J123" s="649"/>
      <c r="K123" s="75">
        <f t="shared" si="42"/>
        <v>0</v>
      </c>
      <c r="L123" s="649"/>
      <c r="M123" s="75">
        <f t="shared" si="43"/>
        <v>1</v>
      </c>
      <c r="N123" s="649"/>
      <c r="O123" s="75">
        <f t="shared" si="44"/>
        <v>1</v>
      </c>
      <c r="P123" s="649"/>
      <c r="Q123" s="75">
        <f t="shared" si="45"/>
        <v>0</v>
      </c>
      <c r="R123" s="75">
        <f t="shared" si="46"/>
        <v>0</v>
      </c>
      <c r="S123" s="49">
        <f t="shared" ref="S123:S186" si="47">ROUND(R123*B123/10000,0)</f>
        <v>0</v>
      </c>
    </row>
    <row r="124" spans="1:19">
      <c r="A124" s="652"/>
      <c r="B124" s="648"/>
      <c r="C124" s="75">
        <f t="shared" si="38"/>
        <v>1</v>
      </c>
      <c r="D124" s="649"/>
      <c r="E124" s="75">
        <f t="shared" si="39"/>
        <v>0</v>
      </c>
      <c r="F124" s="649"/>
      <c r="G124" s="75">
        <f t="shared" si="40"/>
        <v>1</v>
      </c>
      <c r="H124" s="649"/>
      <c r="I124" s="75">
        <f t="shared" si="41"/>
        <v>1</v>
      </c>
      <c r="J124" s="649"/>
      <c r="K124" s="75">
        <f t="shared" si="42"/>
        <v>0</v>
      </c>
      <c r="L124" s="649"/>
      <c r="M124" s="75">
        <f t="shared" si="43"/>
        <v>1</v>
      </c>
      <c r="N124" s="649"/>
      <c r="O124" s="75">
        <f t="shared" si="44"/>
        <v>1</v>
      </c>
      <c r="P124" s="649"/>
      <c r="Q124" s="75">
        <f t="shared" si="45"/>
        <v>0</v>
      </c>
      <c r="R124" s="75">
        <f t="shared" si="46"/>
        <v>0</v>
      </c>
      <c r="S124" s="49">
        <f t="shared" si="47"/>
        <v>0</v>
      </c>
    </row>
    <row r="125" spans="1:19">
      <c r="A125" s="652"/>
      <c r="B125" s="648"/>
      <c r="C125" s="75">
        <f t="shared" si="38"/>
        <v>1</v>
      </c>
      <c r="D125" s="649"/>
      <c r="E125" s="75">
        <f t="shared" si="39"/>
        <v>0</v>
      </c>
      <c r="F125" s="649"/>
      <c r="G125" s="75">
        <f t="shared" si="40"/>
        <v>1</v>
      </c>
      <c r="H125" s="649"/>
      <c r="I125" s="75">
        <f t="shared" si="41"/>
        <v>1</v>
      </c>
      <c r="J125" s="649"/>
      <c r="K125" s="75">
        <f t="shared" si="42"/>
        <v>0</v>
      </c>
      <c r="L125" s="649"/>
      <c r="M125" s="75">
        <f t="shared" si="43"/>
        <v>1</v>
      </c>
      <c r="N125" s="649"/>
      <c r="O125" s="75">
        <f t="shared" si="44"/>
        <v>1</v>
      </c>
      <c r="P125" s="649"/>
      <c r="Q125" s="75">
        <f t="shared" si="45"/>
        <v>0</v>
      </c>
      <c r="R125" s="75">
        <f t="shared" si="46"/>
        <v>0</v>
      </c>
      <c r="S125" s="49">
        <f t="shared" si="47"/>
        <v>0</v>
      </c>
    </row>
    <row r="126" spans="1:19">
      <c r="A126" s="652"/>
      <c r="B126" s="648"/>
      <c r="C126" s="75">
        <f t="shared" si="38"/>
        <v>1</v>
      </c>
      <c r="D126" s="649"/>
      <c r="E126" s="75">
        <f t="shared" si="39"/>
        <v>0</v>
      </c>
      <c r="F126" s="649"/>
      <c r="G126" s="75">
        <f t="shared" si="40"/>
        <v>1</v>
      </c>
      <c r="H126" s="649"/>
      <c r="I126" s="75">
        <f t="shared" si="41"/>
        <v>1</v>
      </c>
      <c r="J126" s="649"/>
      <c r="K126" s="75">
        <f t="shared" si="42"/>
        <v>0</v>
      </c>
      <c r="L126" s="649"/>
      <c r="M126" s="75">
        <f t="shared" si="43"/>
        <v>1</v>
      </c>
      <c r="N126" s="649"/>
      <c r="O126" s="75">
        <f t="shared" si="44"/>
        <v>1</v>
      </c>
      <c r="P126" s="649"/>
      <c r="Q126" s="75">
        <f t="shared" si="45"/>
        <v>0</v>
      </c>
      <c r="R126" s="75">
        <f t="shared" si="46"/>
        <v>0</v>
      </c>
      <c r="S126" s="49">
        <f t="shared" si="47"/>
        <v>0</v>
      </c>
    </row>
    <row r="127" spans="1:19">
      <c r="A127" s="652"/>
      <c r="B127" s="648"/>
      <c r="C127" s="75">
        <f t="shared" si="38"/>
        <v>1</v>
      </c>
      <c r="D127" s="649"/>
      <c r="E127" s="75">
        <f t="shared" si="39"/>
        <v>0</v>
      </c>
      <c r="F127" s="649"/>
      <c r="G127" s="75">
        <f t="shared" si="40"/>
        <v>1</v>
      </c>
      <c r="H127" s="649"/>
      <c r="I127" s="75">
        <f t="shared" si="41"/>
        <v>1</v>
      </c>
      <c r="J127" s="649"/>
      <c r="K127" s="75">
        <f t="shared" si="42"/>
        <v>0</v>
      </c>
      <c r="L127" s="649"/>
      <c r="M127" s="75">
        <f t="shared" si="43"/>
        <v>1</v>
      </c>
      <c r="N127" s="649"/>
      <c r="O127" s="75">
        <f t="shared" si="44"/>
        <v>1</v>
      </c>
      <c r="P127" s="649"/>
      <c r="Q127" s="75">
        <f t="shared" si="45"/>
        <v>0</v>
      </c>
      <c r="R127" s="75">
        <f t="shared" si="46"/>
        <v>0</v>
      </c>
      <c r="S127" s="49">
        <f t="shared" si="47"/>
        <v>0</v>
      </c>
    </row>
    <row r="128" spans="1:19">
      <c r="A128" s="652"/>
      <c r="B128" s="648"/>
      <c r="C128" s="75">
        <f t="shared" si="38"/>
        <v>1</v>
      </c>
      <c r="D128" s="649"/>
      <c r="E128" s="75">
        <f t="shared" si="39"/>
        <v>0</v>
      </c>
      <c r="F128" s="649"/>
      <c r="G128" s="75">
        <f t="shared" si="40"/>
        <v>1</v>
      </c>
      <c r="H128" s="649"/>
      <c r="I128" s="75">
        <f t="shared" si="41"/>
        <v>1</v>
      </c>
      <c r="J128" s="649"/>
      <c r="K128" s="75">
        <f t="shared" si="42"/>
        <v>0</v>
      </c>
      <c r="L128" s="649"/>
      <c r="M128" s="75">
        <f t="shared" si="43"/>
        <v>1</v>
      </c>
      <c r="N128" s="649"/>
      <c r="O128" s="75">
        <f t="shared" si="44"/>
        <v>1</v>
      </c>
      <c r="P128" s="649"/>
      <c r="Q128" s="75">
        <f t="shared" si="45"/>
        <v>0</v>
      </c>
      <c r="R128" s="75">
        <f t="shared" si="46"/>
        <v>0</v>
      </c>
      <c r="S128" s="49">
        <f t="shared" si="47"/>
        <v>0</v>
      </c>
    </row>
    <row r="129" spans="1:19">
      <c r="A129" s="652"/>
      <c r="B129" s="648"/>
      <c r="C129" s="75">
        <f t="shared" si="38"/>
        <v>1</v>
      </c>
      <c r="D129" s="649"/>
      <c r="E129" s="75">
        <f t="shared" si="39"/>
        <v>0</v>
      </c>
      <c r="F129" s="649"/>
      <c r="G129" s="75">
        <f t="shared" si="40"/>
        <v>1</v>
      </c>
      <c r="H129" s="649"/>
      <c r="I129" s="75">
        <f t="shared" si="41"/>
        <v>1</v>
      </c>
      <c r="J129" s="649"/>
      <c r="K129" s="75">
        <f t="shared" si="42"/>
        <v>0</v>
      </c>
      <c r="L129" s="649"/>
      <c r="M129" s="75">
        <f t="shared" si="43"/>
        <v>1</v>
      </c>
      <c r="N129" s="649"/>
      <c r="O129" s="75">
        <f t="shared" si="44"/>
        <v>1</v>
      </c>
      <c r="P129" s="649"/>
      <c r="Q129" s="75">
        <f t="shared" si="45"/>
        <v>0</v>
      </c>
      <c r="R129" s="75">
        <f t="shared" si="46"/>
        <v>0</v>
      </c>
      <c r="S129" s="49">
        <f t="shared" si="47"/>
        <v>0</v>
      </c>
    </row>
    <row r="130" spans="1:19">
      <c r="A130" s="652"/>
      <c r="B130" s="648"/>
      <c r="C130" s="75">
        <f t="shared" si="38"/>
        <v>1</v>
      </c>
      <c r="D130" s="649"/>
      <c r="E130" s="75">
        <f t="shared" si="39"/>
        <v>0</v>
      </c>
      <c r="F130" s="649"/>
      <c r="G130" s="75">
        <f t="shared" si="40"/>
        <v>1</v>
      </c>
      <c r="H130" s="649"/>
      <c r="I130" s="75">
        <f t="shared" si="41"/>
        <v>1</v>
      </c>
      <c r="J130" s="649"/>
      <c r="K130" s="75">
        <f t="shared" si="42"/>
        <v>0</v>
      </c>
      <c r="L130" s="649"/>
      <c r="M130" s="75">
        <f t="shared" si="43"/>
        <v>1</v>
      </c>
      <c r="N130" s="649"/>
      <c r="O130" s="75">
        <f t="shared" si="44"/>
        <v>1</v>
      </c>
      <c r="P130" s="649"/>
      <c r="Q130" s="75">
        <f t="shared" si="45"/>
        <v>0</v>
      </c>
      <c r="R130" s="75">
        <f t="shared" si="46"/>
        <v>0</v>
      </c>
      <c r="S130" s="49">
        <f t="shared" si="47"/>
        <v>0</v>
      </c>
    </row>
    <row r="131" spans="1:19">
      <c r="A131" s="652"/>
      <c r="B131" s="648"/>
      <c r="C131" s="75">
        <f t="shared" si="38"/>
        <v>1</v>
      </c>
      <c r="D131" s="649"/>
      <c r="E131" s="75">
        <f t="shared" si="39"/>
        <v>0</v>
      </c>
      <c r="F131" s="649"/>
      <c r="G131" s="75">
        <f t="shared" si="40"/>
        <v>1</v>
      </c>
      <c r="H131" s="649"/>
      <c r="I131" s="75">
        <f t="shared" si="41"/>
        <v>1</v>
      </c>
      <c r="J131" s="649"/>
      <c r="K131" s="75">
        <f t="shared" si="42"/>
        <v>0</v>
      </c>
      <c r="L131" s="649"/>
      <c r="M131" s="75">
        <f t="shared" si="43"/>
        <v>1</v>
      </c>
      <c r="N131" s="649"/>
      <c r="O131" s="75">
        <f t="shared" si="44"/>
        <v>1</v>
      </c>
      <c r="P131" s="649"/>
      <c r="Q131" s="75">
        <f t="shared" si="45"/>
        <v>0</v>
      </c>
      <c r="R131" s="75">
        <f t="shared" si="46"/>
        <v>0</v>
      </c>
      <c r="S131" s="49">
        <f t="shared" si="47"/>
        <v>0</v>
      </c>
    </row>
    <row r="132" spans="1:19">
      <c r="A132" s="652"/>
      <c r="B132" s="648"/>
      <c r="C132" s="75">
        <f t="shared" si="38"/>
        <v>1</v>
      </c>
      <c r="D132" s="649"/>
      <c r="E132" s="75">
        <f t="shared" si="39"/>
        <v>0</v>
      </c>
      <c r="F132" s="649"/>
      <c r="G132" s="75">
        <f t="shared" si="40"/>
        <v>1</v>
      </c>
      <c r="H132" s="649"/>
      <c r="I132" s="75">
        <f t="shared" si="41"/>
        <v>1</v>
      </c>
      <c r="J132" s="649"/>
      <c r="K132" s="75">
        <f t="shared" si="42"/>
        <v>0</v>
      </c>
      <c r="L132" s="649"/>
      <c r="M132" s="75">
        <f t="shared" si="43"/>
        <v>1</v>
      </c>
      <c r="N132" s="649"/>
      <c r="O132" s="75">
        <f t="shared" si="44"/>
        <v>1</v>
      </c>
      <c r="P132" s="649"/>
      <c r="Q132" s="75">
        <f t="shared" si="45"/>
        <v>0</v>
      </c>
      <c r="R132" s="75">
        <f t="shared" si="46"/>
        <v>0</v>
      </c>
      <c r="S132" s="49">
        <f t="shared" si="47"/>
        <v>0</v>
      </c>
    </row>
    <row r="133" spans="1:19">
      <c r="A133" s="652"/>
      <c r="B133" s="648"/>
      <c r="C133" s="75">
        <f t="shared" si="38"/>
        <v>1</v>
      </c>
      <c r="D133" s="649"/>
      <c r="E133" s="75">
        <f t="shared" si="39"/>
        <v>0</v>
      </c>
      <c r="F133" s="649"/>
      <c r="G133" s="75">
        <f t="shared" si="40"/>
        <v>1</v>
      </c>
      <c r="H133" s="649"/>
      <c r="I133" s="75">
        <f t="shared" si="41"/>
        <v>1</v>
      </c>
      <c r="J133" s="649"/>
      <c r="K133" s="75">
        <f t="shared" si="42"/>
        <v>0</v>
      </c>
      <c r="L133" s="649"/>
      <c r="M133" s="75">
        <f t="shared" si="43"/>
        <v>1</v>
      </c>
      <c r="N133" s="649"/>
      <c r="O133" s="75">
        <f t="shared" si="44"/>
        <v>1</v>
      </c>
      <c r="P133" s="649"/>
      <c r="Q133" s="75">
        <f t="shared" si="45"/>
        <v>0</v>
      </c>
      <c r="R133" s="75">
        <f t="shared" si="46"/>
        <v>0</v>
      </c>
      <c r="S133" s="49">
        <f t="shared" si="47"/>
        <v>0</v>
      </c>
    </row>
    <row r="134" spans="1:19">
      <c r="A134" s="652"/>
      <c r="B134" s="648"/>
      <c r="C134" s="75">
        <f t="shared" si="38"/>
        <v>1</v>
      </c>
      <c r="D134" s="649"/>
      <c r="E134" s="75">
        <f t="shared" si="39"/>
        <v>0</v>
      </c>
      <c r="F134" s="649"/>
      <c r="G134" s="75">
        <f t="shared" si="40"/>
        <v>1</v>
      </c>
      <c r="H134" s="649"/>
      <c r="I134" s="75">
        <f t="shared" si="41"/>
        <v>1</v>
      </c>
      <c r="J134" s="649"/>
      <c r="K134" s="75">
        <f t="shared" si="42"/>
        <v>0</v>
      </c>
      <c r="L134" s="649"/>
      <c r="M134" s="75">
        <f t="shared" si="43"/>
        <v>1</v>
      </c>
      <c r="N134" s="649"/>
      <c r="O134" s="75">
        <f t="shared" si="44"/>
        <v>1</v>
      </c>
      <c r="P134" s="649"/>
      <c r="Q134" s="75">
        <f t="shared" si="45"/>
        <v>0</v>
      </c>
      <c r="R134" s="75">
        <f t="shared" si="46"/>
        <v>0</v>
      </c>
      <c r="S134" s="49">
        <f t="shared" si="47"/>
        <v>0</v>
      </c>
    </row>
    <row r="135" spans="1:19">
      <c r="A135" s="652"/>
      <c r="B135" s="648"/>
      <c r="C135" s="75">
        <f t="shared" si="38"/>
        <v>1</v>
      </c>
      <c r="D135" s="649"/>
      <c r="E135" s="75">
        <f t="shared" si="39"/>
        <v>0</v>
      </c>
      <c r="F135" s="649"/>
      <c r="G135" s="75">
        <f t="shared" si="40"/>
        <v>1</v>
      </c>
      <c r="H135" s="649"/>
      <c r="I135" s="75">
        <f t="shared" si="41"/>
        <v>1</v>
      </c>
      <c r="J135" s="649"/>
      <c r="K135" s="75">
        <f t="shared" si="42"/>
        <v>0</v>
      </c>
      <c r="L135" s="649"/>
      <c r="M135" s="75">
        <f t="shared" si="43"/>
        <v>1</v>
      </c>
      <c r="N135" s="649"/>
      <c r="O135" s="75">
        <f t="shared" si="44"/>
        <v>1</v>
      </c>
      <c r="P135" s="649"/>
      <c r="Q135" s="75">
        <f t="shared" si="45"/>
        <v>0</v>
      </c>
      <c r="R135" s="75">
        <f t="shared" si="46"/>
        <v>0</v>
      </c>
      <c r="S135" s="49">
        <f t="shared" si="47"/>
        <v>0</v>
      </c>
    </row>
    <row r="136" spans="1:19">
      <c r="A136" s="652"/>
      <c r="B136" s="648"/>
      <c r="C136" s="75">
        <f t="shared" si="38"/>
        <v>1</v>
      </c>
      <c r="D136" s="649"/>
      <c r="E136" s="75">
        <f t="shared" si="39"/>
        <v>0</v>
      </c>
      <c r="F136" s="649"/>
      <c r="G136" s="75">
        <f t="shared" si="40"/>
        <v>1</v>
      </c>
      <c r="H136" s="649"/>
      <c r="I136" s="75">
        <f t="shared" si="41"/>
        <v>1</v>
      </c>
      <c r="J136" s="649"/>
      <c r="K136" s="75">
        <f t="shared" si="42"/>
        <v>0</v>
      </c>
      <c r="L136" s="649"/>
      <c r="M136" s="75">
        <f t="shared" si="43"/>
        <v>1</v>
      </c>
      <c r="N136" s="649"/>
      <c r="O136" s="75">
        <f t="shared" si="44"/>
        <v>1</v>
      </c>
      <c r="P136" s="649"/>
      <c r="Q136" s="75">
        <f t="shared" si="45"/>
        <v>0</v>
      </c>
      <c r="R136" s="75">
        <f t="shared" si="46"/>
        <v>0</v>
      </c>
      <c r="S136" s="49">
        <f t="shared" si="47"/>
        <v>0</v>
      </c>
    </row>
    <row r="137" spans="1:19">
      <c r="A137" s="652"/>
      <c r="B137" s="648"/>
      <c r="C137" s="75">
        <f t="shared" si="38"/>
        <v>1</v>
      </c>
      <c r="D137" s="649"/>
      <c r="E137" s="75">
        <f t="shared" si="39"/>
        <v>0</v>
      </c>
      <c r="F137" s="649"/>
      <c r="G137" s="75">
        <f t="shared" si="40"/>
        <v>1</v>
      </c>
      <c r="H137" s="649"/>
      <c r="I137" s="75">
        <f t="shared" si="41"/>
        <v>1</v>
      </c>
      <c r="J137" s="649"/>
      <c r="K137" s="75">
        <f t="shared" si="42"/>
        <v>0</v>
      </c>
      <c r="L137" s="649"/>
      <c r="M137" s="75">
        <f t="shared" si="43"/>
        <v>1</v>
      </c>
      <c r="N137" s="649"/>
      <c r="O137" s="75">
        <f t="shared" si="44"/>
        <v>1</v>
      </c>
      <c r="P137" s="649"/>
      <c r="Q137" s="75">
        <f t="shared" si="45"/>
        <v>0</v>
      </c>
      <c r="R137" s="75">
        <f t="shared" si="46"/>
        <v>0</v>
      </c>
      <c r="S137" s="49">
        <f t="shared" si="47"/>
        <v>0</v>
      </c>
    </row>
    <row r="138" spans="1:19">
      <c r="A138" s="652"/>
      <c r="B138" s="648"/>
      <c r="C138" s="75">
        <f t="shared" si="38"/>
        <v>1</v>
      </c>
      <c r="D138" s="649"/>
      <c r="E138" s="75">
        <f t="shared" si="39"/>
        <v>0</v>
      </c>
      <c r="F138" s="649"/>
      <c r="G138" s="75">
        <f t="shared" si="40"/>
        <v>1</v>
      </c>
      <c r="H138" s="649"/>
      <c r="I138" s="75">
        <f t="shared" si="41"/>
        <v>1</v>
      </c>
      <c r="J138" s="649"/>
      <c r="K138" s="75">
        <f t="shared" si="42"/>
        <v>0</v>
      </c>
      <c r="L138" s="649"/>
      <c r="M138" s="75">
        <f t="shared" si="43"/>
        <v>1</v>
      </c>
      <c r="N138" s="649"/>
      <c r="O138" s="75">
        <f t="shared" si="44"/>
        <v>1</v>
      </c>
      <c r="P138" s="649"/>
      <c r="Q138" s="75">
        <f t="shared" si="45"/>
        <v>0</v>
      </c>
      <c r="R138" s="75">
        <f t="shared" si="46"/>
        <v>0</v>
      </c>
      <c r="S138" s="49">
        <f t="shared" si="47"/>
        <v>0</v>
      </c>
    </row>
    <row r="139" spans="1:19">
      <c r="A139" s="652"/>
      <c r="B139" s="648"/>
      <c r="C139" s="75">
        <f t="shared" si="38"/>
        <v>1</v>
      </c>
      <c r="D139" s="649"/>
      <c r="E139" s="75">
        <f t="shared" si="39"/>
        <v>0</v>
      </c>
      <c r="F139" s="649"/>
      <c r="G139" s="75">
        <f t="shared" si="40"/>
        <v>1</v>
      </c>
      <c r="H139" s="649"/>
      <c r="I139" s="75">
        <f t="shared" si="41"/>
        <v>1</v>
      </c>
      <c r="J139" s="649"/>
      <c r="K139" s="75">
        <f t="shared" si="42"/>
        <v>0</v>
      </c>
      <c r="L139" s="649"/>
      <c r="M139" s="75">
        <f t="shared" si="43"/>
        <v>1</v>
      </c>
      <c r="N139" s="649"/>
      <c r="O139" s="75">
        <f t="shared" si="44"/>
        <v>1</v>
      </c>
      <c r="P139" s="649"/>
      <c r="Q139" s="75">
        <f t="shared" si="45"/>
        <v>0</v>
      </c>
      <c r="R139" s="75">
        <f t="shared" si="46"/>
        <v>0</v>
      </c>
      <c r="S139" s="49">
        <f t="shared" si="47"/>
        <v>0</v>
      </c>
    </row>
    <row r="140" spans="1:19">
      <c r="A140" s="652"/>
      <c r="B140" s="648"/>
      <c r="C140" s="75">
        <f t="shared" si="38"/>
        <v>1</v>
      </c>
      <c r="D140" s="649"/>
      <c r="E140" s="75">
        <f t="shared" si="39"/>
        <v>0</v>
      </c>
      <c r="F140" s="649"/>
      <c r="G140" s="75">
        <f t="shared" si="40"/>
        <v>1</v>
      </c>
      <c r="H140" s="649"/>
      <c r="I140" s="75">
        <f t="shared" si="41"/>
        <v>1</v>
      </c>
      <c r="J140" s="649"/>
      <c r="K140" s="75">
        <f t="shared" si="42"/>
        <v>0</v>
      </c>
      <c r="L140" s="649"/>
      <c r="M140" s="75">
        <f t="shared" si="43"/>
        <v>1</v>
      </c>
      <c r="N140" s="649"/>
      <c r="O140" s="75">
        <f t="shared" si="44"/>
        <v>1</v>
      </c>
      <c r="P140" s="649"/>
      <c r="Q140" s="75">
        <f t="shared" si="45"/>
        <v>0</v>
      </c>
      <c r="R140" s="75">
        <f t="shared" si="46"/>
        <v>0</v>
      </c>
      <c r="S140" s="49">
        <f t="shared" si="47"/>
        <v>0</v>
      </c>
    </row>
    <row r="141" spans="1:19">
      <c r="A141" s="652"/>
      <c r="B141" s="648"/>
      <c r="C141" s="75">
        <f t="shared" si="38"/>
        <v>1</v>
      </c>
      <c r="D141" s="649"/>
      <c r="E141" s="75">
        <f t="shared" si="39"/>
        <v>0</v>
      </c>
      <c r="F141" s="649"/>
      <c r="G141" s="75">
        <f t="shared" si="40"/>
        <v>1</v>
      </c>
      <c r="H141" s="649"/>
      <c r="I141" s="75">
        <f t="shared" si="41"/>
        <v>1</v>
      </c>
      <c r="J141" s="649"/>
      <c r="K141" s="75">
        <f t="shared" si="42"/>
        <v>0</v>
      </c>
      <c r="L141" s="649"/>
      <c r="M141" s="75">
        <f t="shared" si="43"/>
        <v>1</v>
      </c>
      <c r="N141" s="649"/>
      <c r="O141" s="75">
        <f t="shared" si="44"/>
        <v>1</v>
      </c>
      <c r="P141" s="649"/>
      <c r="Q141" s="75">
        <f t="shared" si="45"/>
        <v>0</v>
      </c>
      <c r="R141" s="75">
        <f t="shared" si="46"/>
        <v>0</v>
      </c>
      <c r="S141" s="49">
        <f t="shared" si="47"/>
        <v>0</v>
      </c>
    </row>
    <row r="142" spans="1:19">
      <c r="A142" s="652"/>
      <c r="B142" s="648"/>
      <c r="C142" s="75">
        <f t="shared" si="38"/>
        <v>1</v>
      </c>
      <c r="D142" s="649"/>
      <c r="E142" s="75">
        <f t="shared" si="39"/>
        <v>0</v>
      </c>
      <c r="F142" s="649"/>
      <c r="G142" s="75">
        <f t="shared" si="40"/>
        <v>1</v>
      </c>
      <c r="H142" s="649"/>
      <c r="I142" s="75">
        <f t="shared" si="41"/>
        <v>1</v>
      </c>
      <c r="J142" s="649"/>
      <c r="K142" s="75">
        <f t="shared" si="42"/>
        <v>0</v>
      </c>
      <c r="L142" s="649"/>
      <c r="M142" s="75">
        <f t="shared" si="43"/>
        <v>1</v>
      </c>
      <c r="N142" s="649"/>
      <c r="O142" s="75">
        <f t="shared" si="44"/>
        <v>1</v>
      </c>
      <c r="P142" s="649"/>
      <c r="Q142" s="75">
        <f t="shared" si="45"/>
        <v>0</v>
      </c>
      <c r="R142" s="75">
        <f t="shared" si="46"/>
        <v>0</v>
      </c>
      <c r="S142" s="49">
        <f t="shared" si="47"/>
        <v>0</v>
      </c>
    </row>
    <row r="143" spans="1:19">
      <c r="A143" s="652"/>
      <c r="B143" s="648"/>
      <c r="C143" s="75">
        <f t="shared" si="38"/>
        <v>1</v>
      </c>
      <c r="D143" s="649"/>
      <c r="E143" s="75">
        <f t="shared" si="39"/>
        <v>0</v>
      </c>
      <c r="F143" s="649"/>
      <c r="G143" s="75">
        <f t="shared" si="40"/>
        <v>1</v>
      </c>
      <c r="H143" s="649"/>
      <c r="I143" s="75">
        <f t="shared" si="41"/>
        <v>1</v>
      </c>
      <c r="J143" s="649"/>
      <c r="K143" s="75">
        <f t="shared" si="42"/>
        <v>0</v>
      </c>
      <c r="L143" s="649"/>
      <c r="M143" s="75">
        <f t="shared" si="43"/>
        <v>1</v>
      </c>
      <c r="N143" s="649"/>
      <c r="O143" s="75">
        <f t="shared" si="44"/>
        <v>1</v>
      </c>
      <c r="P143" s="649"/>
      <c r="Q143" s="75">
        <f t="shared" si="45"/>
        <v>0</v>
      </c>
      <c r="R143" s="75">
        <f t="shared" si="46"/>
        <v>0</v>
      </c>
      <c r="S143" s="49">
        <f t="shared" si="47"/>
        <v>0</v>
      </c>
    </row>
    <row r="144" spans="1:19">
      <c r="A144" s="652"/>
      <c r="B144" s="648"/>
      <c r="C144" s="75">
        <f t="shared" si="38"/>
        <v>1</v>
      </c>
      <c r="D144" s="649"/>
      <c r="E144" s="75">
        <f t="shared" si="39"/>
        <v>0</v>
      </c>
      <c r="F144" s="649"/>
      <c r="G144" s="75">
        <f t="shared" si="40"/>
        <v>1</v>
      </c>
      <c r="H144" s="649"/>
      <c r="I144" s="75">
        <f t="shared" si="41"/>
        <v>1</v>
      </c>
      <c r="J144" s="649"/>
      <c r="K144" s="75">
        <f t="shared" si="42"/>
        <v>0</v>
      </c>
      <c r="L144" s="649"/>
      <c r="M144" s="75">
        <f t="shared" si="43"/>
        <v>1</v>
      </c>
      <c r="N144" s="649"/>
      <c r="O144" s="75">
        <f t="shared" si="44"/>
        <v>1</v>
      </c>
      <c r="P144" s="649"/>
      <c r="Q144" s="75">
        <f t="shared" si="45"/>
        <v>0</v>
      </c>
      <c r="R144" s="75">
        <f t="shared" si="46"/>
        <v>0</v>
      </c>
      <c r="S144" s="49">
        <f t="shared" si="47"/>
        <v>0</v>
      </c>
    </row>
    <row r="145" spans="1:19">
      <c r="A145" s="652"/>
      <c r="B145" s="648"/>
      <c r="C145" s="75">
        <f t="shared" si="38"/>
        <v>1</v>
      </c>
      <c r="D145" s="649"/>
      <c r="E145" s="75">
        <f t="shared" si="39"/>
        <v>0</v>
      </c>
      <c r="F145" s="649"/>
      <c r="G145" s="75">
        <f t="shared" si="40"/>
        <v>1</v>
      </c>
      <c r="H145" s="649"/>
      <c r="I145" s="75">
        <f t="shared" si="41"/>
        <v>1</v>
      </c>
      <c r="J145" s="649"/>
      <c r="K145" s="75">
        <f t="shared" si="42"/>
        <v>0</v>
      </c>
      <c r="L145" s="649"/>
      <c r="M145" s="75">
        <f t="shared" si="43"/>
        <v>1</v>
      </c>
      <c r="N145" s="649"/>
      <c r="O145" s="75">
        <f t="shared" si="44"/>
        <v>1</v>
      </c>
      <c r="P145" s="649"/>
      <c r="Q145" s="75">
        <f t="shared" si="45"/>
        <v>0</v>
      </c>
      <c r="R145" s="75">
        <f t="shared" si="46"/>
        <v>0</v>
      </c>
      <c r="S145" s="49">
        <f t="shared" si="47"/>
        <v>0</v>
      </c>
    </row>
    <row r="146" spans="1:19">
      <c r="A146" s="652"/>
      <c r="B146" s="648"/>
      <c r="C146" s="75">
        <f t="shared" si="38"/>
        <v>1</v>
      </c>
      <c r="D146" s="649"/>
      <c r="E146" s="75">
        <f t="shared" si="39"/>
        <v>0</v>
      </c>
      <c r="F146" s="649"/>
      <c r="G146" s="75">
        <f t="shared" si="40"/>
        <v>1</v>
      </c>
      <c r="H146" s="649"/>
      <c r="I146" s="75">
        <f t="shared" si="41"/>
        <v>1</v>
      </c>
      <c r="J146" s="649"/>
      <c r="K146" s="75">
        <f t="shared" si="42"/>
        <v>0</v>
      </c>
      <c r="L146" s="649"/>
      <c r="M146" s="75">
        <f t="shared" si="43"/>
        <v>1</v>
      </c>
      <c r="N146" s="649"/>
      <c r="O146" s="75">
        <f t="shared" si="44"/>
        <v>1</v>
      </c>
      <c r="P146" s="649"/>
      <c r="Q146" s="75">
        <f t="shared" si="45"/>
        <v>0</v>
      </c>
      <c r="R146" s="75">
        <f t="shared" si="46"/>
        <v>0</v>
      </c>
      <c r="S146" s="49">
        <f t="shared" si="47"/>
        <v>0</v>
      </c>
    </row>
    <row r="147" spans="1:19">
      <c r="A147" s="652"/>
      <c r="B147" s="648"/>
      <c r="C147" s="75">
        <f t="shared" si="38"/>
        <v>1</v>
      </c>
      <c r="D147" s="649"/>
      <c r="E147" s="75">
        <f t="shared" si="39"/>
        <v>0</v>
      </c>
      <c r="F147" s="649"/>
      <c r="G147" s="75">
        <f t="shared" si="40"/>
        <v>1</v>
      </c>
      <c r="H147" s="649"/>
      <c r="I147" s="75">
        <f t="shared" si="41"/>
        <v>1</v>
      </c>
      <c r="J147" s="649"/>
      <c r="K147" s="75">
        <f t="shared" si="42"/>
        <v>0</v>
      </c>
      <c r="L147" s="649"/>
      <c r="M147" s="75">
        <f t="shared" si="43"/>
        <v>1</v>
      </c>
      <c r="N147" s="649"/>
      <c r="O147" s="75">
        <f t="shared" si="44"/>
        <v>1</v>
      </c>
      <c r="P147" s="649"/>
      <c r="Q147" s="75">
        <f t="shared" si="45"/>
        <v>0</v>
      </c>
      <c r="R147" s="75">
        <f t="shared" si="46"/>
        <v>0</v>
      </c>
      <c r="S147" s="49">
        <f t="shared" si="47"/>
        <v>0</v>
      </c>
    </row>
    <row r="148" spans="1:19">
      <c r="A148" s="652"/>
      <c r="B148" s="648"/>
      <c r="C148" s="75">
        <f t="shared" si="38"/>
        <v>1</v>
      </c>
      <c r="D148" s="649"/>
      <c r="E148" s="75">
        <f t="shared" si="39"/>
        <v>0</v>
      </c>
      <c r="F148" s="649"/>
      <c r="G148" s="75">
        <f t="shared" si="40"/>
        <v>1</v>
      </c>
      <c r="H148" s="649"/>
      <c r="I148" s="75">
        <f t="shared" si="41"/>
        <v>1</v>
      </c>
      <c r="J148" s="649"/>
      <c r="K148" s="75">
        <f t="shared" si="42"/>
        <v>0</v>
      </c>
      <c r="L148" s="649"/>
      <c r="M148" s="75">
        <f t="shared" si="43"/>
        <v>1</v>
      </c>
      <c r="N148" s="649"/>
      <c r="O148" s="75">
        <f t="shared" si="44"/>
        <v>1</v>
      </c>
      <c r="P148" s="649"/>
      <c r="Q148" s="75">
        <f t="shared" si="45"/>
        <v>0</v>
      </c>
      <c r="R148" s="75">
        <f t="shared" si="46"/>
        <v>0</v>
      </c>
      <c r="S148" s="49">
        <f t="shared" si="47"/>
        <v>0</v>
      </c>
    </row>
    <row r="149" spans="1:19">
      <c r="A149" s="652"/>
      <c r="B149" s="648"/>
      <c r="C149" s="75">
        <f t="shared" si="38"/>
        <v>1</v>
      </c>
      <c r="D149" s="649"/>
      <c r="E149" s="75">
        <f t="shared" si="39"/>
        <v>0</v>
      </c>
      <c r="F149" s="649"/>
      <c r="G149" s="75">
        <f t="shared" si="40"/>
        <v>1</v>
      </c>
      <c r="H149" s="649"/>
      <c r="I149" s="75">
        <f t="shared" si="41"/>
        <v>1</v>
      </c>
      <c r="J149" s="649"/>
      <c r="K149" s="75">
        <f t="shared" si="42"/>
        <v>0</v>
      </c>
      <c r="L149" s="649"/>
      <c r="M149" s="75">
        <f t="shared" si="43"/>
        <v>1</v>
      </c>
      <c r="N149" s="649"/>
      <c r="O149" s="75">
        <f t="shared" si="44"/>
        <v>1</v>
      </c>
      <c r="P149" s="649"/>
      <c r="Q149" s="75">
        <f t="shared" si="45"/>
        <v>0</v>
      </c>
      <c r="R149" s="75">
        <f t="shared" si="46"/>
        <v>0</v>
      </c>
      <c r="S149" s="49">
        <f t="shared" si="47"/>
        <v>0</v>
      </c>
    </row>
    <row r="150" spans="1:19">
      <c r="A150" s="652"/>
      <c r="B150" s="648"/>
      <c r="C150" s="75">
        <f t="shared" si="38"/>
        <v>1</v>
      </c>
      <c r="D150" s="649"/>
      <c r="E150" s="75">
        <f t="shared" si="39"/>
        <v>0</v>
      </c>
      <c r="F150" s="649"/>
      <c r="G150" s="75">
        <f t="shared" si="40"/>
        <v>1</v>
      </c>
      <c r="H150" s="649"/>
      <c r="I150" s="75">
        <f t="shared" si="41"/>
        <v>1</v>
      </c>
      <c r="J150" s="649"/>
      <c r="K150" s="75">
        <f t="shared" si="42"/>
        <v>0</v>
      </c>
      <c r="L150" s="649"/>
      <c r="M150" s="75">
        <f t="shared" si="43"/>
        <v>1</v>
      </c>
      <c r="N150" s="649"/>
      <c r="O150" s="75">
        <f t="shared" si="44"/>
        <v>1</v>
      </c>
      <c r="P150" s="649"/>
      <c r="Q150" s="75">
        <f t="shared" si="45"/>
        <v>0</v>
      </c>
      <c r="R150" s="75">
        <f t="shared" si="46"/>
        <v>0</v>
      </c>
      <c r="S150" s="49">
        <f t="shared" si="47"/>
        <v>0</v>
      </c>
    </row>
    <row r="151" spans="1:19">
      <c r="A151" s="652"/>
      <c r="B151" s="648"/>
      <c r="C151" s="75">
        <f t="shared" si="38"/>
        <v>1</v>
      </c>
      <c r="D151" s="649"/>
      <c r="E151" s="75">
        <f t="shared" si="39"/>
        <v>0</v>
      </c>
      <c r="F151" s="649"/>
      <c r="G151" s="75">
        <f t="shared" si="40"/>
        <v>1</v>
      </c>
      <c r="H151" s="649"/>
      <c r="I151" s="75">
        <f t="shared" si="41"/>
        <v>1</v>
      </c>
      <c r="J151" s="649"/>
      <c r="K151" s="75">
        <f t="shared" si="42"/>
        <v>0</v>
      </c>
      <c r="L151" s="649"/>
      <c r="M151" s="75">
        <f t="shared" si="43"/>
        <v>1</v>
      </c>
      <c r="N151" s="649"/>
      <c r="O151" s="75">
        <f t="shared" si="44"/>
        <v>1</v>
      </c>
      <c r="P151" s="649"/>
      <c r="Q151" s="75">
        <f t="shared" si="45"/>
        <v>0</v>
      </c>
      <c r="R151" s="75">
        <f t="shared" si="46"/>
        <v>0</v>
      </c>
      <c r="S151" s="49">
        <f t="shared" si="47"/>
        <v>0</v>
      </c>
    </row>
    <row r="152" spans="1:19">
      <c r="A152" s="652"/>
      <c r="B152" s="648"/>
      <c r="C152" s="75">
        <f t="shared" si="38"/>
        <v>1</v>
      </c>
      <c r="D152" s="649"/>
      <c r="E152" s="75">
        <f t="shared" si="39"/>
        <v>0</v>
      </c>
      <c r="F152" s="649"/>
      <c r="G152" s="75">
        <f t="shared" si="40"/>
        <v>1</v>
      </c>
      <c r="H152" s="649"/>
      <c r="I152" s="75">
        <f t="shared" si="41"/>
        <v>1</v>
      </c>
      <c r="J152" s="649"/>
      <c r="K152" s="75">
        <f t="shared" si="42"/>
        <v>0</v>
      </c>
      <c r="L152" s="649"/>
      <c r="M152" s="75">
        <f t="shared" si="43"/>
        <v>1</v>
      </c>
      <c r="N152" s="649"/>
      <c r="O152" s="75">
        <f t="shared" si="44"/>
        <v>1</v>
      </c>
      <c r="P152" s="649"/>
      <c r="Q152" s="75">
        <f t="shared" si="45"/>
        <v>0</v>
      </c>
      <c r="R152" s="75">
        <f t="shared" si="46"/>
        <v>0</v>
      </c>
      <c r="S152" s="49">
        <f t="shared" si="47"/>
        <v>0</v>
      </c>
    </row>
    <row r="153" spans="1:19">
      <c r="A153" s="652"/>
      <c r="B153" s="648"/>
      <c r="C153" s="75">
        <f t="shared" si="38"/>
        <v>1</v>
      </c>
      <c r="D153" s="649"/>
      <c r="E153" s="75">
        <f t="shared" si="39"/>
        <v>0</v>
      </c>
      <c r="F153" s="649"/>
      <c r="G153" s="75">
        <f t="shared" si="40"/>
        <v>1</v>
      </c>
      <c r="H153" s="649"/>
      <c r="I153" s="75">
        <f t="shared" si="41"/>
        <v>1</v>
      </c>
      <c r="J153" s="649"/>
      <c r="K153" s="75">
        <f t="shared" si="42"/>
        <v>0</v>
      </c>
      <c r="L153" s="649"/>
      <c r="M153" s="75">
        <f t="shared" si="43"/>
        <v>1</v>
      </c>
      <c r="N153" s="649"/>
      <c r="O153" s="75">
        <f t="shared" si="44"/>
        <v>1</v>
      </c>
      <c r="P153" s="649"/>
      <c r="Q153" s="75">
        <f t="shared" si="45"/>
        <v>0</v>
      </c>
      <c r="R153" s="75">
        <f t="shared" si="46"/>
        <v>0</v>
      </c>
      <c r="S153" s="49">
        <f t="shared" si="47"/>
        <v>0</v>
      </c>
    </row>
    <row r="154" spans="1:19">
      <c r="A154" s="652"/>
      <c r="B154" s="648"/>
      <c r="C154" s="75">
        <f t="shared" ref="C154:C217" si="48">IF(B154="",1,(LOOKUP(B154,$3:$3,$4:$4)-LOOKUP($B$24,$3:$3,$4:$4)+100)/100)</f>
        <v>1</v>
      </c>
      <c r="D154" s="649"/>
      <c r="E154" s="75">
        <f t="shared" ref="E154:E217" si="49">(SUMIF($5:$5,D154,$6:$6)-SUMIF($5:$5,$D$24,$6:$6)+100)/100</f>
        <v>0</v>
      </c>
      <c r="F154" s="649"/>
      <c r="G154" s="75">
        <f t="shared" ref="G154:G217" si="50">(SUMIF($7:$7,F154,$8:$8)-SUMIF($7:$7,$F$24,$8:$8)+100)/100</f>
        <v>1</v>
      </c>
      <c r="H154" s="649"/>
      <c r="I154" s="75">
        <f t="shared" ref="I154:I217" si="51">(SUMIF($9:$9,H154,$10:$10)-SUMIF($9:$9,$H$24,$10:$10)+100)/100</f>
        <v>1</v>
      </c>
      <c r="J154" s="649"/>
      <c r="K154" s="75">
        <f t="shared" ref="K154:K217" si="52">(SUMIF($11:$11,J154,$12:$12)-SUMIF($11:$11,$J$24,$12:$12)+100)/100</f>
        <v>0</v>
      </c>
      <c r="L154" s="649"/>
      <c r="M154" s="75">
        <f t="shared" ref="M154:M217" si="53">(SUMIF($13:$13,L154,$14:$14)-SUMIF($13:$13,$L$24,$14:$14)+100)/100</f>
        <v>1</v>
      </c>
      <c r="N154" s="649"/>
      <c r="O154" s="75">
        <f t="shared" ref="O154:O217" si="54">(SUMIF($15:$15,N154,$16:$16)-SUMIF($15:$15,$N$24,$16:$16)+100)/100</f>
        <v>1</v>
      </c>
      <c r="P154" s="649"/>
      <c r="Q154" s="75">
        <f t="shared" ref="Q154:Q217" si="55">(SUMIF($17:$17,P154,$18:$18)-SUMIF($17:$17,$P$24,$18:$18)+100)/100</f>
        <v>0</v>
      </c>
      <c r="R154" s="75">
        <f t="shared" ref="R154:R217" si="56">IF(B154="",0,ROUND($R$24*C154*E154*G154*I154*K154*M154*O154*Q154,0))</f>
        <v>0</v>
      </c>
      <c r="S154" s="49">
        <f t="shared" si="47"/>
        <v>0</v>
      </c>
    </row>
    <row r="155" spans="1:19">
      <c r="A155" s="652"/>
      <c r="B155" s="648"/>
      <c r="C155" s="75">
        <f t="shared" si="48"/>
        <v>1</v>
      </c>
      <c r="D155" s="649"/>
      <c r="E155" s="75">
        <f t="shared" si="49"/>
        <v>0</v>
      </c>
      <c r="F155" s="649"/>
      <c r="G155" s="75">
        <f t="shared" si="50"/>
        <v>1</v>
      </c>
      <c r="H155" s="649"/>
      <c r="I155" s="75">
        <f t="shared" si="51"/>
        <v>1</v>
      </c>
      <c r="J155" s="649"/>
      <c r="K155" s="75">
        <f t="shared" si="52"/>
        <v>0</v>
      </c>
      <c r="L155" s="649"/>
      <c r="M155" s="75">
        <f t="shared" si="53"/>
        <v>1</v>
      </c>
      <c r="N155" s="649"/>
      <c r="O155" s="75">
        <f t="shared" si="54"/>
        <v>1</v>
      </c>
      <c r="P155" s="649"/>
      <c r="Q155" s="75">
        <f t="shared" si="55"/>
        <v>0</v>
      </c>
      <c r="R155" s="75">
        <f t="shared" si="56"/>
        <v>0</v>
      </c>
      <c r="S155" s="49">
        <f t="shared" si="47"/>
        <v>0</v>
      </c>
    </row>
    <row r="156" spans="1:19">
      <c r="A156" s="652"/>
      <c r="B156" s="648"/>
      <c r="C156" s="75">
        <f t="shared" si="48"/>
        <v>1</v>
      </c>
      <c r="D156" s="649"/>
      <c r="E156" s="75">
        <f t="shared" si="49"/>
        <v>0</v>
      </c>
      <c r="F156" s="649"/>
      <c r="G156" s="75">
        <f t="shared" si="50"/>
        <v>1</v>
      </c>
      <c r="H156" s="649"/>
      <c r="I156" s="75">
        <f t="shared" si="51"/>
        <v>1</v>
      </c>
      <c r="J156" s="649"/>
      <c r="K156" s="75">
        <f t="shared" si="52"/>
        <v>0</v>
      </c>
      <c r="L156" s="649"/>
      <c r="M156" s="75">
        <f t="shared" si="53"/>
        <v>1</v>
      </c>
      <c r="N156" s="649"/>
      <c r="O156" s="75">
        <f t="shared" si="54"/>
        <v>1</v>
      </c>
      <c r="P156" s="649"/>
      <c r="Q156" s="75">
        <f t="shared" si="55"/>
        <v>0</v>
      </c>
      <c r="R156" s="75">
        <f t="shared" si="56"/>
        <v>0</v>
      </c>
      <c r="S156" s="49">
        <f t="shared" si="47"/>
        <v>0</v>
      </c>
    </row>
    <row r="157" spans="1:19">
      <c r="A157" s="652"/>
      <c r="B157" s="648"/>
      <c r="C157" s="75">
        <f t="shared" si="48"/>
        <v>1</v>
      </c>
      <c r="D157" s="649"/>
      <c r="E157" s="75">
        <f t="shared" si="49"/>
        <v>0</v>
      </c>
      <c r="F157" s="649"/>
      <c r="G157" s="75">
        <f t="shared" si="50"/>
        <v>1</v>
      </c>
      <c r="H157" s="649"/>
      <c r="I157" s="75">
        <f t="shared" si="51"/>
        <v>1</v>
      </c>
      <c r="J157" s="649"/>
      <c r="K157" s="75">
        <f t="shared" si="52"/>
        <v>0</v>
      </c>
      <c r="L157" s="649"/>
      <c r="M157" s="75">
        <f t="shared" si="53"/>
        <v>1</v>
      </c>
      <c r="N157" s="649"/>
      <c r="O157" s="75">
        <f t="shared" si="54"/>
        <v>1</v>
      </c>
      <c r="P157" s="649"/>
      <c r="Q157" s="75">
        <f t="shared" si="55"/>
        <v>0</v>
      </c>
      <c r="R157" s="75">
        <f t="shared" si="56"/>
        <v>0</v>
      </c>
      <c r="S157" s="49">
        <f t="shared" si="47"/>
        <v>0</v>
      </c>
    </row>
    <row r="158" spans="1:19">
      <c r="A158" s="652"/>
      <c r="B158" s="648"/>
      <c r="C158" s="75">
        <f t="shared" si="48"/>
        <v>1</v>
      </c>
      <c r="D158" s="649"/>
      <c r="E158" s="75">
        <f t="shared" si="49"/>
        <v>0</v>
      </c>
      <c r="F158" s="649"/>
      <c r="G158" s="75">
        <f t="shared" si="50"/>
        <v>1</v>
      </c>
      <c r="H158" s="649"/>
      <c r="I158" s="75">
        <f t="shared" si="51"/>
        <v>1</v>
      </c>
      <c r="J158" s="649"/>
      <c r="K158" s="75">
        <f t="shared" si="52"/>
        <v>0</v>
      </c>
      <c r="L158" s="649"/>
      <c r="M158" s="75">
        <f t="shared" si="53"/>
        <v>1</v>
      </c>
      <c r="N158" s="649"/>
      <c r="O158" s="75">
        <f t="shared" si="54"/>
        <v>1</v>
      </c>
      <c r="P158" s="649"/>
      <c r="Q158" s="75">
        <f t="shared" si="55"/>
        <v>0</v>
      </c>
      <c r="R158" s="75">
        <f t="shared" si="56"/>
        <v>0</v>
      </c>
      <c r="S158" s="49">
        <f t="shared" si="47"/>
        <v>0</v>
      </c>
    </row>
    <row r="159" spans="1:19">
      <c r="A159" s="652"/>
      <c r="B159" s="648"/>
      <c r="C159" s="75">
        <f t="shared" si="48"/>
        <v>1</v>
      </c>
      <c r="D159" s="649"/>
      <c r="E159" s="75">
        <f t="shared" si="49"/>
        <v>0</v>
      </c>
      <c r="F159" s="649"/>
      <c r="G159" s="75">
        <f t="shared" si="50"/>
        <v>1</v>
      </c>
      <c r="H159" s="649"/>
      <c r="I159" s="75">
        <f t="shared" si="51"/>
        <v>1</v>
      </c>
      <c r="J159" s="649"/>
      <c r="K159" s="75">
        <f t="shared" si="52"/>
        <v>0</v>
      </c>
      <c r="L159" s="649"/>
      <c r="M159" s="75">
        <f t="shared" si="53"/>
        <v>1</v>
      </c>
      <c r="N159" s="649"/>
      <c r="O159" s="75">
        <f t="shared" si="54"/>
        <v>1</v>
      </c>
      <c r="P159" s="649"/>
      <c r="Q159" s="75">
        <f t="shared" si="55"/>
        <v>0</v>
      </c>
      <c r="R159" s="75">
        <f t="shared" si="56"/>
        <v>0</v>
      </c>
      <c r="S159" s="49">
        <f t="shared" si="47"/>
        <v>0</v>
      </c>
    </row>
    <row r="160" spans="1:19">
      <c r="A160" s="652"/>
      <c r="B160" s="648"/>
      <c r="C160" s="75">
        <f t="shared" si="48"/>
        <v>1</v>
      </c>
      <c r="D160" s="649"/>
      <c r="E160" s="75">
        <f t="shared" si="49"/>
        <v>0</v>
      </c>
      <c r="F160" s="649"/>
      <c r="G160" s="75">
        <f t="shared" si="50"/>
        <v>1</v>
      </c>
      <c r="H160" s="649"/>
      <c r="I160" s="75">
        <f t="shared" si="51"/>
        <v>1</v>
      </c>
      <c r="J160" s="649"/>
      <c r="K160" s="75">
        <f t="shared" si="52"/>
        <v>0</v>
      </c>
      <c r="L160" s="649"/>
      <c r="M160" s="75">
        <f t="shared" si="53"/>
        <v>1</v>
      </c>
      <c r="N160" s="649"/>
      <c r="O160" s="75">
        <f t="shared" si="54"/>
        <v>1</v>
      </c>
      <c r="P160" s="649"/>
      <c r="Q160" s="75">
        <f t="shared" si="55"/>
        <v>0</v>
      </c>
      <c r="R160" s="75">
        <f t="shared" si="56"/>
        <v>0</v>
      </c>
      <c r="S160" s="49">
        <f t="shared" si="47"/>
        <v>0</v>
      </c>
    </row>
    <row r="161" spans="1:19">
      <c r="A161" s="652"/>
      <c r="B161" s="648"/>
      <c r="C161" s="75">
        <f t="shared" si="48"/>
        <v>1</v>
      </c>
      <c r="D161" s="649"/>
      <c r="E161" s="75">
        <f t="shared" si="49"/>
        <v>0</v>
      </c>
      <c r="F161" s="649"/>
      <c r="G161" s="75">
        <f t="shared" si="50"/>
        <v>1</v>
      </c>
      <c r="H161" s="649"/>
      <c r="I161" s="75">
        <f t="shared" si="51"/>
        <v>1</v>
      </c>
      <c r="J161" s="649"/>
      <c r="K161" s="75">
        <f t="shared" si="52"/>
        <v>0</v>
      </c>
      <c r="L161" s="649"/>
      <c r="M161" s="75">
        <f t="shared" si="53"/>
        <v>1</v>
      </c>
      <c r="N161" s="649"/>
      <c r="O161" s="75">
        <f t="shared" si="54"/>
        <v>1</v>
      </c>
      <c r="P161" s="649"/>
      <c r="Q161" s="75">
        <f t="shared" si="55"/>
        <v>0</v>
      </c>
      <c r="R161" s="75">
        <f t="shared" si="56"/>
        <v>0</v>
      </c>
      <c r="S161" s="49">
        <f t="shared" si="47"/>
        <v>0</v>
      </c>
    </row>
    <row r="162" spans="1:19">
      <c r="A162" s="652"/>
      <c r="B162" s="648"/>
      <c r="C162" s="75">
        <f t="shared" si="48"/>
        <v>1</v>
      </c>
      <c r="D162" s="649"/>
      <c r="E162" s="75">
        <f t="shared" si="49"/>
        <v>0</v>
      </c>
      <c r="F162" s="649"/>
      <c r="G162" s="75">
        <f t="shared" si="50"/>
        <v>1</v>
      </c>
      <c r="H162" s="649"/>
      <c r="I162" s="75">
        <f t="shared" si="51"/>
        <v>1</v>
      </c>
      <c r="J162" s="649"/>
      <c r="K162" s="75">
        <f t="shared" si="52"/>
        <v>0</v>
      </c>
      <c r="L162" s="649"/>
      <c r="M162" s="75">
        <f t="shared" si="53"/>
        <v>1</v>
      </c>
      <c r="N162" s="649"/>
      <c r="O162" s="75">
        <f t="shared" si="54"/>
        <v>1</v>
      </c>
      <c r="P162" s="649"/>
      <c r="Q162" s="75">
        <f t="shared" si="55"/>
        <v>0</v>
      </c>
      <c r="R162" s="75">
        <f t="shared" si="56"/>
        <v>0</v>
      </c>
      <c r="S162" s="49">
        <f t="shared" si="47"/>
        <v>0</v>
      </c>
    </row>
    <row r="163" spans="1:19">
      <c r="A163" s="652"/>
      <c r="B163" s="648"/>
      <c r="C163" s="75">
        <f t="shared" si="48"/>
        <v>1</v>
      </c>
      <c r="D163" s="649"/>
      <c r="E163" s="75">
        <f t="shared" si="49"/>
        <v>0</v>
      </c>
      <c r="F163" s="649"/>
      <c r="G163" s="75">
        <f t="shared" si="50"/>
        <v>1</v>
      </c>
      <c r="H163" s="649"/>
      <c r="I163" s="75">
        <f t="shared" si="51"/>
        <v>1</v>
      </c>
      <c r="J163" s="649"/>
      <c r="K163" s="75">
        <f t="shared" si="52"/>
        <v>0</v>
      </c>
      <c r="L163" s="649"/>
      <c r="M163" s="75">
        <f t="shared" si="53"/>
        <v>1</v>
      </c>
      <c r="N163" s="649"/>
      <c r="O163" s="75">
        <f t="shared" si="54"/>
        <v>1</v>
      </c>
      <c r="P163" s="649"/>
      <c r="Q163" s="75">
        <f t="shared" si="55"/>
        <v>0</v>
      </c>
      <c r="R163" s="75">
        <f t="shared" si="56"/>
        <v>0</v>
      </c>
      <c r="S163" s="49">
        <f t="shared" si="47"/>
        <v>0</v>
      </c>
    </row>
    <row r="164" spans="1:19">
      <c r="A164" s="652"/>
      <c r="B164" s="648"/>
      <c r="C164" s="75">
        <f t="shared" si="48"/>
        <v>1</v>
      </c>
      <c r="D164" s="649"/>
      <c r="E164" s="75">
        <f t="shared" si="49"/>
        <v>0</v>
      </c>
      <c r="F164" s="649"/>
      <c r="G164" s="75">
        <f t="shared" si="50"/>
        <v>1</v>
      </c>
      <c r="H164" s="649"/>
      <c r="I164" s="75">
        <f t="shared" si="51"/>
        <v>1</v>
      </c>
      <c r="J164" s="649"/>
      <c r="K164" s="75">
        <f t="shared" si="52"/>
        <v>0</v>
      </c>
      <c r="L164" s="649"/>
      <c r="M164" s="75">
        <f t="shared" si="53"/>
        <v>1</v>
      </c>
      <c r="N164" s="649"/>
      <c r="O164" s="75">
        <f t="shared" si="54"/>
        <v>1</v>
      </c>
      <c r="P164" s="649"/>
      <c r="Q164" s="75">
        <f t="shared" si="55"/>
        <v>0</v>
      </c>
      <c r="R164" s="75">
        <f t="shared" si="56"/>
        <v>0</v>
      </c>
      <c r="S164" s="49">
        <f t="shared" si="47"/>
        <v>0</v>
      </c>
    </row>
    <row r="165" spans="1:19">
      <c r="A165" s="652"/>
      <c r="B165" s="648"/>
      <c r="C165" s="75">
        <f t="shared" si="48"/>
        <v>1</v>
      </c>
      <c r="D165" s="649"/>
      <c r="E165" s="75">
        <f t="shared" si="49"/>
        <v>0</v>
      </c>
      <c r="F165" s="649"/>
      <c r="G165" s="75">
        <f t="shared" si="50"/>
        <v>1</v>
      </c>
      <c r="H165" s="649"/>
      <c r="I165" s="75">
        <f t="shared" si="51"/>
        <v>1</v>
      </c>
      <c r="J165" s="649"/>
      <c r="K165" s="75">
        <f t="shared" si="52"/>
        <v>0</v>
      </c>
      <c r="L165" s="649"/>
      <c r="M165" s="75">
        <f t="shared" si="53"/>
        <v>1</v>
      </c>
      <c r="N165" s="649"/>
      <c r="O165" s="75">
        <f t="shared" si="54"/>
        <v>1</v>
      </c>
      <c r="P165" s="649"/>
      <c r="Q165" s="75">
        <f t="shared" si="55"/>
        <v>0</v>
      </c>
      <c r="R165" s="75">
        <f t="shared" si="56"/>
        <v>0</v>
      </c>
      <c r="S165" s="49">
        <f t="shared" si="47"/>
        <v>0</v>
      </c>
    </row>
    <row r="166" spans="1:19">
      <c r="A166" s="652"/>
      <c r="B166" s="648"/>
      <c r="C166" s="75">
        <f t="shared" si="48"/>
        <v>1</v>
      </c>
      <c r="D166" s="649"/>
      <c r="E166" s="75">
        <f t="shared" si="49"/>
        <v>0</v>
      </c>
      <c r="F166" s="649"/>
      <c r="G166" s="75">
        <f t="shared" si="50"/>
        <v>1</v>
      </c>
      <c r="H166" s="649"/>
      <c r="I166" s="75">
        <f t="shared" si="51"/>
        <v>1</v>
      </c>
      <c r="J166" s="649"/>
      <c r="K166" s="75">
        <f t="shared" si="52"/>
        <v>0</v>
      </c>
      <c r="L166" s="649"/>
      <c r="M166" s="75">
        <f t="shared" si="53"/>
        <v>1</v>
      </c>
      <c r="N166" s="649"/>
      <c r="O166" s="75">
        <f t="shared" si="54"/>
        <v>1</v>
      </c>
      <c r="P166" s="649"/>
      <c r="Q166" s="75">
        <f t="shared" si="55"/>
        <v>0</v>
      </c>
      <c r="R166" s="75">
        <f t="shared" si="56"/>
        <v>0</v>
      </c>
      <c r="S166" s="49">
        <f t="shared" si="47"/>
        <v>0</v>
      </c>
    </row>
    <row r="167" spans="1:19">
      <c r="A167" s="652"/>
      <c r="B167" s="648"/>
      <c r="C167" s="75">
        <f t="shared" si="48"/>
        <v>1</v>
      </c>
      <c r="D167" s="649"/>
      <c r="E167" s="75">
        <f t="shared" si="49"/>
        <v>0</v>
      </c>
      <c r="F167" s="649"/>
      <c r="G167" s="75">
        <f t="shared" si="50"/>
        <v>1</v>
      </c>
      <c r="H167" s="649"/>
      <c r="I167" s="75">
        <f t="shared" si="51"/>
        <v>1</v>
      </c>
      <c r="J167" s="649"/>
      <c r="K167" s="75">
        <f t="shared" si="52"/>
        <v>0</v>
      </c>
      <c r="L167" s="649"/>
      <c r="M167" s="75">
        <f t="shared" si="53"/>
        <v>1</v>
      </c>
      <c r="N167" s="649"/>
      <c r="O167" s="75">
        <f t="shared" si="54"/>
        <v>1</v>
      </c>
      <c r="P167" s="649"/>
      <c r="Q167" s="75">
        <f t="shared" si="55"/>
        <v>0</v>
      </c>
      <c r="R167" s="75">
        <f t="shared" si="56"/>
        <v>0</v>
      </c>
      <c r="S167" s="49">
        <f t="shared" si="47"/>
        <v>0</v>
      </c>
    </row>
    <row r="168" spans="1:19">
      <c r="A168" s="652"/>
      <c r="B168" s="648"/>
      <c r="C168" s="75">
        <f t="shared" si="48"/>
        <v>1</v>
      </c>
      <c r="D168" s="649"/>
      <c r="E168" s="75">
        <f t="shared" si="49"/>
        <v>0</v>
      </c>
      <c r="F168" s="649"/>
      <c r="G168" s="75">
        <f t="shared" si="50"/>
        <v>1</v>
      </c>
      <c r="H168" s="649"/>
      <c r="I168" s="75">
        <f t="shared" si="51"/>
        <v>1</v>
      </c>
      <c r="J168" s="649"/>
      <c r="K168" s="75">
        <f t="shared" si="52"/>
        <v>0</v>
      </c>
      <c r="L168" s="649"/>
      <c r="M168" s="75">
        <f t="shared" si="53"/>
        <v>1</v>
      </c>
      <c r="N168" s="649"/>
      <c r="O168" s="75">
        <f t="shared" si="54"/>
        <v>1</v>
      </c>
      <c r="P168" s="649"/>
      <c r="Q168" s="75">
        <f t="shared" si="55"/>
        <v>0</v>
      </c>
      <c r="R168" s="75">
        <f t="shared" si="56"/>
        <v>0</v>
      </c>
      <c r="S168" s="49">
        <f t="shared" si="47"/>
        <v>0</v>
      </c>
    </row>
    <row r="169" spans="1:19">
      <c r="A169" s="652"/>
      <c r="B169" s="648"/>
      <c r="C169" s="75">
        <f t="shared" si="48"/>
        <v>1</v>
      </c>
      <c r="D169" s="649"/>
      <c r="E169" s="75">
        <f t="shared" si="49"/>
        <v>0</v>
      </c>
      <c r="F169" s="649"/>
      <c r="G169" s="75">
        <f t="shared" si="50"/>
        <v>1</v>
      </c>
      <c r="H169" s="649"/>
      <c r="I169" s="75">
        <f t="shared" si="51"/>
        <v>1</v>
      </c>
      <c r="J169" s="649"/>
      <c r="K169" s="75">
        <f t="shared" si="52"/>
        <v>0</v>
      </c>
      <c r="L169" s="649"/>
      <c r="M169" s="75">
        <f t="shared" si="53"/>
        <v>1</v>
      </c>
      <c r="N169" s="649"/>
      <c r="O169" s="75">
        <f t="shared" si="54"/>
        <v>1</v>
      </c>
      <c r="P169" s="649"/>
      <c r="Q169" s="75">
        <f t="shared" si="55"/>
        <v>0</v>
      </c>
      <c r="R169" s="75">
        <f t="shared" si="56"/>
        <v>0</v>
      </c>
      <c r="S169" s="49">
        <f t="shared" si="47"/>
        <v>0</v>
      </c>
    </row>
    <row r="170" spans="1:19">
      <c r="A170" s="652"/>
      <c r="B170" s="648"/>
      <c r="C170" s="75">
        <f t="shared" si="48"/>
        <v>1</v>
      </c>
      <c r="D170" s="649"/>
      <c r="E170" s="75">
        <f t="shared" si="49"/>
        <v>0</v>
      </c>
      <c r="F170" s="649"/>
      <c r="G170" s="75">
        <f t="shared" si="50"/>
        <v>1</v>
      </c>
      <c r="H170" s="649"/>
      <c r="I170" s="75">
        <f t="shared" si="51"/>
        <v>1</v>
      </c>
      <c r="J170" s="649"/>
      <c r="K170" s="75">
        <f t="shared" si="52"/>
        <v>0</v>
      </c>
      <c r="L170" s="649"/>
      <c r="M170" s="75">
        <f t="shared" si="53"/>
        <v>1</v>
      </c>
      <c r="N170" s="649"/>
      <c r="O170" s="75">
        <f t="shared" si="54"/>
        <v>1</v>
      </c>
      <c r="P170" s="649"/>
      <c r="Q170" s="75">
        <f t="shared" si="55"/>
        <v>0</v>
      </c>
      <c r="R170" s="75">
        <f t="shared" si="56"/>
        <v>0</v>
      </c>
      <c r="S170" s="49">
        <f t="shared" si="47"/>
        <v>0</v>
      </c>
    </row>
    <row r="171" spans="1:19">
      <c r="A171" s="652"/>
      <c r="B171" s="648"/>
      <c r="C171" s="75">
        <f t="shared" si="48"/>
        <v>1</v>
      </c>
      <c r="D171" s="649"/>
      <c r="E171" s="75">
        <f t="shared" si="49"/>
        <v>0</v>
      </c>
      <c r="F171" s="649"/>
      <c r="G171" s="75">
        <f t="shared" si="50"/>
        <v>1</v>
      </c>
      <c r="H171" s="649"/>
      <c r="I171" s="75">
        <f t="shared" si="51"/>
        <v>1</v>
      </c>
      <c r="J171" s="649"/>
      <c r="K171" s="75">
        <f t="shared" si="52"/>
        <v>0</v>
      </c>
      <c r="L171" s="649"/>
      <c r="M171" s="75">
        <f t="shared" si="53"/>
        <v>1</v>
      </c>
      <c r="N171" s="649"/>
      <c r="O171" s="75">
        <f t="shared" si="54"/>
        <v>1</v>
      </c>
      <c r="P171" s="649"/>
      <c r="Q171" s="75">
        <f t="shared" si="55"/>
        <v>0</v>
      </c>
      <c r="R171" s="75">
        <f t="shared" si="56"/>
        <v>0</v>
      </c>
      <c r="S171" s="49">
        <f t="shared" si="47"/>
        <v>0</v>
      </c>
    </row>
    <row r="172" spans="1:19">
      <c r="A172" s="652"/>
      <c r="B172" s="648"/>
      <c r="C172" s="75">
        <f t="shared" si="48"/>
        <v>1</v>
      </c>
      <c r="D172" s="649"/>
      <c r="E172" s="75">
        <f t="shared" si="49"/>
        <v>0</v>
      </c>
      <c r="F172" s="649"/>
      <c r="G172" s="75">
        <f t="shared" si="50"/>
        <v>1</v>
      </c>
      <c r="H172" s="649"/>
      <c r="I172" s="75">
        <f t="shared" si="51"/>
        <v>1</v>
      </c>
      <c r="J172" s="649"/>
      <c r="K172" s="75">
        <f t="shared" si="52"/>
        <v>0</v>
      </c>
      <c r="L172" s="649"/>
      <c r="M172" s="75">
        <f t="shared" si="53"/>
        <v>1</v>
      </c>
      <c r="N172" s="649"/>
      <c r="O172" s="75">
        <f t="shared" si="54"/>
        <v>1</v>
      </c>
      <c r="P172" s="649"/>
      <c r="Q172" s="75">
        <f t="shared" si="55"/>
        <v>0</v>
      </c>
      <c r="R172" s="75">
        <f t="shared" si="56"/>
        <v>0</v>
      </c>
      <c r="S172" s="49">
        <f t="shared" si="47"/>
        <v>0</v>
      </c>
    </row>
    <row r="173" spans="1:19">
      <c r="A173" s="652"/>
      <c r="B173" s="648"/>
      <c r="C173" s="75">
        <f t="shared" si="48"/>
        <v>1</v>
      </c>
      <c r="D173" s="649"/>
      <c r="E173" s="75">
        <f t="shared" si="49"/>
        <v>0</v>
      </c>
      <c r="F173" s="649"/>
      <c r="G173" s="75">
        <f t="shared" si="50"/>
        <v>1</v>
      </c>
      <c r="H173" s="649"/>
      <c r="I173" s="75">
        <f t="shared" si="51"/>
        <v>1</v>
      </c>
      <c r="J173" s="649"/>
      <c r="K173" s="75">
        <f t="shared" si="52"/>
        <v>0</v>
      </c>
      <c r="L173" s="649"/>
      <c r="M173" s="75">
        <f t="shared" si="53"/>
        <v>1</v>
      </c>
      <c r="N173" s="649"/>
      <c r="O173" s="75">
        <f t="shared" si="54"/>
        <v>1</v>
      </c>
      <c r="P173" s="649"/>
      <c r="Q173" s="75">
        <f t="shared" si="55"/>
        <v>0</v>
      </c>
      <c r="R173" s="75">
        <f t="shared" si="56"/>
        <v>0</v>
      </c>
      <c r="S173" s="49">
        <f t="shared" si="47"/>
        <v>0</v>
      </c>
    </row>
    <row r="174" spans="1:19">
      <c r="A174" s="652"/>
      <c r="B174" s="648"/>
      <c r="C174" s="75">
        <f t="shared" si="48"/>
        <v>1</v>
      </c>
      <c r="D174" s="649"/>
      <c r="E174" s="75">
        <f t="shared" si="49"/>
        <v>0</v>
      </c>
      <c r="F174" s="649"/>
      <c r="G174" s="75">
        <f t="shared" si="50"/>
        <v>1</v>
      </c>
      <c r="H174" s="649"/>
      <c r="I174" s="75">
        <f t="shared" si="51"/>
        <v>1</v>
      </c>
      <c r="J174" s="649"/>
      <c r="K174" s="75">
        <f t="shared" si="52"/>
        <v>0</v>
      </c>
      <c r="L174" s="649"/>
      <c r="M174" s="75">
        <f t="shared" si="53"/>
        <v>1</v>
      </c>
      <c r="N174" s="649"/>
      <c r="O174" s="75">
        <f t="shared" si="54"/>
        <v>1</v>
      </c>
      <c r="P174" s="649"/>
      <c r="Q174" s="75">
        <f t="shared" si="55"/>
        <v>0</v>
      </c>
      <c r="R174" s="75">
        <f t="shared" si="56"/>
        <v>0</v>
      </c>
      <c r="S174" s="49">
        <f t="shared" si="47"/>
        <v>0</v>
      </c>
    </row>
    <row r="175" spans="1:19">
      <c r="A175" s="652"/>
      <c r="B175" s="648"/>
      <c r="C175" s="75">
        <f t="shared" si="48"/>
        <v>1</v>
      </c>
      <c r="D175" s="649"/>
      <c r="E175" s="75">
        <f t="shared" si="49"/>
        <v>0</v>
      </c>
      <c r="F175" s="649"/>
      <c r="G175" s="75">
        <f t="shared" si="50"/>
        <v>1</v>
      </c>
      <c r="H175" s="649"/>
      <c r="I175" s="75">
        <f t="shared" si="51"/>
        <v>1</v>
      </c>
      <c r="J175" s="649"/>
      <c r="K175" s="75">
        <f t="shared" si="52"/>
        <v>0</v>
      </c>
      <c r="L175" s="649"/>
      <c r="M175" s="75">
        <f t="shared" si="53"/>
        <v>1</v>
      </c>
      <c r="N175" s="649"/>
      <c r="O175" s="75">
        <f t="shared" si="54"/>
        <v>1</v>
      </c>
      <c r="P175" s="649"/>
      <c r="Q175" s="75">
        <f t="shared" si="55"/>
        <v>0</v>
      </c>
      <c r="R175" s="75">
        <f t="shared" si="56"/>
        <v>0</v>
      </c>
      <c r="S175" s="49">
        <f t="shared" si="47"/>
        <v>0</v>
      </c>
    </row>
    <row r="176" spans="1:19">
      <c r="A176" s="652"/>
      <c r="B176" s="648"/>
      <c r="C176" s="75">
        <f t="shared" si="48"/>
        <v>1</v>
      </c>
      <c r="D176" s="649"/>
      <c r="E176" s="75">
        <f t="shared" si="49"/>
        <v>0</v>
      </c>
      <c r="F176" s="649"/>
      <c r="G176" s="75">
        <f t="shared" si="50"/>
        <v>1</v>
      </c>
      <c r="H176" s="649"/>
      <c r="I176" s="75">
        <f t="shared" si="51"/>
        <v>1</v>
      </c>
      <c r="J176" s="649"/>
      <c r="K176" s="75">
        <f t="shared" si="52"/>
        <v>0</v>
      </c>
      <c r="L176" s="649"/>
      <c r="M176" s="75">
        <f t="shared" si="53"/>
        <v>1</v>
      </c>
      <c r="N176" s="649"/>
      <c r="O176" s="75">
        <f t="shared" si="54"/>
        <v>1</v>
      </c>
      <c r="P176" s="649"/>
      <c r="Q176" s="75">
        <f t="shared" si="55"/>
        <v>0</v>
      </c>
      <c r="R176" s="75">
        <f t="shared" si="56"/>
        <v>0</v>
      </c>
      <c r="S176" s="49">
        <f t="shared" si="47"/>
        <v>0</v>
      </c>
    </row>
    <row r="177" spans="1:19">
      <c r="A177" s="652"/>
      <c r="B177" s="648"/>
      <c r="C177" s="75">
        <f t="shared" si="48"/>
        <v>1</v>
      </c>
      <c r="D177" s="649"/>
      <c r="E177" s="75">
        <f t="shared" si="49"/>
        <v>0</v>
      </c>
      <c r="F177" s="649"/>
      <c r="G177" s="75">
        <f t="shared" si="50"/>
        <v>1</v>
      </c>
      <c r="H177" s="649"/>
      <c r="I177" s="75">
        <f t="shared" si="51"/>
        <v>1</v>
      </c>
      <c r="J177" s="649"/>
      <c r="K177" s="75">
        <f t="shared" si="52"/>
        <v>0</v>
      </c>
      <c r="L177" s="649"/>
      <c r="M177" s="75">
        <f t="shared" si="53"/>
        <v>1</v>
      </c>
      <c r="N177" s="649"/>
      <c r="O177" s="75">
        <f t="shared" si="54"/>
        <v>1</v>
      </c>
      <c r="P177" s="649"/>
      <c r="Q177" s="75">
        <f t="shared" si="55"/>
        <v>0</v>
      </c>
      <c r="R177" s="75">
        <f t="shared" si="56"/>
        <v>0</v>
      </c>
      <c r="S177" s="49">
        <f t="shared" si="47"/>
        <v>0</v>
      </c>
    </row>
    <row r="178" spans="1:19">
      <c r="A178" s="652"/>
      <c r="B178" s="648"/>
      <c r="C178" s="75">
        <f t="shared" si="48"/>
        <v>1</v>
      </c>
      <c r="D178" s="649"/>
      <c r="E178" s="75">
        <f t="shared" si="49"/>
        <v>0</v>
      </c>
      <c r="F178" s="649"/>
      <c r="G178" s="75">
        <f t="shared" si="50"/>
        <v>1</v>
      </c>
      <c r="H178" s="649"/>
      <c r="I178" s="75">
        <f t="shared" si="51"/>
        <v>1</v>
      </c>
      <c r="J178" s="649"/>
      <c r="K178" s="75">
        <f t="shared" si="52"/>
        <v>0</v>
      </c>
      <c r="L178" s="649"/>
      <c r="M178" s="75">
        <f t="shared" si="53"/>
        <v>1</v>
      </c>
      <c r="N178" s="649"/>
      <c r="O178" s="75">
        <f t="shared" si="54"/>
        <v>1</v>
      </c>
      <c r="P178" s="649"/>
      <c r="Q178" s="75">
        <f t="shared" si="55"/>
        <v>0</v>
      </c>
      <c r="R178" s="75">
        <f t="shared" si="56"/>
        <v>0</v>
      </c>
      <c r="S178" s="49">
        <f t="shared" si="47"/>
        <v>0</v>
      </c>
    </row>
    <row r="179" spans="1:19">
      <c r="A179" s="652"/>
      <c r="B179" s="648"/>
      <c r="C179" s="75">
        <f t="shared" si="48"/>
        <v>1</v>
      </c>
      <c r="D179" s="649"/>
      <c r="E179" s="75">
        <f t="shared" si="49"/>
        <v>0</v>
      </c>
      <c r="F179" s="649"/>
      <c r="G179" s="75">
        <f t="shared" si="50"/>
        <v>1</v>
      </c>
      <c r="H179" s="649"/>
      <c r="I179" s="75">
        <f t="shared" si="51"/>
        <v>1</v>
      </c>
      <c r="J179" s="649"/>
      <c r="K179" s="75">
        <f t="shared" si="52"/>
        <v>0</v>
      </c>
      <c r="L179" s="649"/>
      <c r="M179" s="75">
        <f t="shared" si="53"/>
        <v>1</v>
      </c>
      <c r="N179" s="649"/>
      <c r="O179" s="75">
        <f t="shared" si="54"/>
        <v>1</v>
      </c>
      <c r="P179" s="649"/>
      <c r="Q179" s="75">
        <f t="shared" si="55"/>
        <v>0</v>
      </c>
      <c r="R179" s="75">
        <f t="shared" si="56"/>
        <v>0</v>
      </c>
      <c r="S179" s="49">
        <f t="shared" si="47"/>
        <v>0</v>
      </c>
    </row>
    <row r="180" spans="1:19">
      <c r="A180" s="652"/>
      <c r="B180" s="648"/>
      <c r="C180" s="75">
        <f t="shared" si="48"/>
        <v>1</v>
      </c>
      <c r="D180" s="649"/>
      <c r="E180" s="75">
        <f t="shared" si="49"/>
        <v>0</v>
      </c>
      <c r="F180" s="649"/>
      <c r="G180" s="75">
        <f t="shared" si="50"/>
        <v>1</v>
      </c>
      <c r="H180" s="649"/>
      <c r="I180" s="75">
        <f t="shared" si="51"/>
        <v>1</v>
      </c>
      <c r="J180" s="649"/>
      <c r="K180" s="75">
        <f t="shared" si="52"/>
        <v>0</v>
      </c>
      <c r="L180" s="649"/>
      <c r="M180" s="75">
        <f t="shared" si="53"/>
        <v>1</v>
      </c>
      <c r="N180" s="649"/>
      <c r="O180" s="75">
        <f t="shared" si="54"/>
        <v>1</v>
      </c>
      <c r="P180" s="649"/>
      <c r="Q180" s="75">
        <f t="shared" si="55"/>
        <v>0</v>
      </c>
      <c r="R180" s="75">
        <f t="shared" si="56"/>
        <v>0</v>
      </c>
      <c r="S180" s="49">
        <f t="shared" si="47"/>
        <v>0</v>
      </c>
    </row>
    <row r="181" spans="1:19">
      <c r="A181" s="652"/>
      <c r="B181" s="648"/>
      <c r="C181" s="75">
        <f t="shared" si="48"/>
        <v>1</v>
      </c>
      <c r="D181" s="649"/>
      <c r="E181" s="75">
        <f t="shared" si="49"/>
        <v>0</v>
      </c>
      <c r="F181" s="649"/>
      <c r="G181" s="75">
        <f t="shared" si="50"/>
        <v>1</v>
      </c>
      <c r="H181" s="649"/>
      <c r="I181" s="75">
        <f t="shared" si="51"/>
        <v>1</v>
      </c>
      <c r="J181" s="649"/>
      <c r="K181" s="75">
        <f t="shared" si="52"/>
        <v>0</v>
      </c>
      <c r="L181" s="649"/>
      <c r="M181" s="75">
        <f t="shared" si="53"/>
        <v>1</v>
      </c>
      <c r="N181" s="649"/>
      <c r="O181" s="75">
        <f t="shared" si="54"/>
        <v>1</v>
      </c>
      <c r="P181" s="649"/>
      <c r="Q181" s="75">
        <f t="shared" si="55"/>
        <v>0</v>
      </c>
      <c r="R181" s="75">
        <f t="shared" si="56"/>
        <v>0</v>
      </c>
      <c r="S181" s="49">
        <f t="shared" si="47"/>
        <v>0</v>
      </c>
    </row>
    <row r="182" spans="1:19">
      <c r="A182" s="652"/>
      <c r="B182" s="648"/>
      <c r="C182" s="75">
        <f t="shared" si="48"/>
        <v>1</v>
      </c>
      <c r="D182" s="649"/>
      <c r="E182" s="75">
        <f t="shared" si="49"/>
        <v>0</v>
      </c>
      <c r="F182" s="649"/>
      <c r="G182" s="75">
        <f t="shared" si="50"/>
        <v>1</v>
      </c>
      <c r="H182" s="649"/>
      <c r="I182" s="75">
        <f t="shared" si="51"/>
        <v>1</v>
      </c>
      <c r="J182" s="649"/>
      <c r="K182" s="75">
        <f t="shared" si="52"/>
        <v>0</v>
      </c>
      <c r="L182" s="649"/>
      <c r="M182" s="75">
        <f t="shared" si="53"/>
        <v>1</v>
      </c>
      <c r="N182" s="649"/>
      <c r="O182" s="75">
        <f t="shared" si="54"/>
        <v>1</v>
      </c>
      <c r="P182" s="649"/>
      <c r="Q182" s="75">
        <f t="shared" si="55"/>
        <v>0</v>
      </c>
      <c r="R182" s="75">
        <f t="shared" si="56"/>
        <v>0</v>
      </c>
      <c r="S182" s="49">
        <f t="shared" si="47"/>
        <v>0</v>
      </c>
    </row>
    <row r="183" spans="1:19">
      <c r="A183" s="652"/>
      <c r="B183" s="648"/>
      <c r="C183" s="75">
        <f t="shared" si="48"/>
        <v>1</v>
      </c>
      <c r="D183" s="649"/>
      <c r="E183" s="75">
        <f t="shared" si="49"/>
        <v>0</v>
      </c>
      <c r="F183" s="649"/>
      <c r="G183" s="75">
        <f t="shared" si="50"/>
        <v>1</v>
      </c>
      <c r="H183" s="649"/>
      <c r="I183" s="75">
        <f t="shared" si="51"/>
        <v>1</v>
      </c>
      <c r="J183" s="649"/>
      <c r="K183" s="75">
        <f t="shared" si="52"/>
        <v>0</v>
      </c>
      <c r="L183" s="649"/>
      <c r="M183" s="75">
        <f t="shared" si="53"/>
        <v>1</v>
      </c>
      <c r="N183" s="649"/>
      <c r="O183" s="75">
        <f t="shared" si="54"/>
        <v>1</v>
      </c>
      <c r="P183" s="649"/>
      <c r="Q183" s="75">
        <f t="shared" si="55"/>
        <v>0</v>
      </c>
      <c r="R183" s="75">
        <f t="shared" si="56"/>
        <v>0</v>
      </c>
      <c r="S183" s="49">
        <f t="shared" si="47"/>
        <v>0</v>
      </c>
    </row>
    <row r="184" spans="1:19">
      <c r="A184" s="652"/>
      <c r="B184" s="648"/>
      <c r="C184" s="75">
        <f t="shared" si="48"/>
        <v>1</v>
      </c>
      <c r="D184" s="649"/>
      <c r="E184" s="75">
        <f t="shared" si="49"/>
        <v>0</v>
      </c>
      <c r="F184" s="649"/>
      <c r="G184" s="75">
        <f t="shared" si="50"/>
        <v>1</v>
      </c>
      <c r="H184" s="649"/>
      <c r="I184" s="75">
        <f t="shared" si="51"/>
        <v>1</v>
      </c>
      <c r="J184" s="649"/>
      <c r="K184" s="75">
        <f t="shared" si="52"/>
        <v>0</v>
      </c>
      <c r="L184" s="649"/>
      <c r="M184" s="75">
        <f t="shared" si="53"/>
        <v>1</v>
      </c>
      <c r="N184" s="649"/>
      <c r="O184" s="75">
        <f t="shared" si="54"/>
        <v>1</v>
      </c>
      <c r="P184" s="649"/>
      <c r="Q184" s="75">
        <f t="shared" si="55"/>
        <v>0</v>
      </c>
      <c r="R184" s="75">
        <f t="shared" si="56"/>
        <v>0</v>
      </c>
      <c r="S184" s="49">
        <f t="shared" si="47"/>
        <v>0</v>
      </c>
    </row>
    <row r="185" spans="1:19">
      <c r="A185" s="652"/>
      <c r="B185" s="648"/>
      <c r="C185" s="75">
        <f t="shared" si="48"/>
        <v>1</v>
      </c>
      <c r="D185" s="649"/>
      <c r="E185" s="75">
        <f t="shared" si="49"/>
        <v>0</v>
      </c>
      <c r="F185" s="649"/>
      <c r="G185" s="75">
        <f t="shared" si="50"/>
        <v>1</v>
      </c>
      <c r="H185" s="649"/>
      <c r="I185" s="75">
        <f t="shared" si="51"/>
        <v>1</v>
      </c>
      <c r="J185" s="649"/>
      <c r="K185" s="75">
        <f t="shared" si="52"/>
        <v>0</v>
      </c>
      <c r="L185" s="649"/>
      <c r="M185" s="75">
        <f t="shared" si="53"/>
        <v>1</v>
      </c>
      <c r="N185" s="649"/>
      <c r="O185" s="75">
        <f t="shared" si="54"/>
        <v>1</v>
      </c>
      <c r="P185" s="649"/>
      <c r="Q185" s="75">
        <f t="shared" si="55"/>
        <v>0</v>
      </c>
      <c r="R185" s="75">
        <f t="shared" si="56"/>
        <v>0</v>
      </c>
      <c r="S185" s="49">
        <f t="shared" si="47"/>
        <v>0</v>
      </c>
    </row>
    <row r="186" spans="1:19">
      <c r="A186" s="652"/>
      <c r="B186" s="648"/>
      <c r="C186" s="75">
        <f t="shared" si="48"/>
        <v>1</v>
      </c>
      <c r="D186" s="649"/>
      <c r="E186" s="75">
        <f t="shared" si="49"/>
        <v>0</v>
      </c>
      <c r="F186" s="649"/>
      <c r="G186" s="75">
        <f t="shared" si="50"/>
        <v>1</v>
      </c>
      <c r="H186" s="649"/>
      <c r="I186" s="75">
        <f t="shared" si="51"/>
        <v>1</v>
      </c>
      <c r="J186" s="649"/>
      <c r="K186" s="75">
        <f t="shared" si="52"/>
        <v>0</v>
      </c>
      <c r="L186" s="649"/>
      <c r="M186" s="75">
        <f t="shared" si="53"/>
        <v>1</v>
      </c>
      <c r="N186" s="649"/>
      <c r="O186" s="75">
        <f t="shared" si="54"/>
        <v>1</v>
      </c>
      <c r="P186" s="649"/>
      <c r="Q186" s="75">
        <f t="shared" si="55"/>
        <v>0</v>
      </c>
      <c r="R186" s="75">
        <f t="shared" si="56"/>
        <v>0</v>
      </c>
      <c r="S186" s="49">
        <f t="shared" si="47"/>
        <v>0</v>
      </c>
    </row>
    <row r="187" spans="1:19">
      <c r="A187" s="652"/>
      <c r="B187" s="648"/>
      <c r="C187" s="75">
        <f t="shared" si="48"/>
        <v>1</v>
      </c>
      <c r="D187" s="649"/>
      <c r="E187" s="75">
        <f t="shared" si="49"/>
        <v>0</v>
      </c>
      <c r="F187" s="649"/>
      <c r="G187" s="75">
        <f t="shared" si="50"/>
        <v>1</v>
      </c>
      <c r="H187" s="649"/>
      <c r="I187" s="75">
        <f t="shared" si="51"/>
        <v>1</v>
      </c>
      <c r="J187" s="649"/>
      <c r="K187" s="75">
        <f t="shared" si="52"/>
        <v>0</v>
      </c>
      <c r="L187" s="649"/>
      <c r="M187" s="75">
        <f t="shared" si="53"/>
        <v>1</v>
      </c>
      <c r="N187" s="649"/>
      <c r="O187" s="75">
        <f t="shared" si="54"/>
        <v>1</v>
      </c>
      <c r="P187" s="649"/>
      <c r="Q187" s="75">
        <f t="shared" si="55"/>
        <v>0</v>
      </c>
      <c r="R187" s="75">
        <f t="shared" si="56"/>
        <v>0</v>
      </c>
      <c r="S187" s="49">
        <f t="shared" ref="S187:S222" si="57">ROUND(R187*B187/10000,0)</f>
        <v>0</v>
      </c>
    </row>
    <row r="188" spans="1:19">
      <c r="A188" s="652"/>
      <c r="B188" s="648"/>
      <c r="C188" s="75">
        <f t="shared" si="48"/>
        <v>1</v>
      </c>
      <c r="D188" s="649"/>
      <c r="E188" s="75">
        <f t="shared" si="49"/>
        <v>0</v>
      </c>
      <c r="F188" s="649"/>
      <c r="G188" s="75">
        <f t="shared" si="50"/>
        <v>1</v>
      </c>
      <c r="H188" s="649"/>
      <c r="I188" s="75">
        <f t="shared" si="51"/>
        <v>1</v>
      </c>
      <c r="J188" s="649"/>
      <c r="K188" s="75">
        <f t="shared" si="52"/>
        <v>0</v>
      </c>
      <c r="L188" s="649"/>
      <c r="M188" s="75">
        <f t="shared" si="53"/>
        <v>1</v>
      </c>
      <c r="N188" s="649"/>
      <c r="O188" s="75">
        <f t="shared" si="54"/>
        <v>1</v>
      </c>
      <c r="P188" s="649"/>
      <c r="Q188" s="75">
        <f t="shared" si="55"/>
        <v>0</v>
      </c>
      <c r="R188" s="75">
        <f t="shared" si="56"/>
        <v>0</v>
      </c>
      <c r="S188" s="49">
        <f t="shared" si="57"/>
        <v>0</v>
      </c>
    </row>
    <row r="189" spans="1:19">
      <c r="A189" s="652"/>
      <c r="B189" s="648"/>
      <c r="C189" s="75">
        <f t="shared" si="48"/>
        <v>1</v>
      </c>
      <c r="D189" s="649"/>
      <c r="E189" s="75">
        <f t="shared" si="49"/>
        <v>0</v>
      </c>
      <c r="F189" s="649"/>
      <c r="G189" s="75">
        <f t="shared" si="50"/>
        <v>1</v>
      </c>
      <c r="H189" s="649"/>
      <c r="I189" s="75">
        <f t="shared" si="51"/>
        <v>1</v>
      </c>
      <c r="J189" s="649"/>
      <c r="K189" s="75">
        <f t="shared" si="52"/>
        <v>0</v>
      </c>
      <c r="L189" s="649"/>
      <c r="M189" s="75">
        <f t="shared" si="53"/>
        <v>1</v>
      </c>
      <c r="N189" s="649"/>
      <c r="O189" s="75">
        <f t="shared" si="54"/>
        <v>1</v>
      </c>
      <c r="P189" s="649"/>
      <c r="Q189" s="75">
        <f t="shared" si="55"/>
        <v>0</v>
      </c>
      <c r="R189" s="75">
        <f t="shared" si="56"/>
        <v>0</v>
      </c>
      <c r="S189" s="49">
        <f t="shared" si="57"/>
        <v>0</v>
      </c>
    </row>
    <row r="190" spans="1:19">
      <c r="A190" s="652"/>
      <c r="B190" s="648"/>
      <c r="C190" s="75">
        <f t="shared" si="48"/>
        <v>1</v>
      </c>
      <c r="D190" s="649"/>
      <c r="E190" s="75">
        <f t="shared" si="49"/>
        <v>0</v>
      </c>
      <c r="F190" s="649"/>
      <c r="G190" s="75">
        <f t="shared" si="50"/>
        <v>1</v>
      </c>
      <c r="H190" s="649"/>
      <c r="I190" s="75">
        <f t="shared" si="51"/>
        <v>1</v>
      </c>
      <c r="J190" s="649"/>
      <c r="K190" s="75">
        <f t="shared" si="52"/>
        <v>0</v>
      </c>
      <c r="L190" s="649"/>
      <c r="M190" s="75">
        <f t="shared" si="53"/>
        <v>1</v>
      </c>
      <c r="N190" s="649"/>
      <c r="O190" s="75">
        <f t="shared" si="54"/>
        <v>1</v>
      </c>
      <c r="P190" s="649"/>
      <c r="Q190" s="75">
        <f t="shared" si="55"/>
        <v>0</v>
      </c>
      <c r="R190" s="75">
        <f t="shared" si="56"/>
        <v>0</v>
      </c>
      <c r="S190" s="49">
        <f t="shared" si="57"/>
        <v>0</v>
      </c>
    </row>
    <row r="191" spans="1:19">
      <c r="A191" s="652"/>
      <c r="B191" s="648"/>
      <c r="C191" s="75">
        <f t="shared" si="48"/>
        <v>1</v>
      </c>
      <c r="D191" s="649"/>
      <c r="E191" s="75">
        <f t="shared" si="49"/>
        <v>0</v>
      </c>
      <c r="F191" s="649"/>
      <c r="G191" s="75">
        <f t="shared" si="50"/>
        <v>1</v>
      </c>
      <c r="H191" s="649"/>
      <c r="I191" s="75">
        <f t="shared" si="51"/>
        <v>1</v>
      </c>
      <c r="J191" s="649"/>
      <c r="K191" s="75">
        <f t="shared" si="52"/>
        <v>0</v>
      </c>
      <c r="L191" s="649"/>
      <c r="M191" s="75">
        <f t="shared" si="53"/>
        <v>1</v>
      </c>
      <c r="N191" s="649"/>
      <c r="O191" s="75">
        <f t="shared" si="54"/>
        <v>1</v>
      </c>
      <c r="P191" s="649"/>
      <c r="Q191" s="75">
        <f t="shared" si="55"/>
        <v>0</v>
      </c>
      <c r="R191" s="75">
        <f t="shared" si="56"/>
        <v>0</v>
      </c>
      <c r="S191" s="49">
        <f t="shared" si="57"/>
        <v>0</v>
      </c>
    </row>
    <row r="192" spans="1:19">
      <c r="A192" s="652"/>
      <c r="B192" s="648"/>
      <c r="C192" s="75">
        <f t="shared" si="48"/>
        <v>1</v>
      </c>
      <c r="D192" s="649"/>
      <c r="E192" s="75">
        <f t="shared" si="49"/>
        <v>0</v>
      </c>
      <c r="F192" s="649"/>
      <c r="G192" s="75">
        <f t="shared" si="50"/>
        <v>1</v>
      </c>
      <c r="H192" s="649"/>
      <c r="I192" s="75">
        <f t="shared" si="51"/>
        <v>1</v>
      </c>
      <c r="J192" s="649"/>
      <c r="K192" s="75">
        <f t="shared" si="52"/>
        <v>0</v>
      </c>
      <c r="L192" s="649"/>
      <c r="M192" s="75">
        <f t="shared" si="53"/>
        <v>1</v>
      </c>
      <c r="N192" s="649"/>
      <c r="O192" s="75">
        <f t="shared" si="54"/>
        <v>1</v>
      </c>
      <c r="P192" s="649"/>
      <c r="Q192" s="75">
        <f t="shared" si="55"/>
        <v>0</v>
      </c>
      <c r="R192" s="75">
        <f t="shared" si="56"/>
        <v>0</v>
      </c>
      <c r="S192" s="49">
        <f t="shared" si="57"/>
        <v>0</v>
      </c>
    </row>
    <row r="193" spans="1:19">
      <c r="A193" s="652"/>
      <c r="B193" s="648"/>
      <c r="C193" s="75">
        <f t="shared" si="48"/>
        <v>1</v>
      </c>
      <c r="D193" s="649"/>
      <c r="E193" s="75">
        <f t="shared" si="49"/>
        <v>0</v>
      </c>
      <c r="F193" s="649"/>
      <c r="G193" s="75">
        <f t="shared" si="50"/>
        <v>1</v>
      </c>
      <c r="H193" s="649"/>
      <c r="I193" s="75">
        <f t="shared" si="51"/>
        <v>1</v>
      </c>
      <c r="J193" s="649"/>
      <c r="K193" s="75">
        <f t="shared" si="52"/>
        <v>0</v>
      </c>
      <c r="L193" s="649"/>
      <c r="M193" s="75">
        <f t="shared" si="53"/>
        <v>1</v>
      </c>
      <c r="N193" s="649"/>
      <c r="O193" s="75">
        <f t="shared" si="54"/>
        <v>1</v>
      </c>
      <c r="P193" s="649"/>
      <c r="Q193" s="75">
        <f t="shared" si="55"/>
        <v>0</v>
      </c>
      <c r="R193" s="75">
        <f t="shared" si="56"/>
        <v>0</v>
      </c>
      <c r="S193" s="49">
        <f t="shared" si="57"/>
        <v>0</v>
      </c>
    </row>
    <row r="194" spans="1:19">
      <c r="A194" s="652"/>
      <c r="B194" s="648"/>
      <c r="C194" s="75">
        <f t="shared" si="48"/>
        <v>1</v>
      </c>
      <c r="D194" s="649"/>
      <c r="E194" s="75">
        <f t="shared" si="49"/>
        <v>0</v>
      </c>
      <c r="F194" s="649"/>
      <c r="G194" s="75">
        <f t="shared" si="50"/>
        <v>1</v>
      </c>
      <c r="H194" s="649"/>
      <c r="I194" s="75">
        <f t="shared" si="51"/>
        <v>1</v>
      </c>
      <c r="J194" s="649"/>
      <c r="K194" s="75">
        <f t="shared" si="52"/>
        <v>0</v>
      </c>
      <c r="L194" s="649"/>
      <c r="M194" s="75">
        <f t="shared" si="53"/>
        <v>1</v>
      </c>
      <c r="N194" s="649"/>
      <c r="O194" s="75">
        <f t="shared" si="54"/>
        <v>1</v>
      </c>
      <c r="P194" s="649"/>
      <c r="Q194" s="75">
        <f t="shared" si="55"/>
        <v>0</v>
      </c>
      <c r="R194" s="75">
        <f t="shared" si="56"/>
        <v>0</v>
      </c>
      <c r="S194" s="49">
        <f t="shared" si="57"/>
        <v>0</v>
      </c>
    </row>
    <row r="195" spans="1:19">
      <c r="A195" s="652"/>
      <c r="B195" s="648"/>
      <c r="C195" s="75">
        <f t="shared" si="48"/>
        <v>1</v>
      </c>
      <c r="D195" s="649"/>
      <c r="E195" s="75">
        <f t="shared" si="49"/>
        <v>0</v>
      </c>
      <c r="F195" s="649"/>
      <c r="G195" s="75">
        <f t="shared" si="50"/>
        <v>1</v>
      </c>
      <c r="H195" s="649"/>
      <c r="I195" s="75">
        <f t="shared" si="51"/>
        <v>1</v>
      </c>
      <c r="J195" s="649"/>
      <c r="K195" s="75">
        <f t="shared" si="52"/>
        <v>0</v>
      </c>
      <c r="L195" s="649"/>
      <c r="M195" s="75">
        <f t="shared" si="53"/>
        <v>1</v>
      </c>
      <c r="N195" s="649"/>
      <c r="O195" s="75">
        <f t="shared" si="54"/>
        <v>1</v>
      </c>
      <c r="P195" s="649"/>
      <c r="Q195" s="75">
        <f t="shared" si="55"/>
        <v>0</v>
      </c>
      <c r="R195" s="75">
        <f t="shared" si="56"/>
        <v>0</v>
      </c>
      <c r="S195" s="49">
        <f t="shared" si="57"/>
        <v>0</v>
      </c>
    </row>
    <row r="196" spans="1:19">
      <c r="A196" s="652"/>
      <c r="B196" s="648"/>
      <c r="C196" s="75">
        <f t="shared" si="48"/>
        <v>1</v>
      </c>
      <c r="D196" s="649"/>
      <c r="E196" s="75">
        <f t="shared" si="49"/>
        <v>0</v>
      </c>
      <c r="F196" s="649"/>
      <c r="G196" s="75">
        <f t="shared" si="50"/>
        <v>1</v>
      </c>
      <c r="H196" s="649"/>
      <c r="I196" s="75">
        <f t="shared" si="51"/>
        <v>1</v>
      </c>
      <c r="J196" s="649"/>
      <c r="K196" s="75">
        <f t="shared" si="52"/>
        <v>0</v>
      </c>
      <c r="L196" s="649"/>
      <c r="M196" s="75">
        <f t="shared" si="53"/>
        <v>1</v>
      </c>
      <c r="N196" s="649"/>
      <c r="O196" s="75">
        <f t="shared" si="54"/>
        <v>1</v>
      </c>
      <c r="P196" s="649"/>
      <c r="Q196" s="75">
        <f t="shared" si="55"/>
        <v>0</v>
      </c>
      <c r="R196" s="75">
        <f t="shared" si="56"/>
        <v>0</v>
      </c>
      <c r="S196" s="49">
        <f t="shared" si="57"/>
        <v>0</v>
      </c>
    </row>
    <row r="197" spans="1:19">
      <c r="A197" s="652"/>
      <c r="B197" s="648"/>
      <c r="C197" s="75">
        <f t="shared" si="48"/>
        <v>1</v>
      </c>
      <c r="D197" s="649"/>
      <c r="E197" s="75">
        <f t="shared" si="49"/>
        <v>0</v>
      </c>
      <c r="F197" s="649"/>
      <c r="G197" s="75">
        <f t="shared" si="50"/>
        <v>1</v>
      </c>
      <c r="H197" s="649"/>
      <c r="I197" s="75">
        <f t="shared" si="51"/>
        <v>1</v>
      </c>
      <c r="J197" s="649"/>
      <c r="K197" s="75">
        <f t="shared" si="52"/>
        <v>0</v>
      </c>
      <c r="L197" s="649"/>
      <c r="M197" s="75">
        <f t="shared" si="53"/>
        <v>1</v>
      </c>
      <c r="N197" s="649"/>
      <c r="O197" s="75">
        <f t="shared" si="54"/>
        <v>1</v>
      </c>
      <c r="P197" s="649"/>
      <c r="Q197" s="75">
        <f t="shared" si="55"/>
        <v>0</v>
      </c>
      <c r="R197" s="75">
        <f t="shared" si="56"/>
        <v>0</v>
      </c>
      <c r="S197" s="49">
        <f t="shared" si="57"/>
        <v>0</v>
      </c>
    </row>
    <row r="198" spans="1:19">
      <c r="A198" s="652"/>
      <c r="B198" s="648"/>
      <c r="C198" s="75">
        <f t="shared" si="48"/>
        <v>1</v>
      </c>
      <c r="D198" s="649"/>
      <c r="E198" s="75">
        <f t="shared" si="49"/>
        <v>0</v>
      </c>
      <c r="F198" s="649"/>
      <c r="G198" s="75">
        <f t="shared" si="50"/>
        <v>1</v>
      </c>
      <c r="H198" s="649"/>
      <c r="I198" s="75">
        <f t="shared" si="51"/>
        <v>1</v>
      </c>
      <c r="J198" s="649"/>
      <c r="K198" s="75">
        <f t="shared" si="52"/>
        <v>0</v>
      </c>
      <c r="L198" s="649"/>
      <c r="M198" s="75">
        <f t="shared" si="53"/>
        <v>1</v>
      </c>
      <c r="N198" s="649"/>
      <c r="O198" s="75">
        <f t="shared" si="54"/>
        <v>1</v>
      </c>
      <c r="P198" s="649"/>
      <c r="Q198" s="75">
        <f t="shared" si="55"/>
        <v>0</v>
      </c>
      <c r="R198" s="75">
        <f t="shared" si="56"/>
        <v>0</v>
      </c>
      <c r="S198" s="49">
        <f t="shared" si="57"/>
        <v>0</v>
      </c>
    </row>
    <row r="199" spans="1:19">
      <c r="A199" s="652"/>
      <c r="B199" s="648"/>
      <c r="C199" s="75">
        <f t="shared" si="48"/>
        <v>1</v>
      </c>
      <c r="D199" s="649"/>
      <c r="E199" s="75">
        <f t="shared" si="49"/>
        <v>0</v>
      </c>
      <c r="F199" s="649"/>
      <c r="G199" s="75">
        <f t="shared" si="50"/>
        <v>1</v>
      </c>
      <c r="H199" s="649"/>
      <c r="I199" s="75">
        <f t="shared" si="51"/>
        <v>1</v>
      </c>
      <c r="J199" s="649"/>
      <c r="K199" s="75">
        <f t="shared" si="52"/>
        <v>0</v>
      </c>
      <c r="L199" s="649"/>
      <c r="M199" s="75">
        <f t="shared" si="53"/>
        <v>1</v>
      </c>
      <c r="N199" s="649"/>
      <c r="O199" s="75">
        <f t="shared" si="54"/>
        <v>1</v>
      </c>
      <c r="P199" s="649"/>
      <c r="Q199" s="75">
        <f t="shared" si="55"/>
        <v>0</v>
      </c>
      <c r="R199" s="75">
        <f t="shared" si="56"/>
        <v>0</v>
      </c>
      <c r="S199" s="49">
        <f t="shared" si="57"/>
        <v>0</v>
      </c>
    </row>
    <row r="200" spans="1:19">
      <c r="A200" s="652"/>
      <c r="B200" s="648"/>
      <c r="C200" s="75">
        <f t="shared" si="48"/>
        <v>1</v>
      </c>
      <c r="D200" s="649"/>
      <c r="E200" s="75">
        <f t="shared" si="49"/>
        <v>0</v>
      </c>
      <c r="F200" s="649"/>
      <c r="G200" s="75">
        <f t="shared" si="50"/>
        <v>1</v>
      </c>
      <c r="H200" s="649"/>
      <c r="I200" s="75">
        <f t="shared" si="51"/>
        <v>1</v>
      </c>
      <c r="J200" s="649"/>
      <c r="K200" s="75">
        <f t="shared" si="52"/>
        <v>0</v>
      </c>
      <c r="L200" s="649"/>
      <c r="M200" s="75">
        <f t="shared" si="53"/>
        <v>1</v>
      </c>
      <c r="N200" s="649"/>
      <c r="O200" s="75">
        <f t="shared" si="54"/>
        <v>1</v>
      </c>
      <c r="P200" s="649"/>
      <c r="Q200" s="75">
        <f t="shared" si="55"/>
        <v>0</v>
      </c>
      <c r="R200" s="75">
        <f t="shared" si="56"/>
        <v>0</v>
      </c>
      <c r="S200" s="49">
        <f t="shared" si="57"/>
        <v>0</v>
      </c>
    </row>
    <row r="201" spans="1:19">
      <c r="A201" s="652"/>
      <c r="B201" s="648"/>
      <c r="C201" s="75">
        <f t="shared" si="48"/>
        <v>1</v>
      </c>
      <c r="D201" s="649"/>
      <c r="E201" s="75">
        <f t="shared" si="49"/>
        <v>0</v>
      </c>
      <c r="F201" s="649"/>
      <c r="G201" s="75">
        <f t="shared" si="50"/>
        <v>1</v>
      </c>
      <c r="H201" s="649"/>
      <c r="I201" s="75">
        <f t="shared" si="51"/>
        <v>1</v>
      </c>
      <c r="J201" s="649"/>
      <c r="K201" s="75">
        <f t="shared" si="52"/>
        <v>0</v>
      </c>
      <c r="L201" s="649"/>
      <c r="M201" s="75">
        <f t="shared" si="53"/>
        <v>1</v>
      </c>
      <c r="N201" s="649"/>
      <c r="O201" s="75">
        <f t="shared" si="54"/>
        <v>1</v>
      </c>
      <c r="P201" s="649"/>
      <c r="Q201" s="75">
        <f t="shared" si="55"/>
        <v>0</v>
      </c>
      <c r="R201" s="75">
        <f t="shared" si="56"/>
        <v>0</v>
      </c>
      <c r="S201" s="49">
        <f t="shared" si="57"/>
        <v>0</v>
      </c>
    </row>
    <row r="202" spans="1:19">
      <c r="A202" s="652"/>
      <c r="B202" s="648"/>
      <c r="C202" s="75">
        <f t="shared" si="48"/>
        <v>1</v>
      </c>
      <c r="D202" s="649"/>
      <c r="E202" s="75">
        <f t="shared" si="49"/>
        <v>0</v>
      </c>
      <c r="F202" s="649"/>
      <c r="G202" s="75">
        <f t="shared" si="50"/>
        <v>1</v>
      </c>
      <c r="H202" s="649"/>
      <c r="I202" s="75">
        <f t="shared" si="51"/>
        <v>1</v>
      </c>
      <c r="J202" s="649"/>
      <c r="K202" s="75">
        <f t="shared" si="52"/>
        <v>0</v>
      </c>
      <c r="L202" s="649"/>
      <c r="M202" s="75">
        <f t="shared" si="53"/>
        <v>1</v>
      </c>
      <c r="N202" s="649"/>
      <c r="O202" s="75">
        <f t="shared" si="54"/>
        <v>1</v>
      </c>
      <c r="P202" s="649"/>
      <c r="Q202" s="75">
        <f t="shared" si="55"/>
        <v>0</v>
      </c>
      <c r="R202" s="75">
        <f t="shared" si="56"/>
        <v>0</v>
      </c>
      <c r="S202" s="49">
        <f t="shared" si="57"/>
        <v>0</v>
      </c>
    </row>
    <row r="203" spans="1:19">
      <c r="A203" s="652"/>
      <c r="B203" s="648"/>
      <c r="C203" s="75">
        <f t="shared" si="48"/>
        <v>1</v>
      </c>
      <c r="D203" s="649"/>
      <c r="E203" s="75">
        <f t="shared" si="49"/>
        <v>0</v>
      </c>
      <c r="F203" s="649"/>
      <c r="G203" s="75">
        <f t="shared" si="50"/>
        <v>1</v>
      </c>
      <c r="H203" s="649"/>
      <c r="I203" s="75">
        <f t="shared" si="51"/>
        <v>1</v>
      </c>
      <c r="J203" s="649"/>
      <c r="K203" s="75">
        <f t="shared" si="52"/>
        <v>0</v>
      </c>
      <c r="L203" s="649"/>
      <c r="M203" s="75">
        <f t="shared" si="53"/>
        <v>1</v>
      </c>
      <c r="N203" s="649"/>
      <c r="O203" s="75">
        <f t="shared" si="54"/>
        <v>1</v>
      </c>
      <c r="P203" s="649"/>
      <c r="Q203" s="75">
        <f t="shared" si="55"/>
        <v>0</v>
      </c>
      <c r="R203" s="75">
        <f t="shared" si="56"/>
        <v>0</v>
      </c>
      <c r="S203" s="49">
        <f t="shared" si="57"/>
        <v>0</v>
      </c>
    </row>
    <row r="204" spans="1:19">
      <c r="A204" s="652"/>
      <c r="B204" s="648"/>
      <c r="C204" s="75">
        <f t="shared" si="48"/>
        <v>1</v>
      </c>
      <c r="D204" s="649"/>
      <c r="E204" s="75">
        <f t="shared" si="49"/>
        <v>0</v>
      </c>
      <c r="F204" s="649"/>
      <c r="G204" s="75">
        <f t="shared" si="50"/>
        <v>1</v>
      </c>
      <c r="H204" s="649"/>
      <c r="I204" s="75">
        <f t="shared" si="51"/>
        <v>1</v>
      </c>
      <c r="J204" s="649"/>
      <c r="K204" s="75">
        <f t="shared" si="52"/>
        <v>0</v>
      </c>
      <c r="L204" s="649"/>
      <c r="M204" s="75">
        <f t="shared" si="53"/>
        <v>1</v>
      </c>
      <c r="N204" s="649"/>
      <c r="O204" s="75">
        <f t="shared" si="54"/>
        <v>1</v>
      </c>
      <c r="P204" s="649"/>
      <c r="Q204" s="75">
        <f t="shared" si="55"/>
        <v>0</v>
      </c>
      <c r="R204" s="75">
        <f t="shared" si="56"/>
        <v>0</v>
      </c>
      <c r="S204" s="49">
        <f t="shared" si="57"/>
        <v>0</v>
      </c>
    </row>
    <row r="205" spans="1:19">
      <c r="A205" s="652"/>
      <c r="B205" s="648"/>
      <c r="C205" s="75">
        <f t="shared" si="48"/>
        <v>1</v>
      </c>
      <c r="D205" s="649"/>
      <c r="E205" s="75">
        <f t="shared" si="49"/>
        <v>0</v>
      </c>
      <c r="F205" s="649"/>
      <c r="G205" s="75">
        <f t="shared" si="50"/>
        <v>1</v>
      </c>
      <c r="H205" s="649"/>
      <c r="I205" s="75">
        <f t="shared" si="51"/>
        <v>1</v>
      </c>
      <c r="J205" s="649"/>
      <c r="K205" s="75">
        <f t="shared" si="52"/>
        <v>0</v>
      </c>
      <c r="L205" s="649"/>
      <c r="M205" s="75">
        <f t="shared" si="53"/>
        <v>1</v>
      </c>
      <c r="N205" s="649"/>
      <c r="O205" s="75">
        <f t="shared" si="54"/>
        <v>1</v>
      </c>
      <c r="P205" s="649"/>
      <c r="Q205" s="75">
        <f t="shared" si="55"/>
        <v>0</v>
      </c>
      <c r="R205" s="75">
        <f t="shared" si="56"/>
        <v>0</v>
      </c>
      <c r="S205" s="49">
        <f t="shared" si="57"/>
        <v>0</v>
      </c>
    </row>
    <row r="206" spans="1:19">
      <c r="A206" s="652"/>
      <c r="B206" s="648"/>
      <c r="C206" s="75">
        <f t="shared" si="48"/>
        <v>1</v>
      </c>
      <c r="D206" s="649"/>
      <c r="E206" s="75">
        <f t="shared" si="49"/>
        <v>0</v>
      </c>
      <c r="F206" s="649"/>
      <c r="G206" s="75">
        <f t="shared" si="50"/>
        <v>1</v>
      </c>
      <c r="H206" s="649"/>
      <c r="I206" s="75">
        <f t="shared" si="51"/>
        <v>1</v>
      </c>
      <c r="J206" s="649"/>
      <c r="K206" s="75">
        <f t="shared" si="52"/>
        <v>0</v>
      </c>
      <c r="L206" s="649"/>
      <c r="M206" s="75">
        <f t="shared" si="53"/>
        <v>1</v>
      </c>
      <c r="N206" s="649"/>
      <c r="O206" s="75">
        <f t="shared" si="54"/>
        <v>1</v>
      </c>
      <c r="P206" s="649"/>
      <c r="Q206" s="75">
        <f t="shared" si="55"/>
        <v>0</v>
      </c>
      <c r="R206" s="75">
        <f t="shared" si="56"/>
        <v>0</v>
      </c>
      <c r="S206" s="49">
        <f t="shared" si="57"/>
        <v>0</v>
      </c>
    </row>
    <row r="207" spans="1:19">
      <c r="A207" s="652"/>
      <c r="B207" s="648"/>
      <c r="C207" s="75">
        <f t="shared" si="48"/>
        <v>1</v>
      </c>
      <c r="D207" s="649"/>
      <c r="E207" s="75">
        <f t="shared" si="49"/>
        <v>0</v>
      </c>
      <c r="F207" s="649"/>
      <c r="G207" s="75">
        <f t="shared" si="50"/>
        <v>1</v>
      </c>
      <c r="H207" s="649"/>
      <c r="I207" s="75">
        <f t="shared" si="51"/>
        <v>1</v>
      </c>
      <c r="J207" s="649"/>
      <c r="K207" s="75">
        <f t="shared" si="52"/>
        <v>0</v>
      </c>
      <c r="L207" s="649"/>
      <c r="M207" s="75">
        <f t="shared" si="53"/>
        <v>1</v>
      </c>
      <c r="N207" s="649"/>
      <c r="O207" s="75">
        <f t="shared" si="54"/>
        <v>1</v>
      </c>
      <c r="P207" s="649"/>
      <c r="Q207" s="75">
        <f t="shared" si="55"/>
        <v>0</v>
      </c>
      <c r="R207" s="75">
        <f t="shared" si="56"/>
        <v>0</v>
      </c>
      <c r="S207" s="49">
        <f t="shared" si="57"/>
        <v>0</v>
      </c>
    </row>
    <row r="208" spans="1:19">
      <c r="A208" s="652"/>
      <c r="B208" s="648"/>
      <c r="C208" s="75">
        <f t="shared" si="48"/>
        <v>1</v>
      </c>
      <c r="D208" s="649"/>
      <c r="E208" s="75">
        <f t="shared" si="49"/>
        <v>0</v>
      </c>
      <c r="F208" s="649"/>
      <c r="G208" s="75">
        <f t="shared" si="50"/>
        <v>1</v>
      </c>
      <c r="H208" s="649"/>
      <c r="I208" s="75">
        <f t="shared" si="51"/>
        <v>1</v>
      </c>
      <c r="J208" s="649"/>
      <c r="K208" s="75">
        <f t="shared" si="52"/>
        <v>0</v>
      </c>
      <c r="L208" s="649"/>
      <c r="M208" s="75">
        <f t="shared" si="53"/>
        <v>1</v>
      </c>
      <c r="N208" s="649"/>
      <c r="O208" s="75">
        <f t="shared" si="54"/>
        <v>1</v>
      </c>
      <c r="P208" s="649"/>
      <c r="Q208" s="75">
        <f t="shared" si="55"/>
        <v>0</v>
      </c>
      <c r="R208" s="75">
        <f t="shared" si="56"/>
        <v>0</v>
      </c>
      <c r="S208" s="49">
        <f t="shared" si="57"/>
        <v>0</v>
      </c>
    </row>
    <row r="209" spans="1:19">
      <c r="A209" s="652"/>
      <c r="B209" s="648"/>
      <c r="C209" s="75">
        <f t="shared" si="48"/>
        <v>1</v>
      </c>
      <c r="D209" s="649"/>
      <c r="E209" s="75">
        <f t="shared" si="49"/>
        <v>0</v>
      </c>
      <c r="F209" s="649"/>
      <c r="G209" s="75">
        <f t="shared" si="50"/>
        <v>1</v>
      </c>
      <c r="H209" s="649"/>
      <c r="I209" s="75">
        <f t="shared" si="51"/>
        <v>1</v>
      </c>
      <c r="J209" s="649"/>
      <c r="K209" s="75">
        <f t="shared" si="52"/>
        <v>0</v>
      </c>
      <c r="L209" s="649"/>
      <c r="M209" s="75">
        <f t="shared" si="53"/>
        <v>1</v>
      </c>
      <c r="N209" s="649"/>
      <c r="O209" s="75">
        <f t="shared" si="54"/>
        <v>1</v>
      </c>
      <c r="P209" s="649"/>
      <c r="Q209" s="75">
        <f t="shared" si="55"/>
        <v>0</v>
      </c>
      <c r="R209" s="75">
        <f t="shared" si="56"/>
        <v>0</v>
      </c>
      <c r="S209" s="49">
        <f t="shared" si="57"/>
        <v>0</v>
      </c>
    </row>
    <row r="210" spans="1:19">
      <c r="A210" s="652"/>
      <c r="B210" s="648"/>
      <c r="C210" s="75">
        <f t="shared" si="48"/>
        <v>1</v>
      </c>
      <c r="D210" s="649"/>
      <c r="E210" s="75">
        <f t="shared" si="49"/>
        <v>0</v>
      </c>
      <c r="F210" s="649"/>
      <c r="G210" s="75">
        <f t="shared" si="50"/>
        <v>1</v>
      </c>
      <c r="H210" s="649"/>
      <c r="I210" s="75">
        <f t="shared" si="51"/>
        <v>1</v>
      </c>
      <c r="J210" s="649"/>
      <c r="K210" s="75">
        <f t="shared" si="52"/>
        <v>0</v>
      </c>
      <c r="L210" s="649"/>
      <c r="M210" s="75">
        <f t="shared" si="53"/>
        <v>1</v>
      </c>
      <c r="N210" s="649"/>
      <c r="O210" s="75">
        <f t="shared" si="54"/>
        <v>1</v>
      </c>
      <c r="P210" s="649"/>
      <c r="Q210" s="75">
        <f t="shared" si="55"/>
        <v>0</v>
      </c>
      <c r="R210" s="75">
        <f t="shared" si="56"/>
        <v>0</v>
      </c>
      <c r="S210" s="49">
        <f t="shared" si="57"/>
        <v>0</v>
      </c>
    </row>
    <row r="211" spans="1:19">
      <c r="A211" s="652"/>
      <c r="B211" s="648"/>
      <c r="C211" s="75">
        <f t="shared" si="48"/>
        <v>1</v>
      </c>
      <c r="D211" s="649"/>
      <c r="E211" s="75">
        <f t="shared" si="49"/>
        <v>0</v>
      </c>
      <c r="F211" s="649"/>
      <c r="G211" s="75">
        <f t="shared" si="50"/>
        <v>1</v>
      </c>
      <c r="H211" s="649"/>
      <c r="I211" s="75">
        <f t="shared" si="51"/>
        <v>1</v>
      </c>
      <c r="J211" s="649"/>
      <c r="K211" s="75">
        <f t="shared" si="52"/>
        <v>0</v>
      </c>
      <c r="L211" s="649"/>
      <c r="M211" s="75">
        <f t="shared" si="53"/>
        <v>1</v>
      </c>
      <c r="N211" s="649"/>
      <c r="O211" s="75">
        <f t="shared" si="54"/>
        <v>1</v>
      </c>
      <c r="P211" s="649"/>
      <c r="Q211" s="75">
        <f t="shared" si="55"/>
        <v>0</v>
      </c>
      <c r="R211" s="75">
        <f t="shared" si="56"/>
        <v>0</v>
      </c>
      <c r="S211" s="49">
        <f t="shared" si="57"/>
        <v>0</v>
      </c>
    </row>
    <row r="212" spans="1:19">
      <c r="A212" s="652"/>
      <c r="B212" s="648"/>
      <c r="C212" s="75">
        <f t="shared" si="48"/>
        <v>1</v>
      </c>
      <c r="D212" s="649"/>
      <c r="E212" s="75">
        <f t="shared" si="49"/>
        <v>0</v>
      </c>
      <c r="F212" s="649"/>
      <c r="G212" s="75">
        <f t="shared" si="50"/>
        <v>1</v>
      </c>
      <c r="H212" s="649"/>
      <c r="I212" s="75">
        <f t="shared" si="51"/>
        <v>1</v>
      </c>
      <c r="J212" s="649"/>
      <c r="K212" s="75">
        <f t="shared" si="52"/>
        <v>0</v>
      </c>
      <c r="L212" s="649"/>
      <c r="M212" s="75">
        <f t="shared" si="53"/>
        <v>1</v>
      </c>
      <c r="N212" s="649"/>
      <c r="O212" s="75">
        <f t="shared" si="54"/>
        <v>1</v>
      </c>
      <c r="P212" s="649"/>
      <c r="Q212" s="75">
        <f t="shared" si="55"/>
        <v>0</v>
      </c>
      <c r="R212" s="75">
        <f t="shared" si="56"/>
        <v>0</v>
      </c>
      <c r="S212" s="49">
        <f t="shared" si="57"/>
        <v>0</v>
      </c>
    </row>
    <row r="213" spans="1:19">
      <c r="A213" s="652"/>
      <c r="B213" s="648"/>
      <c r="C213" s="75">
        <f t="shared" si="48"/>
        <v>1</v>
      </c>
      <c r="D213" s="649"/>
      <c r="E213" s="75">
        <f t="shared" si="49"/>
        <v>0</v>
      </c>
      <c r="F213" s="649"/>
      <c r="G213" s="75">
        <f t="shared" si="50"/>
        <v>1</v>
      </c>
      <c r="H213" s="649"/>
      <c r="I213" s="75">
        <f t="shared" si="51"/>
        <v>1</v>
      </c>
      <c r="J213" s="649"/>
      <c r="K213" s="75">
        <f t="shared" si="52"/>
        <v>0</v>
      </c>
      <c r="L213" s="649"/>
      <c r="M213" s="75">
        <f t="shared" si="53"/>
        <v>1</v>
      </c>
      <c r="N213" s="649"/>
      <c r="O213" s="75">
        <f t="shared" si="54"/>
        <v>1</v>
      </c>
      <c r="P213" s="649"/>
      <c r="Q213" s="75">
        <f t="shared" si="55"/>
        <v>0</v>
      </c>
      <c r="R213" s="75">
        <f t="shared" si="56"/>
        <v>0</v>
      </c>
      <c r="S213" s="49">
        <f t="shared" si="57"/>
        <v>0</v>
      </c>
    </row>
    <row r="214" spans="1:19">
      <c r="A214" s="652"/>
      <c r="B214" s="648"/>
      <c r="C214" s="75">
        <f t="shared" si="48"/>
        <v>1</v>
      </c>
      <c r="D214" s="649"/>
      <c r="E214" s="75">
        <f t="shared" si="49"/>
        <v>0</v>
      </c>
      <c r="F214" s="649"/>
      <c r="G214" s="75">
        <f t="shared" si="50"/>
        <v>1</v>
      </c>
      <c r="H214" s="649"/>
      <c r="I214" s="75">
        <f t="shared" si="51"/>
        <v>1</v>
      </c>
      <c r="J214" s="649"/>
      <c r="K214" s="75">
        <f t="shared" si="52"/>
        <v>0</v>
      </c>
      <c r="L214" s="649"/>
      <c r="M214" s="75">
        <f t="shared" si="53"/>
        <v>1</v>
      </c>
      <c r="N214" s="649"/>
      <c r="O214" s="75">
        <f t="shared" si="54"/>
        <v>1</v>
      </c>
      <c r="P214" s="649"/>
      <c r="Q214" s="75">
        <f t="shared" si="55"/>
        <v>0</v>
      </c>
      <c r="R214" s="75">
        <f t="shared" si="56"/>
        <v>0</v>
      </c>
      <c r="S214" s="49">
        <f t="shared" si="57"/>
        <v>0</v>
      </c>
    </row>
    <row r="215" spans="1:19">
      <c r="A215" s="652"/>
      <c r="B215" s="648"/>
      <c r="C215" s="75">
        <f t="shared" si="48"/>
        <v>1</v>
      </c>
      <c r="D215" s="649"/>
      <c r="E215" s="75">
        <f t="shared" si="49"/>
        <v>0</v>
      </c>
      <c r="F215" s="649"/>
      <c r="G215" s="75">
        <f t="shared" si="50"/>
        <v>1</v>
      </c>
      <c r="H215" s="649"/>
      <c r="I215" s="75">
        <f t="shared" si="51"/>
        <v>1</v>
      </c>
      <c r="J215" s="649"/>
      <c r="K215" s="75">
        <f t="shared" si="52"/>
        <v>0</v>
      </c>
      <c r="L215" s="649"/>
      <c r="M215" s="75">
        <f t="shared" si="53"/>
        <v>1</v>
      </c>
      <c r="N215" s="649"/>
      <c r="O215" s="75">
        <f t="shared" si="54"/>
        <v>1</v>
      </c>
      <c r="P215" s="649"/>
      <c r="Q215" s="75">
        <f t="shared" si="55"/>
        <v>0</v>
      </c>
      <c r="R215" s="75">
        <f t="shared" si="56"/>
        <v>0</v>
      </c>
      <c r="S215" s="49">
        <f t="shared" si="57"/>
        <v>0</v>
      </c>
    </row>
    <row r="216" spans="1:19">
      <c r="A216" s="652"/>
      <c r="B216" s="648"/>
      <c r="C216" s="75">
        <f t="shared" si="48"/>
        <v>1</v>
      </c>
      <c r="D216" s="649"/>
      <c r="E216" s="75">
        <f t="shared" si="49"/>
        <v>0</v>
      </c>
      <c r="F216" s="649"/>
      <c r="G216" s="75">
        <f t="shared" si="50"/>
        <v>1</v>
      </c>
      <c r="H216" s="649"/>
      <c r="I216" s="75">
        <f t="shared" si="51"/>
        <v>1</v>
      </c>
      <c r="J216" s="649"/>
      <c r="K216" s="75">
        <f t="shared" si="52"/>
        <v>0</v>
      </c>
      <c r="L216" s="649"/>
      <c r="M216" s="75">
        <f t="shared" si="53"/>
        <v>1</v>
      </c>
      <c r="N216" s="649"/>
      <c r="O216" s="75">
        <f t="shared" si="54"/>
        <v>1</v>
      </c>
      <c r="P216" s="649"/>
      <c r="Q216" s="75">
        <f t="shared" si="55"/>
        <v>0</v>
      </c>
      <c r="R216" s="75">
        <f t="shared" si="56"/>
        <v>0</v>
      </c>
      <c r="S216" s="49">
        <f t="shared" si="57"/>
        <v>0</v>
      </c>
    </row>
    <row r="217" spans="1:19">
      <c r="A217" s="652"/>
      <c r="B217" s="648"/>
      <c r="C217" s="75">
        <f t="shared" si="48"/>
        <v>1</v>
      </c>
      <c r="D217" s="649"/>
      <c r="E217" s="75">
        <f t="shared" si="49"/>
        <v>0</v>
      </c>
      <c r="F217" s="649"/>
      <c r="G217" s="75">
        <f t="shared" si="50"/>
        <v>1</v>
      </c>
      <c r="H217" s="649"/>
      <c r="I217" s="75">
        <f t="shared" si="51"/>
        <v>1</v>
      </c>
      <c r="J217" s="649"/>
      <c r="K217" s="75">
        <f t="shared" si="52"/>
        <v>0</v>
      </c>
      <c r="L217" s="649"/>
      <c r="M217" s="75">
        <f t="shared" si="53"/>
        <v>1</v>
      </c>
      <c r="N217" s="649"/>
      <c r="O217" s="75">
        <f t="shared" si="54"/>
        <v>1</v>
      </c>
      <c r="P217" s="649"/>
      <c r="Q217" s="75">
        <f t="shared" si="55"/>
        <v>0</v>
      </c>
      <c r="R217" s="75">
        <f t="shared" si="56"/>
        <v>0</v>
      </c>
      <c r="S217" s="49">
        <f t="shared" si="57"/>
        <v>0</v>
      </c>
    </row>
    <row r="218" spans="1:19">
      <c r="A218" s="652"/>
      <c r="B218" s="648"/>
      <c r="C218" s="75">
        <f t="shared" ref="C218:C281" si="58">IF(B218="",1,(LOOKUP(B218,$3:$3,$4:$4)-LOOKUP($B$24,$3:$3,$4:$4)+100)/100)</f>
        <v>1</v>
      </c>
      <c r="D218" s="649"/>
      <c r="E218" s="75">
        <f t="shared" ref="E218:E281" si="59">(SUMIF($5:$5,D218,$6:$6)-SUMIF($5:$5,$D$24,$6:$6)+100)/100</f>
        <v>0</v>
      </c>
      <c r="F218" s="649"/>
      <c r="G218" s="75">
        <f t="shared" ref="G218:G281" si="60">(SUMIF($7:$7,F218,$8:$8)-SUMIF($7:$7,$F$24,$8:$8)+100)/100</f>
        <v>1</v>
      </c>
      <c r="H218" s="649"/>
      <c r="I218" s="75">
        <f t="shared" ref="I218:I281" si="61">(SUMIF($9:$9,H218,$10:$10)-SUMIF($9:$9,$H$24,$10:$10)+100)/100</f>
        <v>1</v>
      </c>
      <c r="J218" s="649"/>
      <c r="K218" s="75">
        <f t="shared" ref="K218:K281" si="62">(SUMIF($11:$11,J218,$12:$12)-SUMIF($11:$11,$J$24,$12:$12)+100)/100</f>
        <v>0</v>
      </c>
      <c r="L218" s="649"/>
      <c r="M218" s="75">
        <f t="shared" ref="M218:M281" si="63">(SUMIF($13:$13,L218,$14:$14)-SUMIF($13:$13,$L$24,$14:$14)+100)/100</f>
        <v>1</v>
      </c>
      <c r="N218" s="649"/>
      <c r="O218" s="75">
        <f t="shared" ref="O218:O281" si="64">(SUMIF($15:$15,N218,$16:$16)-SUMIF($15:$15,$N$24,$16:$16)+100)/100</f>
        <v>1</v>
      </c>
      <c r="P218" s="649"/>
      <c r="Q218" s="75">
        <f t="shared" ref="Q218:Q281" si="65">(SUMIF($17:$17,P218,$18:$18)-SUMIF($17:$17,$P$24,$18:$18)+100)/100</f>
        <v>0</v>
      </c>
      <c r="R218" s="75">
        <f t="shared" ref="R218:R281" si="66">IF(B218="",0,ROUND($R$24*C218*E218*G218*I218*K218*M218*O218*Q218,0))</f>
        <v>0</v>
      </c>
      <c r="S218" s="49">
        <f t="shared" si="57"/>
        <v>0</v>
      </c>
    </row>
    <row r="219" spans="1:19">
      <c r="A219" s="652"/>
      <c r="B219" s="648"/>
      <c r="C219" s="75">
        <f t="shared" si="58"/>
        <v>1</v>
      </c>
      <c r="D219" s="649"/>
      <c r="E219" s="75">
        <f t="shared" si="59"/>
        <v>0</v>
      </c>
      <c r="F219" s="649"/>
      <c r="G219" s="75">
        <f t="shared" si="60"/>
        <v>1</v>
      </c>
      <c r="H219" s="649"/>
      <c r="I219" s="75">
        <f t="shared" si="61"/>
        <v>1</v>
      </c>
      <c r="J219" s="649"/>
      <c r="K219" s="75">
        <f t="shared" si="62"/>
        <v>0</v>
      </c>
      <c r="L219" s="649"/>
      <c r="M219" s="75">
        <f t="shared" si="63"/>
        <v>1</v>
      </c>
      <c r="N219" s="649"/>
      <c r="O219" s="75">
        <f t="shared" si="64"/>
        <v>1</v>
      </c>
      <c r="P219" s="649"/>
      <c r="Q219" s="75">
        <f t="shared" si="65"/>
        <v>0</v>
      </c>
      <c r="R219" s="75">
        <f t="shared" si="66"/>
        <v>0</v>
      </c>
      <c r="S219" s="49">
        <f t="shared" si="57"/>
        <v>0</v>
      </c>
    </row>
    <row r="220" spans="1:19">
      <c r="A220" s="652"/>
      <c r="B220" s="648"/>
      <c r="C220" s="75">
        <f t="shared" si="58"/>
        <v>1</v>
      </c>
      <c r="D220" s="649"/>
      <c r="E220" s="75">
        <f t="shared" si="59"/>
        <v>0</v>
      </c>
      <c r="F220" s="649"/>
      <c r="G220" s="75">
        <f t="shared" si="60"/>
        <v>1</v>
      </c>
      <c r="H220" s="649"/>
      <c r="I220" s="75">
        <f t="shared" si="61"/>
        <v>1</v>
      </c>
      <c r="J220" s="649"/>
      <c r="K220" s="75">
        <f t="shared" si="62"/>
        <v>0</v>
      </c>
      <c r="L220" s="649"/>
      <c r="M220" s="75">
        <f t="shared" si="63"/>
        <v>1</v>
      </c>
      <c r="N220" s="649"/>
      <c r="O220" s="75">
        <f t="shared" si="64"/>
        <v>1</v>
      </c>
      <c r="P220" s="649"/>
      <c r="Q220" s="75">
        <f t="shared" si="65"/>
        <v>0</v>
      </c>
      <c r="R220" s="75">
        <f t="shared" si="66"/>
        <v>0</v>
      </c>
      <c r="S220" s="49">
        <f t="shared" si="57"/>
        <v>0</v>
      </c>
    </row>
    <row r="221" spans="1:19">
      <c r="A221" s="652"/>
      <c r="B221" s="648"/>
      <c r="C221" s="75">
        <f t="shared" si="58"/>
        <v>1</v>
      </c>
      <c r="D221" s="649"/>
      <c r="E221" s="75">
        <f t="shared" si="59"/>
        <v>0</v>
      </c>
      <c r="F221" s="649"/>
      <c r="G221" s="75">
        <f t="shared" si="60"/>
        <v>1</v>
      </c>
      <c r="H221" s="649"/>
      <c r="I221" s="75">
        <f t="shared" si="61"/>
        <v>1</v>
      </c>
      <c r="J221" s="649"/>
      <c r="K221" s="75">
        <f t="shared" si="62"/>
        <v>0</v>
      </c>
      <c r="L221" s="649"/>
      <c r="M221" s="75">
        <f t="shared" si="63"/>
        <v>1</v>
      </c>
      <c r="N221" s="649"/>
      <c r="O221" s="75">
        <f t="shared" si="64"/>
        <v>1</v>
      </c>
      <c r="P221" s="649"/>
      <c r="Q221" s="75">
        <f t="shared" si="65"/>
        <v>0</v>
      </c>
      <c r="R221" s="75">
        <f t="shared" si="66"/>
        <v>0</v>
      </c>
      <c r="S221" s="49">
        <f t="shared" si="57"/>
        <v>0</v>
      </c>
    </row>
    <row r="222" spans="1:19">
      <c r="A222" s="652"/>
      <c r="B222" s="648"/>
      <c r="C222" s="75">
        <f t="shared" si="58"/>
        <v>1</v>
      </c>
      <c r="D222" s="649"/>
      <c r="E222" s="75">
        <f t="shared" si="59"/>
        <v>0</v>
      </c>
      <c r="F222" s="649"/>
      <c r="G222" s="75">
        <f t="shared" si="60"/>
        <v>1</v>
      </c>
      <c r="H222" s="649"/>
      <c r="I222" s="75">
        <f t="shared" si="61"/>
        <v>1</v>
      </c>
      <c r="J222" s="649"/>
      <c r="K222" s="75">
        <f t="shared" si="62"/>
        <v>0</v>
      </c>
      <c r="L222" s="649"/>
      <c r="M222" s="75">
        <f t="shared" si="63"/>
        <v>1</v>
      </c>
      <c r="N222" s="649"/>
      <c r="O222" s="75">
        <f t="shared" si="64"/>
        <v>1</v>
      </c>
      <c r="P222" s="649"/>
      <c r="Q222" s="75">
        <f t="shared" si="65"/>
        <v>0</v>
      </c>
      <c r="R222" s="75">
        <f t="shared" si="66"/>
        <v>0</v>
      </c>
      <c r="S222" s="49">
        <f t="shared" si="57"/>
        <v>0</v>
      </c>
    </row>
    <row r="223" spans="1:19">
      <c r="A223" s="652"/>
      <c r="B223" s="648"/>
      <c r="C223" s="75">
        <f t="shared" si="58"/>
        <v>1</v>
      </c>
      <c r="D223" s="649"/>
      <c r="E223" s="75">
        <f t="shared" si="59"/>
        <v>0</v>
      </c>
      <c r="F223" s="649"/>
      <c r="G223" s="75">
        <f t="shared" si="60"/>
        <v>1</v>
      </c>
      <c r="H223" s="649"/>
      <c r="I223" s="75">
        <f t="shared" si="61"/>
        <v>1</v>
      </c>
      <c r="J223" s="649"/>
      <c r="K223" s="75">
        <f t="shared" si="62"/>
        <v>0</v>
      </c>
      <c r="L223" s="649"/>
      <c r="M223" s="75">
        <f t="shared" si="63"/>
        <v>1</v>
      </c>
      <c r="N223" s="649"/>
      <c r="O223" s="75">
        <f t="shared" si="64"/>
        <v>1</v>
      </c>
      <c r="P223" s="649"/>
      <c r="Q223" s="75">
        <f t="shared" si="65"/>
        <v>0</v>
      </c>
      <c r="R223" s="75">
        <f t="shared" si="66"/>
        <v>0</v>
      </c>
      <c r="S223" s="49">
        <f t="shared" ref="S223:S286" si="67">ROUND(R223*B223/10000,0)</f>
        <v>0</v>
      </c>
    </row>
    <row r="224" spans="1:19">
      <c r="A224" s="652"/>
      <c r="B224" s="648"/>
      <c r="C224" s="75">
        <f t="shared" si="58"/>
        <v>1</v>
      </c>
      <c r="D224" s="649"/>
      <c r="E224" s="75">
        <f t="shared" si="59"/>
        <v>0</v>
      </c>
      <c r="F224" s="649"/>
      <c r="G224" s="75">
        <f t="shared" si="60"/>
        <v>1</v>
      </c>
      <c r="H224" s="649"/>
      <c r="I224" s="75">
        <f t="shared" si="61"/>
        <v>1</v>
      </c>
      <c r="J224" s="649"/>
      <c r="K224" s="75">
        <f t="shared" si="62"/>
        <v>0</v>
      </c>
      <c r="L224" s="649"/>
      <c r="M224" s="75">
        <f t="shared" si="63"/>
        <v>1</v>
      </c>
      <c r="N224" s="649"/>
      <c r="O224" s="75">
        <f t="shared" si="64"/>
        <v>1</v>
      </c>
      <c r="P224" s="649"/>
      <c r="Q224" s="75">
        <f t="shared" si="65"/>
        <v>0</v>
      </c>
      <c r="R224" s="75">
        <f t="shared" si="66"/>
        <v>0</v>
      </c>
      <c r="S224" s="49">
        <f t="shared" si="67"/>
        <v>0</v>
      </c>
    </row>
    <row r="225" spans="1:19">
      <c r="A225" s="652"/>
      <c r="B225" s="648"/>
      <c r="C225" s="75">
        <f t="shared" si="58"/>
        <v>1</v>
      </c>
      <c r="D225" s="649"/>
      <c r="E225" s="75">
        <f t="shared" si="59"/>
        <v>0</v>
      </c>
      <c r="F225" s="649"/>
      <c r="G225" s="75">
        <f t="shared" si="60"/>
        <v>1</v>
      </c>
      <c r="H225" s="649"/>
      <c r="I225" s="75">
        <f t="shared" si="61"/>
        <v>1</v>
      </c>
      <c r="J225" s="649"/>
      <c r="K225" s="75">
        <f t="shared" si="62"/>
        <v>0</v>
      </c>
      <c r="L225" s="649"/>
      <c r="M225" s="75">
        <f t="shared" si="63"/>
        <v>1</v>
      </c>
      <c r="N225" s="649"/>
      <c r="O225" s="75">
        <f t="shared" si="64"/>
        <v>1</v>
      </c>
      <c r="P225" s="649"/>
      <c r="Q225" s="75">
        <f t="shared" si="65"/>
        <v>0</v>
      </c>
      <c r="R225" s="75">
        <f t="shared" si="66"/>
        <v>0</v>
      </c>
      <c r="S225" s="49">
        <f t="shared" si="67"/>
        <v>0</v>
      </c>
    </row>
    <row r="226" spans="1:19">
      <c r="A226" s="652"/>
      <c r="B226" s="648"/>
      <c r="C226" s="75">
        <f t="shared" si="58"/>
        <v>1</v>
      </c>
      <c r="D226" s="649"/>
      <c r="E226" s="75">
        <f t="shared" si="59"/>
        <v>0</v>
      </c>
      <c r="F226" s="649"/>
      <c r="G226" s="75">
        <f t="shared" si="60"/>
        <v>1</v>
      </c>
      <c r="H226" s="649"/>
      <c r="I226" s="75">
        <f t="shared" si="61"/>
        <v>1</v>
      </c>
      <c r="J226" s="649"/>
      <c r="K226" s="75">
        <f t="shared" si="62"/>
        <v>0</v>
      </c>
      <c r="L226" s="649"/>
      <c r="M226" s="75">
        <f t="shared" si="63"/>
        <v>1</v>
      </c>
      <c r="N226" s="649"/>
      <c r="O226" s="75">
        <f t="shared" si="64"/>
        <v>1</v>
      </c>
      <c r="P226" s="649"/>
      <c r="Q226" s="75">
        <f t="shared" si="65"/>
        <v>0</v>
      </c>
      <c r="R226" s="75">
        <f t="shared" si="66"/>
        <v>0</v>
      </c>
      <c r="S226" s="49">
        <f t="shared" si="67"/>
        <v>0</v>
      </c>
    </row>
    <row r="227" spans="1:19">
      <c r="A227" s="652"/>
      <c r="B227" s="648"/>
      <c r="C227" s="75">
        <f t="shared" si="58"/>
        <v>1</v>
      </c>
      <c r="D227" s="649"/>
      <c r="E227" s="75">
        <f t="shared" si="59"/>
        <v>0</v>
      </c>
      <c r="F227" s="649"/>
      <c r="G227" s="75">
        <f t="shared" si="60"/>
        <v>1</v>
      </c>
      <c r="H227" s="649"/>
      <c r="I227" s="75">
        <f t="shared" si="61"/>
        <v>1</v>
      </c>
      <c r="J227" s="649"/>
      <c r="K227" s="75">
        <f t="shared" si="62"/>
        <v>0</v>
      </c>
      <c r="L227" s="649"/>
      <c r="M227" s="75">
        <f t="shared" si="63"/>
        <v>1</v>
      </c>
      <c r="N227" s="649"/>
      <c r="O227" s="75">
        <f t="shared" si="64"/>
        <v>1</v>
      </c>
      <c r="P227" s="649"/>
      <c r="Q227" s="75">
        <f t="shared" si="65"/>
        <v>0</v>
      </c>
      <c r="R227" s="75">
        <f t="shared" si="66"/>
        <v>0</v>
      </c>
      <c r="S227" s="49">
        <f t="shared" si="67"/>
        <v>0</v>
      </c>
    </row>
    <row r="228" spans="1:19">
      <c r="A228" s="652"/>
      <c r="B228" s="648"/>
      <c r="C228" s="75">
        <f t="shared" si="58"/>
        <v>1</v>
      </c>
      <c r="D228" s="649"/>
      <c r="E228" s="75">
        <f t="shared" si="59"/>
        <v>0</v>
      </c>
      <c r="F228" s="649"/>
      <c r="G228" s="75">
        <f t="shared" si="60"/>
        <v>1</v>
      </c>
      <c r="H228" s="649"/>
      <c r="I228" s="75">
        <f t="shared" si="61"/>
        <v>1</v>
      </c>
      <c r="J228" s="649"/>
      <c r="K228" s="75">
        <f t="shared" si="62"/>
        <v>0</v>
      </c>
      <c r="L228" s="649"/>
      <c r="M228" s="75">
        <f t="shared" si="63"/>
        <v>1</v>
      </c>
      <c r="N228" s="649"/>
      <c r="O228" s="75">
        <f t="shared" si="64"/>
        <v>1</v>
      </c>
      <c r="P228" s="649"/>
      <c r="Q228" s="75">
        <f t="shared" si="65"/>
        <v>0</v>
      </c>
      <c r="R228" s="75">
        <f t="shared" si="66"/>
        <v>0</v>
      </c>
      <c r="S228" s="49">
        <f t="shared" si="67"/>
        <v>0</v>
      </c>
    </row>
    <row r="229" spans="1:19">
      <c r="A229" s="652"/>
      <c r="B229" s="648"/>
      <c r="C229" s="75">
        <f t="shared" si="58"/>
        <v>1</v>
      </c>
      <c r="D229" s="649"/>
      <c r="E229" s="75">
        <f t="shared" si="59"/>
        <v>0</v>
      </c>
      <c r="F229" s="649"/>
      <c r="G229" s="75">
        <f t="shared" si="60"/>
        <v>1</v>
      </c>
      <c r="H229" s="649"/>
      <c r="I229" s="75">
        <f t="shared" si="61"/>
        <v>1</v>
      </c>
      <c r="J229" s="649"/>
      <c r="K229" s="75">
        <f t="shared" si="62"/>
        <v>0</v>
      </c>
      <c r="L229" s="649"/>
      <c r="M229" s="75">
        <f t="shared" si="63"/>
        <v>1</v>
      </c>
      <c r="N229" s="649"/>
      <c r="O229" s="75">
        <f t="shared" si="64"/>
        <v>1</v>
      </c>
      <c r="P229" s="649"/>
      <c r="Q229" s="75">
        <f t="shared" si="65"/>
        <v>0</v>
      </c>
      <c r="R229" s="75">
        <f t="shared" si="66"/>
        <v>0</v>
      </c>
      <c r="S229" s="49">
        <f t="shared" si="67"/>
        <v>0</v>
      </c>
    </row>
    <row r="230" spans="1:19">
      <c r="A230" s="652"/>
      <c r="B230" s="648"/>
      <c r="C230" s="75">
        <f t="shared" si="58"/>
        <v>1</v>
      </c>
      <c r="D230" s="649"/>
      <c r="E230" s="75">
        <f t="shared" si="59"/>
        <v>0</v>
      </c>
      <c r="F230" s="649"/>
      <c r="G230" s="75">
        <f t="shared" si="60"/>
        <v>1</v>
      </c>
      <c r="H230" s="649"/>
      <c r="I230" s="75">
        <f t="shared" si="61"/>
        <v>1</v>
      </c>
      <c r="J230" s="649"/>
      <c r="K230" s="75">
        <f t="shared" si="62"/>
        <v>0</v>
      </c>
      <c r="L230" s="649"/>
      <c r="M230" s="75">
        <f t="shared" si="63"/>
        <v>1</v>
      </c>
      <c r="N230" s="649"/>
      <c r="O230" s="75">
        <f t="shared" si="64"/>
        <v>1</v>
      </c>
      <c r="P230" s="649"/>
      <c r="Q230" s="75">
        <f t="shared" si="65"/>
        <v>0</v>
      </c>
      <c r="R230" s="75">
        <f t="shared" si="66"/>
        <v>0</v>
      </c>
      <c r="S230" s="49">
        <f t="shared" si="67"/>
        <v>0</v>
      </c>
    </row>
    <row r="231" spans="1:19">
      <c r="A231" s="652"/>
      <c r="B231" s="648"/>
      <c r="C231" s="75">
        <f t="shared" si="58"/>
        <v>1</v>
      </c>
      <c r="D231" s="649"/>
      <c r="E231" s="75">
        <f t="shared" si="59"/>
        <v>0</v>
      </c>
      <c r="F231" s="649"/>
      <c r="G231" s="75">
        <f t="shared" si="60"/>
        <v>1</v>
      </c>
      <c r="H231" s="649"/>
      <c r="I231" s="75">
        <f t="shared" si="61"/>
        <v>1</v>
      </c>
      <c r="J231" s="649"/>
      <c r="K231" s="75">
        <f t="shared" si="62"/>
        <v>0</v>
      </c>
      <c r="L231" s="649"/>
      <c r="M231" s="75">
        <f t="shared" si="63"/>
        <v>1</v>
      </c>
      <c r="N231" s="649"/>
      <c r="O231" s="75">
        <f t="shared" si="64"/>
        <v>1</v>
      </c>
      <c r="P231" s="649"/>
      <c r="Q231" s="75">
        <f t="shared" si="65"/>
        <v>0</v>
      </c>
      <c r="R231" s="75">
        <f t="shared" si="66"/>
        <v>0</v>
      </c>
      <c r="S231" s="49">
        <f t="shared" si="67"/>
        <v>0</v>
      </c>
    </row>
    <row r="232" spans="1:19">
      <c r="A232" s="652"/>
      <c r="B232" s="648"/>
      <c r="C232" s="75">
        <f t="shared" si="58"/>
        <v>1</v>
      </c>
      <c r="D232" s="649"/>
      <c r="E232" s="75">
        <f t="shared" si="59"/>
        <v>0</v>
      </c>
      <c r="F232" s="649"/>
      <c r="G232" s="75">
        <f t="shared" si="60"/>
        <v>1</v>
      </c>
      <c r="H232" s="649"/>
      <c r="I232" s="75">
        <f t="shared" si="61"/>
        <v>1</v>
      </c>
      <c r="J232" s="649"/>
      <c r="K232" s="75">
        <f t="shared" si="62"/>
        <v>0</v>
      </c>
      <c r="L232" s="649"/>
      <c r="M232" s="75">
        <f t="shared" si="63"/>
        <v>1</v>
      </c>
      <c r="N232" s="649"/>
      <c r="O232" s="75">
        <f t="shared" si="64"/>
        <v>1</v>
      </c>
      <c r="P232" s="649"/>
      <c r="Q232" s="75">
        <f t="shared" si="65"/>
        <v>0</v>
      </c>
      <c r="R232" s="75">
        <f t="shared" si="66"/>
        <v>0</v>
      </c>
      <c r="S232" s="49">
        <f t="shared" si="67"/>
        <v>0</v>
      </c>
    </row>
    <row r="233" spans="1:19">
      <c r="A233" s="652"/>
      <c r="B233" s="648"/>
      <c r="C233" s="75">
        <f t="shared" si="58"/>
        <v>1</v>
      </c>
      <c r="D233" s="649"/>
      <c r="E233" s="75">
        <f t="shared" si="59"/>
        <v>0</v>
      </c>
      <c r="F233" s="649"/>
      <c r="G233" s="75">
        <f t="shared" si="60"/>
        <v>1</v>
      </c>
      <c r="H233" s="649"/>
      <c r="I233" s="75">
        <f t="shared" si="61"/>
        <v>1</v>
      </c>
      <c r="J233" s="649"/>
      <c r="K233" s="75">
        <f t="shared" si="62"/>
        <v>0</v>
      </c>
      <c r="L233" s="649"/>
      <c r="M233" s="75">
        <f t="shared" si="63"/>
        <v>1</v>
      </c>
      <c r="N233" s="649"/>
      <c r="O233" s="75">
        <f t="shared" si="64"/>
        <v>1</v>
      </c>
      <c r="P233" s="649"/>
      <c r="Q233" s="75">
        <f t="shared" si="65"/>
        <v>0</v>
      </c>
      <c r="R233" s="75">
        <f t="shared" si="66"/>
        <v>0</v>
      </c>
      <c r="S233" s="49">
        <f t="shared" si="67"/>
        <v>0</v>
      </c>
    </row>
    <row r="234" spans="1:19">
      <c r="A234" s="652"/>
      <c r="B234" s="648"/>
      <c r="C234" s="75">
        <f t="shared" si="58"/>
        <v>1</v>
      </c>
      <c r="D234" s="649"/>
      <c r="E234" s="75">
        <f t="shared" si="59"/>
        <v>0</v>
      </c>
      <c r="F234" s="649"/>
      <c r="G234" s="75">
        <f t="shared" si="60"/>
        <v>1</v>
      </c>
      <c r="H234" s="649"/>
      <c r="I234" s="75">
        <f t="shared" si="61"/>
        <v>1</v>
      </c>
      <c r="J234" s="649"/>
      <c r="K234" s="75">
        <f t="shared" si="62"/>
        <v>0</v>
      </c>
      <c r="L234" s="649"/>
      <c r="M234" s="75">
        <f t="shared" si="63"/>
        <v>1</v>
      </c>
      <c r="N234" s="649"/>
      <c r="O234" s="75">
        <f t="shared" si="64"/>
        <v>1</v>
      </c>
      <c r="P234" s="649"/>
      <c r="Q234" s="75">
        <f t="shared" si="65"/>
        <v>0</v>
      </c>
      <c r="R234" s="75">
        <f t="shared" si="66"/>
        <v>0</v>
      </c>
      <c r="S234" s="49">
        <f t="shared" si="67"/>
        <v>0</v>
      </c>
    </row>
    <row r="235" spans="1:19">
      <c r="A235" s="652"/>
      <c r="B235" s="648"/>
      <c r="C235" s="75">
        <f t="shared" si="58"/>
        <v>1</v>
      </c>
      <c r="D235" s="649"/>
      <c r="E235" s="75">
        <f t="shared" si="59"/>
        <v>0</v>
      </c>
      <c r="F235" s="649"/>
      <c r="G235" s="75">
        <f t="shared" si="60"/>
        <v>1</v>
      </c>
      <c r="H235" s="649"/>
      <c r="I235" s="75">
        <f t="shared" si="61"/>
        <v>1</v>
      </c>
      <c r="J235" s="649"/>
      <c r="K235" s="75">
        <f t="shared" si="62"/>
        <v>0</v>
      </c>
      <c r="L235" s="649"/>
      <c r="M235" s="75">
        <f t="shared" si="63"/>
        <v>1</v>
      </c>
      <c r="N235" s="649"/>
      <c r="O235" s="75">
        <f t="shared" si="64"/>
        <v>1</v>
      </c>
      <c r="P235" s="649"/>
      <c r="Q235" s="75">
        <f t="shared" si="65"/>
        <v>0</v>
      </c>
      <c r="R235" s="75">
        <f t="shared" si="66"/>
        <v>0</v>
      </c>
      <c r="S235" s="49">
        <f t="shared" si="67"/>
        <v>0</v>
      </c>
    </row>
    <row r="236" spans="1:19">
      <c r="A236" s="652"/>
      <c r="B236" s="648"/>
      <c r="C236" s="75">
        <f t="shared" si="58"/>
        <v>1</v>
      </c>
      <c r="D236" s="649"/>
      <c r="E236" s="75">
        <f t="shared" si="59"/>
        <v>0</v>
      </c>
      <c r="F236" s="649"/>
      <c r="G236" s="75">
        <f t="shared" si="60"/>
        <v>1</v>
      </c>
      <c r="H236" s="649"/>
      <c r="I236" s="75">
        <f t="shared" si="61"/>
        <v>1</v>
      </c>
      <c r="J236" s="649"/>
      <c r="K236" s="75">
        <f t="shared" si="62"/>
        <v>0</v>
      </c>
      <c r="L236" s="649"/>
      <c r="M236" s="75">
        <f t="shared" si="63"/>
        <v>1</v>
      </c>
      <c r="N236" s="649"/>
      <c r="O236" s="75">
        <f t="shared" si="64"/>
        <v>1</v>
      </c>
      <c r="P236" s="649"/>
      <c r="Q236" s="75">
        <f t="shared" si="65"/>
        <v>0</v>
      </c>
      <c r="R236" s="75">
        <f t="shared" si="66"/>
        <v>0</v>
      </c>
      <c r="S236" s="49">
        <f t="shared" si="67"/>
        <v>0</v>
      </c>
    </row>
    <row r="237" spans="1:19">
      <c r="A237" s="652"/>
      <c r="B237" s="648"/>
      <c r="C237" s="75">
        <f t="shared" si="58"/>
        <v>1</v>
      </c>
      <c r="D237" s="649"/>
      <c r="E237" s="75">
        <f t="shared" si="59"/>
        <v>0</v>
      </c>
      <c r="F237" s="649"/>
      <c r="G237" s="75">
        <f t="shared" si="60"/>
        <v>1</v>
      </c>
      <c r="H237" s="649"/>
      <c r="I237" s="75">
        <f t="shared" si="61"/>
        <v>1</v>
      </c>
      <c r="J237" s="649"/>
      <c r="K237" s="75">
        <f t="shared" si="62"/>
        <v>0</v>
      </c>
      <c r="L237" s="649"/>
      <c r="M237" s="75">
        <f t="shared" si="63"/>
        <v>1</v>
      </c>
      <c r="N237" s="649"/>
      <c r="O237" s="75">
        <f t="shared" si="64"/>
        <v>1</v>
      </c>
      <c r="P237" s="649"/>
      <c r="Q237" s="75">
        <f t="shared" si="65"/>
        <v>0</v>
      </c>
      <c r="R237" s="75">
        <f t="shared" si="66"/>
        <v>0</v>
      </c>
      <c r="S237" s="49">
        <f t="shared" si="67"/>
        <v>0</v>
      </c>
    </row>
    <row r="238" spans="1:19">
      <c r="A238" s="652"/>
      <c r="B238" s="648"/>
      <c r="C238" s="75">
        <f t="shared" si="58"/>
        <v>1</v>
      </c>
      <c r="D238" s="649"/>
      <c r="E238" s="75">
        <f t="shared" si="59"/>
        <v>0</v>
      </c>
      <c r="F238" s="649"/>
      <c r="G238" s="75">
        <f t="shared" si="60"/>
        <v>1</v>
      </c>
      <c r="H238" s="649"/>
      <c r="I238" s="75">
        <f t="shared" si="61"/>
        <v>1</v>
      </c>
      <c r="J238" s="649"/>
      <c r="K238" s="75">
        <f t="shared" si="62"/>
        <v>0</v>
      </c>
      <c r="L238" s="649"/>
      <c r="M238" s="75">
        <f t="shared" si="63"/>
        <v>1</v>
      </c>
      <c r="N238" s="649"/>
      <c r="O238" s="75">
        <f t="shared" si="64"/>
        <v>1</v>
      </c>
      <c r="P238" s="649"/>
      <c r="Q238" s="75">
        <f t="shared" si="65"/>
        <v>0</v>
      </c>
      <c r="R238" s="75">
        <f t="shared" si="66"/>
        <v>0</v>
      </c>
      <c r="S238" s="49">
        <f t="shared" si="67"/>
        <v>0</v>
      </c>
    </row>
    <row r="239" spans="1:19">
      <c r="A239" s="652"/>
      <c r="B239" s="648"/>
      <c r="C239" s="75">
        <f t="shared" si="58"/>
        <v>1</v>
      </c>
      <c r="D239" s="649"/>
      <c r="E239" s="75">
        <f t="shared" si="59"/>
        <v>0</v>
      </c>
      <c r="F239" s="649"/>
      <c r="G239" s="75">
        <f t="shared" si="60"/>
        <v>1</v>
      </c>
      <c r="H239" s="649"/>
      <c r="I239" s="75">
        <f t="shared" si="61"/>
        <v>1</v>
      </c>
      <c r="J239" s="649"/>
      <c r="K239" s="75">
        <f t="shared" si="62"/>
        <v>0</v>
      </c>
      <c r="L239" s="649"/>
      <c r="M239" s="75">
        <f t="shared" si="63"/>
        <v>1</v>
      </c>
      <c r="N239" s="649"/>
      <c r="O239" s="75">
        <f t="shared" si="64"/>
        <v>1</v>
      </c>
      <c r="P239" s="649"/>
      <c r="Q239" s="75">
        <f t="shared" si="65"/>
        <v>0</v>
      </c>
      <c r="R239" s="75">
        <f t="shared" si="66"/>
        <v>0</v>
      </c>
      <c r="S239" s="49">
        <f t="shared" si="67"/>
        <v>0</v>
      </c>
    </row>
    <row r="240" spans="1:19">
      <c r="A240" s="652"/>
      <c r="B240" s="648"/>
      <c r="C240" s="75">
        <f t="shared" si="58"/>
        <v>1</v>
      </c>
      <c r="D240" s="649"/>
      <c r="E240" s="75">
        <f t="shared" si="59"/>
        <v>0</v>
      </c>
      <c r="F240" s="649"/>
      <c r="G240" s="75">
        <f t="shared" si="60"/>
        <v>1</v>
      </c>
      <c r="H240" s="649"/>
      <c r="I240" s="75">
        <f t="shared" si="61"/>
        <v>1</v>
      </c>
      <c r="J240" s="649"/>
      <c r="K240" s="75">
        <f t="shared" si="62"/>
        <v>0</v>
      </c>
      <c r="L240" s="649"/>
      <c r="M240" s="75">
        <f t="shared" si="63"/>
        <v>1</v>
      </c>
      <c r="N240" s="649"/>
      <c r="O240" s="75">
        <f t="shared" si="64"/>
        <v>1</v>
      </c>
      <c r="P240" s="649"/>
      <c r="Q240" s="75">
        <f t="shared" si="65"/>
        <v>0</v>
      </c>
      <c r="R240" s="75">
        <f t="shared" si="66"/>
        <v>0</v>
      </c>
      <c r="S240" s="49">
        <f t="shared" si="67"/>
        <v>0</v>
      </c>
    </row>
    <row r="241" spans="1:19">
      <c r="A241" s="652"/>
      <c r="B241" s="648"/>
      <c r="C241" s="75">
        <f t="shared" si="58"/>
        <v>1</v>
      </c>
      <c r="D241" s="649"/>
      <c r="E241" s="75">
        <f t="shared" si="59"/>
        <v>0</v>
      </c>
      <c r="F241" s="649"/>
      <c r="G241" s="75">
        <f t="shared" si="60"/>
        <v>1</v>
      </c>
      <c r="H241" s="649"/>
      <c r="I241" s="75">
        <f t="shared" si="61"/>
        <v>1</v>
      </c>
      <c r="J241" s="649"/>
      <c r="K241" s="75">
        <f t="shared" si="62"/>
        <v>0</v>
      </c>
      <c r="L241" s="649"/>
      <c r="M241" s="75">
        <f t="shared" si="63"/>
        <v>1</v>
      </c>
      <c r="N241" s="649"/>
      <c r="O241" s="75">
        <f t="shared" si="64"/>
        <v>1</v>
      </c>
      <c r="P241" s="649"/>
      <c r="Q241" s="75">
        <f t="shared" si="65"/>
        <v>0</v>
      </c>
      <c r="R241" s="75">
        <f t="shared" si="66"/>
        <v>0</v>
      </c>
      <c r="S241" s="49">
        <f t="shared" si="67"/>
        <v>0</v>
      </c>
    </row>
    <row r="242" spans="1:19">
      <c r="A242" s="652"/>
      <c r="B242" s="648"/>
      <c r="C242" s="75">
        <f t="shared" si="58"/>
        <v>1</v>
      </c>
      <c r="D242" s="649"/>
      <c r="E242" s="75">
        <f t="shared" si="59"/>
        <v>0</v>
      </c>
      <c r="F242" s="649"/>
      <c r="G242" s="75">
        <f t="shared" si="60"/>
        <v>1</v>
      </c>
      <c r="H242" s="649"/>
      <c r="I242" s="75">
        <f t="shared" si="61"/>
        <v>1</v>
      </c>
      <c r="J242" s="649"/>
      <c r="K242" s="75">
        <f t="shared" si="62"/>
        <v>0</v>
      </c>
      <c r="L242" s="649"/>
      <c r="M242" s="75">
        <f t="shared" si="63"/>
        <v>1</v>
      </c>
      <c r="N242" s="649"/>
      <c r="O242" s="75">
        <f t="shared" si="64"/>
        <v>1</v>
      </c>
      <c r="P242" s="649"/>
      <c r="Q242" s="75">
        <f t="shared" si="65"/>
        <v>0</v>
      </c>
      <c r="R242" s="75">
        <f t="shared" si="66"/>
        <v>0</v>
      </c>
      <c r="S242" s="49">
        <f t="shared" si="67"/>
        <v>0</v>
      </c>
    </row>
    <row r="243" spans="1:19">
      <c r="A243" s="652"/>
      <c r="B243" s="648"/>
      <c r="C243" s="75">
        <f t="shared" si="58"/>
        <v>1</v>
      </c>
      <c r="D243" s="649"/>
      <c r="E243" s="75">
        <f t="shared" si="59"/>
        <v>0</v>
      </c>
      <c r="F243" s="649"/>
      <c r="G243" s="75">
        <f t="shared" si="60"/>
        <v>1</v>
      </c>
      <c r="H243" s="649"/>
      <c r="I243" s="75">
        <f t="shared" si="61"/>
        <v>1</v>
      </c>
      <c r="J243" s="649"/>
      <c r="K243" s="75">
        <f t="shared" si="62"/>
        <v>0</v>
      </c>
      <c r="L243" s="649"/>
      <c r="M243" s="75">
        <f t="shared" si="63"/>
        <v>1</v>
      </c>
      <c r="N243" s="649"/>
      <c r="O243" s="75">
        <f t="shared" si="64"/>
        <v>1</v>
      </c>
      <c r="P243" s="649"/>
      <c r="Q243" s="75">
        <f t="shared" si="65"/>
        <v>0</v>
      </c>
      <c r="R243" s="75">
        <f t="shared" si="66"/>
        <v>0</v>
      </c>
      <c r="S243" s="49">
        <f t="shared" si="67"/>
        <v>0</v>
      </c>
    </row>
    <row r="244" spans="1:19">
      <c r="A244" s="652"/>
      <c r="B244" s="648"/>
      <c r="C244" s="75">
        <f t="shared" si="58"/>
        <v>1</v>
      </c>
      <c r="D244" s="649"/>
      <c r="E244" s="75">
        <f t="shared" si="59"/>
        <v>0</v>
      </c>
      <c r="F244" s="649"/>
      <c r="G244" s="75">
        <f t="shared" si="60"/>
        <v>1</v>
      </c>
      <c r="H244" s="649"/>
      <c r="I244" s="75">
        <f t="shared" si="61"/>
        <v>1</v>
      </c>
      <c r="J244" s="649"/>
      <c r="K244" s="75">
        <f t="shared" si="62"/>
        <v>0</v>
      </c>
      <c r="L244" s="649"/>
      <c r="M244" s="75">
        <f t="shared" si="63"/>
        <v>1</v>
      </c>
      <c r="N244" s="649"/>
      <c r="O244" s="75">
        <f t="shared" si="64"/>
        <v>1</v>
      </c>
      <c r="P244" s="649"/>
      <c r="Q244" s="75">
        <f t="shared" si="65"/>
        <v>0</v>
      </c>
      <c r="R244" s="75">
        <f t="shared" si="66"/>
        <v>0</v>
      </c>
      <c r="S244" s="49">
        <f t="shared" si="67"/>
        <v>0</v>
      </c>
    </row>
    <row r="245" spans="1:19">
      <c r="A245" s="652"/>
      <c r="B245" s="648"/>
      <c r="C245" s="75">
        <f t="shared" si="58"/>
        <v>1</v>
      </c>
      <c r="D245" s="649"/>
      <c r="E245" s="75">
        <f t="shared" si="59"/>
        <v>0</v>
      </c>
      <c r="F245" s="649"/>
      <c r="G245" s="75">
        <f t="shared" si="60"/>
        <v>1</v>
      </c>
      <c r="H245" s="649"/>
      <c r="I245" s="75">
        <f t="shared" si="61"/>
        <v>1</v>
      </c>
      <c r="J245" s="649"/>
      <c r="K245" s="75">
        <f t="shared" si="62"/>
        <v>0</v>
      </c>
      <c r="L245" s="649"/>
      <c r="M245" s="75">
        <f t="shared" si="63"/>
        <v>1</v>
      </c>
      <c r="N245" s="649"/>
      <c r="O245" s="75">
        <f t="shared" si="64"/>
        <v>1</v>
      </c>
      <c r="P245" s="649"/>
      <c r="Q245" s="75">
        <f t="shared" si="65"/>
        <v>0</v>
      </c>
      <c r="R245" s="75">
        <f t="shared" si="66"/>
        <v>0</v>
      </c>
      <c r="S245" s="49">
        <f t="shared" si="67"/>
        <v>0</v>
      </c>
    </row>
    <row r="246" spans="1:19">
      <c r="A246" s="652"/>
      <c r="B246" s="648"/>
      <c r="C246" s="75">
        <f t="shared" si="58"/>
        <v>1</v>
      </c>
      <c r="D246" s="649"/>
      <c r="E246" s="75">
        <f t="shared" si="59"/>
        <v>0</v>
      </c>
      <c r="F246" s="649"/>
      <c r="G246" s="75">
        <f t="shared" si="60"/>
        <v>1</v>
      </c>
      <c r="H246" s="649"/>
      <c r="I246" s="75">
        <f t="shared" si="61"/>
        <v>1</v>
      </c>
      <c r="J246" s="649"/>
      <c r="K246" s="75">
        <f t="shared" si="62"/>
        <v>0</v>
      </c>
      <c r="L246" s="649"/>
      <c r="M246" s="75">
        <f t="shared" si="63"/>
        <v>1</v>
      </c>
      <c r="N246" s="649"/>
      <c r="O246" s="75">
        <f t="shared" si="64"/>
        <v>1</v>
      </c>
      <c r="P246" s="649"/>
      <c r="Q246" s="75">
        <f t="shared" si="65"/>
        <v>0</v>
      </c>
      <c r="R246" s="75">
        <f t="shared" si="66"/>
        <v>0</v>
      </c>
      <c r="S246" s="49">
        <f t="shared" si="67"/>
        <v>0</v>
      </c>
    </row>
    <row r="247" spans="1:19">
      <c r="A247" s="652"/>
      <c r="B247" s="648"/>
      <c r="C247" s="75">
        <f t="shared" si="58"/>
        <v>1</v>
      </c>
      <c r="D247" s="649"/>
      <c r="E247" s="75">
        <f t="shared" si="59"/>
        <v>0</v>
      </c>
      <c r="F247" s="649"/>
      <c r="G247" s="75">
        <f t="shared" si="60"/>
        <v>1</v>
      </c>
      <c r="H247" s="649"/>
      <c r="I247" s="75">
        <f t="shared" si="61"/>
        <v>1</v>
      </c>
      <c r="J247" s="649"/>
      <c r="K247" s="75">
        <f t="shared" si="62"/>
        <v>0</v>
      </c>
      <c r="L247" s="649"/>
      <c r="M247" s="75">
        <f t="shared" si="63"/>
        <v>1</v>
      </c>
      <c r="N247" s="649"/>
      <c r="O247" s="75">
        <f t="shared" si="64"/>
        <v>1</v>
      </c>
      <c r="P247" s="649"/>
      <c r="Q247" s="75">
        <f t="shared" si="65"/>
        <v>0</v>
      </c>
      <c r="R247" s="75">
        <f t="shared" si="66"/>
        <v>0</v>
      </c>
      <c r="S247" s="49">
        <f t="shared" si="67"/>
        <v>0</v>
      </c>
    </row>
    <row r="248" spans="1:19">
      <c r="A248" s="652"/>
      <c r="B248" s="648"/>
      <c r="C248" s="75">
        <f t="shared" si="58"/>
        <v>1</v>
      </c>
      <c r="D248" s="649"/>
      <c r="E248" s="75">
        <f t="shared" si="59"/>
        <v>0</v>
      </c>
      <c r="F248" s="649"/>
      <c r="G248" s="75">
        <f t="shared" si="60"/>
        <v>1</v>
      </c>
      <c r="H248" s="649"/>
      <c r="I248" s="75">
        <f t="shared" si="61"/>
        <v>1</v>
      </c>
      <c r="J248" s="649"/>
      <c r="K248" s="75">
        <f t="shared" si="62"/>
        <v>0</v>
      </c>
      <c r="L248" s="649"/>
      <c r="M248" s="75">
        <f t="shared" si="63"/>
        <v>1</v>
      </c>
      <c r="N248" s="649"/>
      <c r="O248" s="75">
        <f t="shared" si="64"/>
        <v>1</v>
      </c>
      <c r="P248" s="649"/>
      <c r="Q248" s="75">
        <f t="shared" si="65"/>
        <v>0</v>
      </c>
      <c r="R248" s="75">
        <f t="shared" si="66"/>
        <v>0</v>
      </c>
      <c r="S248" s="49">
        <f t="shared" si="67"/>
        <v>0</v>
      </c>
    </row>
    <row r="249" spans="1:19">
      <c r="A249" s="652"/>
      <c r="B249" s="648"/>
      <c r="C249" s="75">
        <f t="shared" si="58"/>
        <v>1</v>
      </c>
      <c r="D249" s="649"/>
      <c r="E249" s="75">
        <f t="shared" si="59"/>
        <v>0</v>
      </c>
      <c r="F249" s="649"/>
      <c r="G249" s="75">
        <f t="shared" si="60"/>
        <v>1</v>
      </c>
      <c r="H249" s="649"/>
      <c r="I249" s="75">
        <f t="shared" si="61"/>
        <v>1</v>
      </c>
      <c r="J249" s="649"/>
      <c r="K249" s="75">
        <f t="shared" si="62"/>
        <v>0</v>
      </c>
      <c r="L249" s="649"/>
      <c r="M249" s="75">
        <f t="shared" si="63"/>
        <v>1</v>
      </c>
      <c r="N249" s="649"/>
      <c r="O249" s="75">
        <f t="shared" si="64"/>
        <v>1</v>
      </c>
      <c r="P249" s="649"/>
      <c r="Q249" s="75">
        <f t="shared" si="65"/>
        <v>0</v>
      </c>
      <c r="R249" s="75">
        <f t="shared" si="66"/>
        <v>0</v>
      </c>
      <c r="S249" s="49">
        <f t="shared" si="67"/>
        <v>0</v>
      </c>
    </row>
    <row r="250" spans="1:19">
      <c r="A250" s="652"/>
      <c r="B250" s="648"/>
      <c r="C250" s="75">
        <f t="shared" si="58"/>
        <v>1</v>
      </c>
      <c r="D250" s="649"/>
      <c r="E250" s="75">
        <f t="shared" si="59"/>
        <v>0</v>
      </c>
      <c r="F250" s="649"/>
      <c r="G250" s="75">
        <f t="shared" si="60"/>
        <v>1</v>
      </c>
      <c r="H250" s="649"/>
      <c r="I250" s="75">
        <f t="shared" si="61"/>
        <v>1</v>
      </c>
      <c r="J250" s="649"/>
      <c r="K250" s="75">
        <f t="shared" si="62"/>
        <v>0</v>
      </c>
      <c r="L250" s="649"/>
      <c r="M250" s="75">
        <f t="shared" si="63"/>
        <v>1</v>
      </c>
      <c r="N250" s="649"/>
      <c r="O250" s="75">
        <f t="shared" si="64"/>
        <v>1</v>
      </c>
      <c r="P250" s="649"/>
      <c r="Q250" s="75">
        <f t="shared" si="65"/>
        <v>0</v>
      </c>
      <c r="R250" s="75">
        <f t="shared" si="66"/>
        <v>0</v>
      </c>
      <c r="S250" s="49">
        <f t="shared" si="67"/>
        <v>0</v>
      </c>
    </row>
    <row r="251" spans="1:19">
      <c r="A251" s="652"/>
      <c r="B251" s="648"/>
      <c r="C251" s="75">
        <f t="shared" si="58"/>
        <v>1</v>
      </c>
      <c r="D251" s="649"/>
      <c r="E251" s="75">
        <f t="shared" si="59"/>
        <v>0</v>
      </c>
      <c r="F251" s="649"/>
      <c r="G251" s="75">
        <f t="shared" si="60"/>
        <v>1</v>
      </c>
      <c r="H251" s="649"/>
      <c r="I251" s="75">
        <f t="shared" si="61"/>
        <v>1</v>
      </c>
      <c r="J251" s="649"/>
      <c r="K251" s="75">
        <f t="shared" si="62"/>
        <v>0</v>
      </c>
      <c r="L251" s="649"/>
      <c r="M251" s="75">
        <f t="shared" si="63"/>
        <v>1</v>
      </c>
      <c r="N251" s="649"/>
      <c r="O251" s="75">
        <f t="shared" si="64"/>
        <v>1</v>
      </c>
      <c r="P251" s="649"/>
      <c r="Q251" s="75">
        <f t="shared" si="65"/>
        <v>0</v>
      </c>
      <c r="R251" s="75">
        <f t="shared" si="66"/>
        <v>0</v>
      </c>
      <c r="S251" s="49">
        <f t="shared" si="67"/>
        <v>0</v>
      </c>
    </row>
    <row r="252" spans="1:19">
      <c r="A252" s="652"/>
      <c r="B252" s="648"/>
      <c r="C252" s="75">
        <f t="shared" si="58"/>
        <v>1</v>
      </c>
      <c r="D252" s="649"/>
      <c r="E252" s="75">
        <f t="shared" si="59"/>
        <v>0</v>
      </c>
      <c r="F252" s="649"/>
      <c r="G252" s="75">
        <f t="shared" si="60"/>
        <v>1</v>
      </c>
      <c r="H252" s="649"/>
      <c r="I252" s="75">
        <f t="shared" si="61"/>
        <v>1</v>
      </c>
      <c r="J252" s="649"/>
      <c r="K252" s="75">
        <f t="shared" si="62"/>
        <v>0</v>
      </c>
      <c r="L252" s="649"/>
      <c r="M252" s="75">
        <f t="shared" si="63"/>
        <v>1</v>
      </c>
      <c r="N252" s="649"/>
      <c r="O252" s="75">
        <f t="shared" si="64"/>
        <v>1</v>
      </c>
      <c r="P252" s="649"/>
      <c r="Q252" s="75">
        <f t="shared" si="65"/>
        <v>0</v>
      </c>
      <c r="R252" s="75">
        <f t="shared" si="66"/>
        <v>0</v>
      </c>
      <c r="S252" s="49">
        <f t="shared" si="67"/>
        <v>0</v>
      </c>
    </row>
    <row r="253" spans="1:19">
      <c r="A253" s="652"/>
      <c r="B253" s="648"/>
      <c r="C253" s="75">
        <f t="shared" si="58"/>
        <v>1</v>
      </c>
      <c r="D253" s="649"/>
      <c r="E253" s="75">
        <f t="shared" si="59"/>
        <v>0</v>
      </c>
      <c r="F253" s="649"/>
      <c r="G253" s="75">
        <f t="shared" si="60"/>
        <v>1</v>
      </c>
      <c r="H253" s="649"/>
      <c r="I253" s="75">
        <f t="shared" si="61"/>
        <v>1</v>
      </c>
      <c r="J253" s="649"/>
      <c r="K253" s="75">
        <f t="shared" si="62"/>
        <v>0</v>
      </c>
      <c r="L253" s="649"/>
      <c r="M253" s="75">
        <f t="shared" si="63"/>
        <v>1</v>
      </c>
      <c r="N253" s="649"/>
      <c r="O253" s="75">
        <f t="shared" si="64"/>
        <v>1</v>
      </c>
      <c r="P253" s="649"/>
      <c r="Q253" s="75">
        <f t="shared" si="65"/>
        <v>0</v>
      </c>
      <c r="R253" s="75">
        <f t="shared" si="66"/>
        <v>0</v>
      </c>
      <c r="S253" s="49">
        <f t="shared" si="67"/>
        <v>0</v>
      </c>
    </row>
    <row r="254" spans="1:19">
      <c r="A254" s="652"/>
      <c r="B254" s="648"/>
      <c r="C254" s="75">
        <f t="shared" si="58"/>
        <v>1</v>
      </c>
      <c r="D254" s="649"/>
      <c r="E254" s="75">
        <f t="shared" si="59"/>
        <v>0</v>
      </c>
      <c r="F254" s="649"/>
      <c r="G254" s="75">
        <f t="shared" si="60"/>
        <v>1</v>
      </c>
      <c r="H254" s="649"/>
      <c r="I254" s="75">
        <f t="shared" si="61"/>
        <v>1</v>
      </c>
      <c r="J254" s="649"/>
      <c r="K254" s="75">
        <f t="shared" si="62"/>
        <v>0</v>
      </c>
      <c r="L254" s="649"/>
      <c r="M254" s="75">
        <f t="shared" si="63"/>
        <v>1</v>
      </c>
      <c r="N254" s="649"/>
      <c r="O254" s="75">
        <f t="shared" si="64"/>
        <v>1</v>
      </c>
      <c r="P254" s="649"/>
      <c r="Q254" s="75">
        <f t="shared" si="65"/>
        <v>0</v>
      </c>
      <c r="R254" s="75">
        <f t="shared" si="66"/>
        <v>0</v>
      </c>
      <c r="S254" s="49">
        <f t="shared" si="67"/>
        <v>0</v>
      </c>
    </row>
    <row r="255" spans="1:19">
      <c r="A255" s="652"/>
      <c r="B255" s="648"/>
      <c r="C255" s="75">
        <f t="shared" si="58"/>
        <v>1</v>
      </c>
      <c r="D255" s="649"/>
      <c r="E255" s="75">
        <f t="shared" si="59"/>
        <v>0</v>
      </c>
      <c r="F255" s="649"/>
      <c r="G255" s="75">
        <f t="shared" si="60"/>
        <v>1</v>
      </c>
      <c r="H255" s="649"/>
      <c r="I255" s="75">
        <f t="shared" si="61"/>
        <v>1</v>
      </c>
      <c r="J255" s="649"/>
      <c r="K255" s="75">
        <f t="shared" si="62"/>
        <v>0</v>
      </c>
      <c r="L255" s="649"/>
      <c r="M255" s="75">
        <f t="shared" si="63"/>
        <v>1</v>
      </c>
      <c r="N255" s="649"/>
      <c r="O255" s="75">
        <f t="shared" si="64"/>
        <v>1</v>
      </c>
      <c r="P255" s="649"/>
      <c r="Q255" s="75">
        <f t="shared" si="65"/>
        <v>0</v>
      </c>
      <c r="R255" s="75">
        <f t="shared" si="66"/>
        <v>0</v>
      </c>
      <c r="S255" s="49">
        <f t="shared" si="67"/>
        <v>0</v>
      </c>
    </row>
    <row r="256" spans="1:19">
      <c r="A256" s="652"/>
      <c r="B256" s="648"/>
      <c r="C256" s="75">
        <f t="shared" si="58"/>
        <v>1</v>
      </c>
      <c r="D256" s="649"/>
      <c r="E256" s="75">
        <f t="shared" si="59"/>
        <v>0</v>
      </c>
      <c r="F256" s="649"/>
      <c r="G256" s="75">
        <f t="shared" si="60"/>
        <v>1</v>
      </c>
      <c r="H256" s="649"/>
      <c r="I256" s="75">
        <f t="shared" si="61"/>
        <v>1</v>
      </c>
      <c r="J256" s="649"/>
      <c r="K256" s="75">
        <f t="shared" si="62"/>
        <v>0</v>
      </c>
      <c r="L256" s="649"/>
      <c r="M256" s="75">
        <f t="shared" si="63"/>
        <v>1</v>
      </c>
      <c r="N256" s="649"/>
      <c r="O256" s="75">
        <f t="shared" si="64"/>
        <v>1</v>
      </c>
      <c r="P256" s="649"/>
      <c r="Q256" s="75">
        <f t="shared" si="65"/>
        <v>0</v>
      </c>
      <c r="R256" s="75">
        <f t="shared" si="66"/>
        <v>0</v>
      </c>
      <c r="S256" s="49">
        <f t="shared" si="67"/>
        <v>0</v>
      </c>
    </row>
    <row r="257" spans="1:19">
      <c r="A257" s="652"/>
      <c r="B257" s="648"/>
      <c r="C257" s="75">
        <f t="shared" si="58"/>
        <v>1</v>
      </c>
      <c r="D257" s="649"/>
      <c r="E257" s="75">
        <f t="shared" si="59"/>
        <v>0</v>
      </c>
      <c r="F257" s="649"/>
      <c r="G257" s="75">
        <f t="shared" si="60"/>
        <v>1</v>
      </c>
      <c r="H257" s="649"/>
      <c r="I257" s="75">
        <f t="shared" si="61"/>
        <v>1</v>
      </c>
      <c r="J257" s="649"/>
      <c r="K257" s="75">
        <f t="shared" si="62"/>
        <v>0</v>
      </c>
      <c r="L257" s="649"/>
      <c r="M257" s="75">
        <f t="shared" si="63"/>
        <v>1</v>
      </c>
      <c r="N257" s="649"/>
      <c r="O257" s="75">
        <f t="shared" si="64"/>
        <v>1</v>
      </c>
      <c r="P257" s="649"/>
      <c r="Q257" s="75">
        <f t="shared" si="65"/>
        <v>0</v>
      </c>
      <c r="R257" s="75">
        <f t="shared" si="66"/>
        <v>0</v>
      </c>
      <c r="S257" s="49">
        <f t="shared" si="67"/>
        <v>0</v>
      </c>
    </row>
    <row r="258" spans="1:19">
      <c r="A258" s="652"/>
      <c r="B258" s="648"/>
      <c r="C258" s="75">
        <f t="shared" si="58"/>
        <v>1</v>
      </c>
      <c r="D258" s="649"/>
      <c r="E258" s="75">
        <f t="shared" si="59"/>
        <v>0</v>
      </c>
      <c r="F258" s="649"/>
      <c r="G258" s="75">
        <f t="shared" si="60"/>
        <v>1</v>
      </c>
      <c r="H258" s="649"/>
      <c r="I258" s="75">
        <f t="shared" si="61"/>
        <v>1</v>
      </c>
      <c r="J258" s="649"/>
      <c r="K258" s="75">
        <f t="shared" si="62"/>
        <v>0</v>
      </c>
      <c r="L258" s="649"/>
      <c r="M258" s="75">
        <f t="shared" si="63"/>
        <v>1</v>
      </c>
      <c r="N258" s="649"/>
      <c r="O258" s="75">
        <f t="shared" si="64"/>
        <v>1</v>
      </c>
      <c r="P258" s="649"/>
      <c r="Q258" s="75">
        <f t="shared" si="65"/>
        <v>0</v>
      </c>
      <c r="R258" s="75">
        <f t="shared" si="66"/>
        <v>0</v>
      </c>
      <c r="S258" s="49">
        <f t="shared" si="67"/>
        <v>0</v>
      </c>
    </row>
    <row r="259" spans="1:19">
      <c r="A259" s="652"/>
      <c r="B259" s="648"/>
      <c r="C259" s="75">
        <f t="shared" si="58"/>
        <v>1</v>
      </c>
      <c r="D259" s="649"/>
      <c r="E259" s="75">
        <f t="shared" si="59"/>
        <v>0</v>
      </c>
      <c r="F259" s="649"/>
      <c r="G259" s="75">
        <f t="shared" si="60"/>
        <v>1</v>
      </c>
      <c r="H259" s="649"/>
      <c r="I259" s="75">
        <f t="shared" si="61"/>
        <v>1</v>
      </c>
      <c r="J259" s="649"/>
      <c r="K259" s="75">
        <f t="shared" si="62"/>
        <v>0</v>
      </c>
      <c r="L259" s="649"/>
      <c r="M259" s="75">
        <f t="shared" si="63"/>
        <v>1</v>
      </c>
      <c r="N259" s="649"/>
      <c r="O259" s="75">
        <f t="shared" si="64"/>
        <v>1</v>
      </c>
      <c r="P259" s="649"/>
      <c r="Q259" s="75">
        <f t="shared" si="65"/>
        <v>0</v>
      </c>
      <c r="R259" s="75">
        <f t="shared" si="66"/>
        <v>0</v>
      </c>
      <c r="S259" s="49">
        <f t="shared" si="67"/>
        <v>0</v>
      </c>
    </row>
    <row r="260" spans="1:19">
      <c r="A260" s="652"/>
      <c r="B260" s="648"/>
      <c r="C260" s="75">
        <f t="shared" si="58"/>
        <v>1</v>
      </c>
      <c r="D260" s="649"/>
      <c r="E260" s="75">
        <f t="shared" si="59"/>
        <v>0</v>
      </c>
      <c r="F260" s="649"/>
      <c r="G260" s="75">
        <f t="shared" si="60"/>
        <v>1</v>
      </c>
      <c r="H260" s="649"/>
      <c r="I260" s="75">
        <f t="shared" si="61"/>
        <v>1</v>
      </c>
      <c r="J260" s="649"/>
      <c r="K260" s="75">
        <f t="shared" si="62"/>
        <v>0</v>
      </c>
      <c r="L260" s="649"/>
      <c r="M260" s="75">
        <f t="shared" si="63"/>
        <v>1</v>
      </c>
      <c r="N260" s="649"/>
      <c r="O260" s="75">
        <f t="shared" si="64"/>
        <v>1</v>
      </c>
      <c r="P260" s="649"/>
      <c r="Q260" s="75">
        <f t="shared" si="65"/>
        <v>0</v>
      </c>
      <c r="R260" s="75">
        <f t="shared" si="66"/>
        <v>0</v>
      </c>
      <c r="S260" s="49">
        <f t="shared" si="67"/>
        <v>0</v>
      </c>
    </row>
    <row r="261" spans="1:19">
      <c r="A261" s="652"/>
      <c r="B261" s="648"/>
      <c r="C261" s="75">
        <f t="shared" si="58"/>
        <v>1</v>
      </c>
      <c r="D261" s="649"/>
      <c r="E261" s="75">
        <f t="shared" si="59"/>
        <v>0</v>
      </c>
      <c r="F261" s="649"/>
      <c r="G261" s="75">
        <f t="shared" si="60"/>
        <v>1</v>
      </c>
      <c r="H261" s="649"/>
      <c r="I261" s="75">
        <f t="shared" si="61"/>
        <v>1</v>
      </c>
      <c r="J261" s="649"/>
      <c r="K261" s="75">
        <f t="shared" si="62"/>
        <v>0</v>
      </c>
      <c r="L261" s="649"/>
      <c r="M261" s="75">
        <f t="shared" si="63"/>
        <v>1</v>
      </c>
      <c r="N261" s="649"/>
      <c r="O261" s="75">
        <f t="shared" si="64"/>
        <v>1</v>
      </c>
      <c r="P261" s="649"/>
      <c r="Q261" s="75">
        <f t="shared" si="65"/>
        <v>0</v>
      </c>
      <c r="R261" s="75">
        <f t="shared" si="66"/>
        <v>0</v>
      </c>
      <c r="S261" s="49">
        <f t="shared" si="67"/>
        <v>0</v>
      </c>
    </row>
    <row r="262" spans="1:19">
      <c r="A262" s="652"/>
      <c r="B262" s="648"/>
      <c r="C262" s="75">
        <f t="shared" si="58"/>
        <v>1</v>
      </c>
      <c r="D262" s="649"/>
      <c r="E262" s="75">
        <f t="shared" si="59"/>
        <v>0</v>
      </c>
      <c r="F262" s="649"/>
      <c r="G262" s="75">
        <f t="shared" si="60"/>
        <v>1</v>
      </c>
      <c r="H262" s="649"/>
      <c r="I262" s="75">
        <f t="shared" si="61"/>
        <v>1</v>
      </c>
      <c r="J262" s="649"/>
      <c r="K262" s="75">
        <f t="shared" si="62"/>
        <v>0</v>
      </c>
      <c r="L262" s="649"/>
      <c r="M262" s="75">
        <f t="shared" si="63"/>
        <v>1</v>
      </c>
      <c r="N262" s="649"/>
      <c r="O262" s="75">
        <f t="shared" si="64"/>
        <v>1</v>
      </c>
      <c r="P262" s="649"/>
      <c r="Q262" s="75">
        <f t="shared" si="65"/>
        <v>0</v>
      </c>
      <c r="R262" s="75">
        <f t="shared" si="66"/>
        <v>0</v>
      </c>
      <c r="S262" s="49">
        <f t="shared" si="67"/>
        <v>0</v>
      </c>
    </row>
    <row r="263" spans="1:19">
      <c r="A263" s="652"/>
      <c r="B263" s="648"/>
      <c r="C263" s="75">
        <f t="shared" si="58"/>
        <v>1</v>
      </c>
      <c r="D263" s="649"/>
      <c r="E263" s="75">
        <f t="shared" si="59"/>
        <v>0</v>
      </c>
      <c r="F263" s="649"/>
      <c r="G263" s="75">
        <f t="shared" si="60"/>
        <v>1</v>
      </c>
      <c r="H263" s="649"/>
      <c r="I263" s="75">
        <f t="shared" si="61"/>
        <v>1</v>
      </c>
      <c r="J263" s="649"/>
      <c r="K263" s="75">
        <f t="shared" si="62"/>
        <v>0</v>
      </c>
      <c r="L263" s="649"/>
      <c r="M263" s="75">
        <f t="shared" si="63"/>
        <v>1</v>
      </c>
      <c r="N263" s="649"/>
      <c r="O263" s="75">
        <f t="shared" si="64"/>
        <v>1</v>
      </c>
      <c r="P263" s="649"/>
      <c r="Q263" s="75">
        <f t="shared" si="65"/>
        <v>0</v>
      </c>
      <c r="R263" s="75">
        <f t="shared" si="66"/>
        <v>0</v>
      </c>
      <c r="S263" s="49">
        <f t="shared" si="67"/>
        <v>0</v>
      </c>
    </row>
    <row r="264" spans="1:19">
      <c r="A264" s="652"/>
      <c r="B264" s="648"/>
      <c r="C264" s="75">
        <f t="shared" si="58"/>
        <v>1</v>
      </c>
      <c r="D264" s="649"/>
      <c r="E264" s="75">
        <f t="shared" si="59"/>
        <v>0</v>
      </c>
      <c r="F264" s="649"/>
      <c r="G264" s="75">
        <f t="shared" si="60"/>
        <v>1</v>
      </c>
      <c r="H264" s="649"/>
      <c r="I264" s="75">
        <f t="shared" si="61"/>
        <v>1</v>
      </c>
      <c r="J264" s="649"/>
      <c r="K264" s="75">
        <f t="shared" si="62"/>
        <v>0</v>
      </c>
      <c r="L264" s="649"/>
      <c r="M264" s="75">
        <f t="shared" si="63"/>
        <v>1</v>
      </c>
      <c r="N264" s="649"/>
      <c r="O264" s="75">
        <f t="shared" si="64"/>
        <v>1</v>
      </c>
      <c r="P264" s="649"/>
      <c r="Q264" s="75">
        <f t="shared" si="65"/>
        <v>0</v>
      </c>
      <c r="R264" s="75">
        <f t="shared" si="66"/>
        <v>0</v>
      </c>
      <c r="S264" s="49">
        <f t="shared" si="67"/>
        <v>0</v>
      </c>
    </row>
    <row r="265" spans="1:19">
      <c r="A265" s="652"/>
      <c r="B265" s="648"/>
      <c r="C265" s="75">
        <f t="shared" si="58"/>
        <v>1</v>
      </c>
      <c r="D265" s="649"/>
      <c r="E265" s="75">
        <f t="shared" si="59"/>
        <v>0</v>
      </c>
      <c r="F265" s="649"/>
      <c r="G265" s="75">
        <f t="shared" si="60"/>
        <v>1</v>
      </c>
      <c r="H265" s="649"/>
      <c r="I265" s="75">
        <f t="shared" si="61"/>
        <v>1</v>
      </c>
      <c r="J265" s="649"/>
      <c r="K265" s="75">
        <f t="shared" si="62"/>
        <v>0</v>
      </c>
      <c r="L265" s="649"/>
      <c r="M265" s="75">
        <f t="shared" si="63"/>
        <v>1</v>
      </c>
      <c r="N265" s="649"/>
      <c r="O265" s="75">
        <f t="shared" si="64"/>
        <v>1</v>
      </c>
      <c r="P265" s="649"/>
      <c r="Q265" s="75">
        <f t="shared" si="65"/>
        <v>0</v>
      </c>
      <c r="R265" s="75">
        <f t="shared" si="66"/>
        <v>0</v>
      </c>
      <c r="S265" s="49">
        <f t="shared" si="67"/>
        <v>0</v>
      </c>
    </row>
    <row r="266" spans="1:19">
      <c r="A266" s="652"/>
      <c r="B266" s="648"/>
      <c r="C266" s="75">
        <f t="shared" si="58"/>
        <v>1</v>
      </c>
      <c r="D266" s="649"/>
      <c r="E266" s="75">
        <f t="shared" si="59"/>
        <v>0</v>
      </c>
      <c r="F266" s="649"/>
      <c r="G266" s="75">
        <f t="shared" si="60"/>
        <v>1</v>
      </c>
      <c r="H266" s="649"/>
      <c r="I266" s="75">
        <f t="shared" si="61"/>
        <v>1</v>
      </c>
      <c r="J266" s="649"/>
      <c r="K266" s="75">
        <f t="shared" si="62"/>
        <v>0</v>
      </c>
      <c r="L266" s="649"/>
      <c r="M266" s="75">
        <f t="shared" si="63"/>
        <v>1</v>
      </c>
      <c r="N266" s="649"/>
      <c r="O266" s="75">
        <f t="shared" si="64"/>
        <v>1</v>
      </c>
      <c r="P266" s="649"/>
      <c r="Q266" s="75">
        <f t="shared" si="65"/>
        <v>0</v>
      </c>
      <c r="R266" s="75">
        <f t="shared" si="66"/>
        <v>0</v>
      </c>
      <c r="S266" s="49">
        <f t="shared" si="67"/>
        <v>0</v>
      </c>
    </row>
    <row r="267" spans="1:19">
      <c r="A267" s="652"/>
      <c r="B267" s="648"/>
      <c r="C267" s="75">
        <f t="shared" si="58"/>
        <v>1</v>
      </c>
      <c r="D267" s="649"/>
      <c r="E267" s="75">
        <f t="shared" si="59"/>
        <v>0</v>
      </c>
      <c r="F267" s="649"/>
      <c r="G267" s="75">
        <f t="shared" si="60"/>
        <v>1</v>
      </c>
      <c r="H267" s="649"/>
      <c r="I267" s="75">
        <f t="shared" si="61"/>
        <v>1</v>
      </c>
      <c r="J267" s="649"/>
      <c r="K267" s="75">
        <f t="shared" si="62"/>
        <v>0</v>
      </c>
      <c r="L267" s="649"/>
      <c r="M267" s="75">
        <f t="shared" si="63"/>
        <v>1</v>
      </c>
      <c r="N267" s="649"/>
      <c r="O267" s="75">
        <f t="shared" si="64"/>
        <v>1</v>
      </c>
      <c r="P267" s="649"/>
      <c r="Q267" s="75">
        <f t="shared" si="65"/>
        <v>0</v>
      </c>
      <c r="R267" s="75">
        <f t="shared" si="66"/>
        <v>0</v>
      </c>
      <c r="S267" s="49">
        <f t="shared" si="67"/>
        <v>0</v>
      </c>
    </row>
    <row r="268" spans="1:19">
      <c r="A268" s="652"/>
      <c r="B268" s="648"/>
      <c r="C268" s="75">
        <f t="shared" si="58"/>
        <v>1</v>
      </c>
      <c r="D268" s="649"/>
      <c r="E268" s="75">
        <f t="shared" si="59"/>
        <v>0</v>
      </c>
      <c r="F268" s="649"/>
      <c r="G268" s="75">
        <f t="shared" si="60"/>
        <v>1</v>
      </c>
      <c r="H268" s="649"/>
      <c r="I268" s="75">
        <f t="shared" si="61"/>
        <v>1</v>
      </c>
      <c r="J268" s="649"/>
      <c r="K268" s="75">
        <f t="shared" si="62"/>
        <v>0</v>
      </c>
      <c r="L268" s="649"/>
      <c r="M268" s="75">
        <f t="shared" si="63"/>
        <v>1</v>
      </c>
      <c r="N268" s="649"/>
      <c r="O268" s="75">
        <f t="shared" si="64"/>
        <v>1</v>
      </c>
      <c r="P268" s="649"/>
      <c r="Q268" s="75">
        <f t="shared" si="65"/>
        <v>0</v>
      </c>
      <c r="R268" s="75">
        <f t="shared" si="66"/>
        <v>0</v>
      </c>
      <c r="S268" s="49">
        <f t="shared" si="67"/>
        <v>0</v>
      </c>
    </row>
    <row r="269" spans="1:19">
      <c r="A269" s="652"/>
      <c r="B269" s="648"/>
      <c r="C269" s="75">
        <f t="shared" si="58"/>
        <v>1</v>
      </c>
      <c r="D269" s="649"/>
      <c r="E269" s="75">
        <f t="shared" si="59"/>
        <v>0</v>
      </c>
      <c r="F269" s="649"/>
      <c r="G269" s="75">
        <f t="shared" si="60"/>
        <v>1</v>
      </c>
      <c r="H269" s="649"/>
      <c r="I269" s="75">
        <f t="shared" si="61"/>
        <v>1</v>
      </c>
      <c r="J269" s="649"/>
      <c r="K269" s="75">
        <f t="shared" si="62"/>
        <v>0</v>
      </c>
      <c r="L269" s="649"/>
      <c r="M269" s="75">
        <f t="shared" si="63"/>
        <v>1</v>
      </c>
      <c r="N269" s="649"/>
      <c r="O269" s="75">
        <f t="shared" si="64"/>
        <v>1</v>
      </c>
      <c r="P269" s="649"/>
      <c r="Q269" s="75">
        <f t="shared" si="65"/>
        <v>0</v>
      </c>
      <c r="R269" s="75">
        <f t="shared" si="66"/>
        <v>0</v>
      </c>
      <c r="S269" s="49">
        <f t="shared" si="67"/>
        <v>0</v>
      </c>
    </row>
    <row r="270" spans="1:19">
      <c r="A270" s="652"/>
      <c r="B270" s="648"/>
      <c r="C270" s="75">
        <f t="shared" si="58"/>
        <v>1</v>
      </c>
      <c r="D270" s="649"/>
      <c r="E270" s="75">
        <f t="shared" si="59"/>
        <v>0</v>
      </c>
      <c r="F270" s="649"/>
      <c r="G270" s="75">
        <f t="shared" si="60"/>
        <v>1</v>
      </c>
      <c r="H270" s="649"/>
      <c r="I270" s="75">
        <f t="shared" si="61"/>
        <v>1</v>
      </c>
      <c r="J270" s="649"/>
      <c r="K270" s="75">
        <f t="shared" si="62"/>
        <v>0</v>
      </c>
      <c r="L270" s="649"/>
      <c r="M270" s="75">
        <f t="shared" si="63"/>
        <v>1</v>
      </c>
      <c r="N270" s="649"/>
      <c r="O270" s="75">
        <f t="shared" si="64"/>
        <v>1</v>
      </c>
      <c r="P270" s="649"/>
      <c r="Q270" s="75">
        <f t="shared" si="65"/>
        <v>0</v>
      </c>
      <c r="R270" s="75">
        <f t="shared" si="66"/>
        <v>0</v>
      </c>
      <c r="S270" s="49">
        <f t="shared" si="67"/>
        <v>0</v>
      </c>
    </row>
    <row r="271" spans="1:19">
      <c r="A271" s="652"/>
      <c r="B271" s="648"/>
      <c r="C271" s="75">
        <f t="shared" si="58"/>
        <v>1</v>
      </c>
      <c r="D271" s="649"/>
      <c r="E271" s="75">
        <f t="shared" si="59"/>
        <v>0</v>
      </c>
      <c r="F271" s="649"/>
      <c r="G271" s="75">
        <f t="shared" si="60"/>
        <v>1</v>
      </c>
      <c r="H271" s="649"/>
      <c r="I271" s="75">
        <f t="shared" si="61"/>
        <v>1</v>
      </c>
      <c r="J271" s="649"/>
      <c r="K271" s="75">
        <f t="shared" si="62"/>
        <v>0</v>
      </c>
      <c r="L271" s="649"/>
      <c r="M271" s="75">
        <f t="shared" si="63"/>
        <v>1</v>
      </c>
      <c r="N271" s="649"/>
      <c r="O271" s="75">
        <f t="shared" si="64"/>
        <v>1</v>
      </c>
      <c r="P271" s="649"/>
      <c r="Q271" s="75">
        <f t="shared" si="65"/>
        <v>0</v>
      </c>
      <c r="R271" s="75">
        <f t="shared" si="66"/>
        <v>0</v>
      </c>
      <c r="S271" s="49">
        <f t="shared" si="67"/>
        <v>0</v>
      </c>
    </row>
    <row r="272" spans="1:19">
      <c r="A272" s="652"/>
      <c r="B272" s="648"/>
      <c r="C272" s="75">
        <f t="shared" si="58"/>
        <v>1</v>
      </c>
      <c r="D272" s="649"/>
      <c r="E272" s="75">
        <f t="shared" si="59"/>
        <v>0</v>
      </c>
      <c r="F272" s="649"/>
      <c r="G272" s="75">
        <f t="shared" si="60"/>
        <v>1</v>
      </c>
      <c r="H272" s="649"/>
      <c r="I272" s="75">
        <f t="shared" si="61"/>
        <v>1</v>
      </c>
      <c r="J272" s="649"/>
      <c r="K272" s="75">
        <f t="shared" si="62"/>
        <v>0</v>
      </c>
      <c r="L272" s="649"/>
      <c r="M272" s="75">
        <f t="shared" si="63"/>
        <v>1</v>
      </c>
      <c r="N272" s="649"/>
      <c r="O272" s="75">
        <f t="shared" si="64"/>
        <v>1</v>
      </c>
      <c r="P272" s="649"/>
      <c r="Q272" s="75">
        <f t="shared" si="65"/>
        <v>0</v>
      </c>
      <c r="R272" s="75">
        <f t="shared" si="66"/>
        <v>0</v>
      </c>
      <c r="S272" s="49">
        <f t="shared" si="67"/>
        <v>0</v>
      </c>
    </row>
    <row r="273" spans="1:19">
      <c r="A273" s="652"/>
      <c r="B273" s="648"/>
      <c r="C273" s="75">
        <f t="shared" si="58"/>
        <v>1</v>
      </c>
      <c r="D273" s="649"/>
      <c r="E273" s="75">
        <f t="shared" si="59"/>
        <v>0</v>
      </c>
      <c r="F273" s="649"/>
      <c r="G273" s="75">
        <f t="shared" si="60"/>
        <v>1</v>
      </c>
      <c r="H273" s="649"/>
      <c r="I273" s="75">
        <f t="shared" si="61"/>
        <v>1</v>
      </c>
      <c r="J273" s="649"/>
      <c r="K273" s="75">
        <f t="shared" si="62"/>
        <v>0</v>
      </c>
      <c r="L273" s="649"/>
      <c r="M273" s="75">
        <f t="shared" si="63"/>
        <v>1</v>
      </c>
      <c r="N273" s="649"/>
      <c r="O273" s="75">
        <f t="shared" si="64"/>
        <v>1</v>
      </c>
      <c r="P273" s="649"/>
      <c r="Q273" s="75">
        <f t="shared" si="65"/>
        <v>0</v>
      </c>
      <c r="R273" s="75">
        <f t="shared" si="66"/>
        <v>0</v>
      </c>
      <c r="S273" s="49">
        <f t="shared" si="67"/>
        <v>0</v>
      </c>
    </row>
    <row r="274" spans="1:19">
      <c r="A274" s="652"/>
      <c r="B274" s="648"/>
      <c r="C274" s="75">
        <f t="shared" si="58"/>
        <v>1</v>
      </c>
      <c r="D274" s="649"/>
      <c r="E274" s="75">
        <f t="shared" si="59"/>
        <v>0</v>
      </c>
      <c r="F274" s="649"/>
      <c r="G274" s="75">
        <f t="shared" si="60"/>
        <v>1</v>
      </c>
      <c r="H274" s="649"/>
      <c r="I274" s="75">
        <f t="shared" si="61"/>
        <v>1</v>
      </c>
      <c r="J274" s="649"/>
      <c r="K274" s="75">
        <f t="shared" si="62"/>
        <v>0</v>
      </c>
      <c r="L274" s="649"/>
      <c r="M274" s="75">
        <f t="shared" si="63"/>
        <v>1</v>
      </c>
      <c r="N274" s="649"/>
      <c r="O274" s="75">
        <f t="shared" si="64"/>
        <v>1</v>
      </c>
      <c r="P274" s="649"/>
      <c r="Q274" s="75">
        <f t="shared" si="65"/>
        <v>0</v>
      </c>
      <c r="R274" s="75">
        <f t="shared" si="66"/>
        <v>0</v>
      </c>
      <c r="S274" s="49">
        <f t="shared" si="67"/>
        <v>0</v>
      </c>
    </row>
    <row r="275" spans="1:19">
      <c r="A275" s="652"/>
      <c r="B275" s="648"/>
      <c r="C275" s="75">
        <f t="shared" si="58"/>
        <v>1</v>
      </c>
      <c r="D275" s="649"/>
      <c r="E275" s="75">
        <f t="shared" si="59"/>
        <v>0</v>
      </c>
      <c r="F275" s="649"/>
      <c r="G275" s="75">
        <f t="shared" si="60"/>
        <v>1</v>
      </c>
      <c r="H275" s="649"/>
      <c r="I275" s="75">
        <f t="shared" si="61"/>
        <v>1</v>
      </c>
      <c r="J275" s="649"/>
      <c r="K275" s="75">
        <f t="shared" si="62"/>
        <v>0</v>
      </c>
      <c r="L275" s="649"/>
      <c r="M275" s="75">
        <f t="shared" si="63"/>
        <v>1</v>
      </c>
      <c r="N275" s="649"/>
      <c r="O275" s="75">
        <f t="shared" si="64"/>
        <v>1</v>
      </c>
      <c r="P275" s="649"/>
      <c r="Q275" s="75">
        <f t="shared" si="65"/>
        <v>0</v>
      </c>
      <c r="R275" s="75">
        <f t="shared" si="66"/>
        <v>0</v>
      </c>
      <c r="S275" s="49">
        <f t="shared" si="67"/>
        <v>0</v>
      </c>
    </row>
    <row r="276" spans="1:19">
      <c r="A276" s="652"/>
      <c r="B276" s="648"/>
      <c r="C276" s="75">
        <f t="shared" si="58"/>
        <v>1</v>
      </c>
      <c r="D276" s="649"/>
      <c r="E276" s="75">
        <f t="shared" si="59"/>
        <v>0</v>
      </c>
      <c r="F276" s="649"/>
      <c r="G276" s="75">
        <f t="shared" si="60"/>
        <v>1</v>
      </c>
      <c r="H276" s="649"/>
      <c r="I276" s="75">
        <f t="shared" si="61"/>
        <v>1</v>
      </c>
      <c r="J276" s="649"/>
      <c r="K276" s="75">
        <f t="shared" si="62"/>
        <v>0</v>
      </c>
      <c r="L276" s="649"/>
      <c r="M276" s="75">
        <f t="shared" si="63"/>
        <v>1</v>
      </c>
      <c r="N276" s="649"/>
      <c r="O276" s="75">
        <f t="shared" si="64"/>
        <v>1</v>
      </c>
      <c r="P276" s="649"/>
      <c r="Q276" s="75">
        <f t="shared" si="65"/>
        <v>0</v>
      </c>
      <c r="R276" s="75">
        <f t="shared" si="66"/>
        <v>0</v>
      </c>
      <c r="S276" s="49">
        <f t="shared" si="67"/>
        <v>0</v>
      </c>
    </row>
    <row r="277" spans="1:19">
      <c r="A277" s="652"/>
      <c r="B277" s="648"/>
      <c r="C277" s="75">
        <f t="shared" si="58"/>
        <v>1</v>
      </c>
      <c r="D277" s="649"/>
      <c r="E277" s="75">
        <f t="shared" si="59"/>
        <v>0</v>
      </c>
      <c r="F277" s="649"/>
      <c r="G277" s="75">
        <f t="shared" si="60"/>
        <v>1</v>
      </c>
      <c r="H277" s="649"/>
      <c r="I277" s="75">
        <f t="shared" si="61"/>
        <v>1</v>
      </c>
      <c r="J277" s="649"/>
      <c r="K277" s="75">
        <f t="shared" si="62"/>
        <v>0</v>
      </c>
      <c r="L277" s="649"/>
      <c r="M277" s="75">
        <f t="shared" si="63"/>
        <v>1</v>
      </c>
      <c r="N277" s="649"/>
      <c r="O277" s="75">
        <f t="shared" si="64"/>
        <v>1</v>
      </c>
      <c r="P277" s="649"/>
      <c r="Q277" s="75">
        <f t="shared" si="65"/>
        <v>0</v>
      </c>
      <c r="R277" s="75">
        <f t="shared" si="66"/>
        <v>0</v>
      </c>
      <c r="S277" s="49">
        <f t="shared" si="67"/>
        <v>0</v>
      </c>
    </row>
    <row r="278" spans="1:19">
      <c r="A278" s="652"/>
      <c r="B278" s="648"/>
      <c r="C278" s="75">
        <f t="shared" si="58"/>
        <v>1</v>
      </c>
      <c r="D278" s="649"/>
      <c r="E278" s="75">
        <f t="shared" si="59"/>
        <v>0</v>
      </c>
      <c r="F278" s="649"/>
      <c r="G278" s="75">
        <f t="shared" si="60"/>
        <v>1</v>
      </c>
      <c r="H278" s="649"/>
      <c r="I278" s="75">
        <f t="shared" si="61"/>
        <v>1</v>
      </c>
      <c r="J278" s="649"/>
      <c r="K278" s="75">
        <f t="shared" si="62"/>
        <v>0</v>
      </c>
      <c r="L278" s="649"/>
      <c r="M278" s="75">
        <f t="shared" si="63"/>
        <v>1</v>
      </c>
      <c r="N278" s="649"/>
      <c r="O278" s="75">
        <f t="shared" si="64"/>
        <v>1</v>
      </c>
      <c r="P278" s="649"/>
      <c r="Q278" s="75">
        <f t="shared" si="65"/>
        <v>0</v>
      </c>
      <c r="R278" s="75">
        <f t="shared" si="66"/>
        <v>0</v>
      </c>
      <c r="S278" s="49">
        <f t="shared" si="67"/>
        <v>0</v>
      </c>
    </row>
    <row r="279" spans="1:19">
      <c r="A279" s="652"/>
      <c r="B279" s="648"/>
      <c r="C279" s="75">
        <f t="shared" si="58"/>
        <v>1</v>
      </c>
      <c r="D279" s="649"/>
      <c r="E279" s="75">
        <f t="shared" si="59"/>
        <v>0</v>
      </c>
      <c r="F279" s="649"/>
      <c r="G279" s="75">
        <f t="shared" si="60"/>
        <v>1</v>
      </c>
      <c r="H279" s="649"/>
      <c r="I279" s="75">
        <f t="shared" si="61"/>
        <v>1</v>
      </c>
      <c r="J279" s="649"/>
      <c r="K279" s="75">
        <f t="shared" si="62"/>
        <v>0</v>
      </c>
      <c r="L279" s="649"/>
      <c r="M279" s="75">
        <f t="shared" si="63"/>
        <v>1</v>
      </c>
      <c r="N279" s="649"/>
      <c r="O279" s="75">
        <f t="shared" si="64"/>
        <v>1</v>
      </c>
      <c r="P279" s="649"/>
      <c r="Q279" s="75">
        <f t="shared" si="65"/>
        <v>0</v>
      </c>
      <c r="R279" s="75">
        <f t="shared" si="66"/>
        <v>0</v>
      </c>
      <c r="S279" s="49">
        <f t="shared" si="67"/>
        <v>0</v>
      </c>
    </row>
    <row r="280" spans="1:19">
      <c r="A280" s="652"/>
      <c r="B280" s="648"/>
      <c r="C280" s="75">
        <f t="shared" si="58"/>
        <v>1</v>
      </c>
      <c r="D280" s="649"/>
      <c r="E280" s="75">
        <f t="shared" si="59"/>
        <v>0</v>
      </c>
      <c r="F280" s="649"/>
      <c r="G280" s="75">
        <f t="shared" si="60"/>
        <v>1</v>
      </c>
      <c r="H280" s="649"/>
      <c r="I280" s="75">
        <f t="shared" si="61"/>
        <v>1</v>
      </c>
      <c r="J280" s="649"/>
      <c r="K280" s="75">
        <f t="shared" si="62"/>
        <v>0</v>
      </c>
      <c r="L280" s="649"/>
      <c r="M280" s="75">
        <f t="shared" si="63"/>
        <v>1</v>
      </c>
      <c r="N280" s="649"/>
      <c r="O280" s="75">
        <f t="shared" si="64"/>
        <v>1</v>
      </c>
      <c r="P280" s="649"/>
      <c r="Q280" s="75">
        <f t="shared" si="65"/>
        <v>0</v>
      </c>
      <c r="R280" s="75">
        <f t="shared" si="66"/>
        <v>0</v>
      </c>
      <c r="S280" s="49">
        <f t="shared" si="67"/>
        <v>0</v>
      </c>
    </row>
    <row r="281" spans="1:19">
      <c r="A281" s="652"/>
      <c r="B281" s="648"/>
      <c r="C281" s="75">
        <f t="shared" si="58"/>
        <v>1</v>
      </c>
      <c r="D281" s="649"/>
      <c r="E281" s="75">
        <f t="shared" si="59"/>
        <v>0</v>
      </c>
      <c r="F281" s="649"/>
      <c r="G281" s="75">
        <f t="shared" si="60"/>
        <v>1</v>
      </c>
      <c r="H281" s="649"/>
      <c r="I281" s="75">
        <f t="shared" si="61"/>
        <v>1</v>
      </c>
      <c r="J281" s="649"/>
      <c r="K281" s="75">
        <f t="shared" si="62"/>
        <v>0</v>
      </c>
      <c r="L281" s="649"/>
      <c r="M281" s="75">
        <f t="shared" si="63"/>
        <v>1</v>
      </c>
      <c r="N281" s="649"/>
      <c r="O281" s="75">
        <f t="shared" si="64"/>
        <v>1</v>
      </c>
      <c r="P281" s="649"/>
      <c r="Q281" s="75">
        <f t="shared" si="65"/>
        <v>0</v>
      </c>
      <c r="R281" s="75">
        <f t="shared" si="66"/>
        <v>0</v>
      </c>
      <c r="S281" s="49">
        <f t="shared" si="67"/>
        <v>0</v>
      </c>
    </row>
    <row r="282" spans="1:19">
      <c r="A282" s="652"/>
      <c r="B282" s="648"/>
      <c r="C282" s="75">
        <f t="shared" ref="C282:C345" si="68">IF(B282="",1,(LOOKUP(B282,$3:$3,$4:$4)-LOOKUP($B$24,$3:$3,$4:$4)+100)/100)</f>
        <v>1</v>
      </c>
      <c r="D282" s="649"/>
      <c r="E282" s="75">
        <f t="shared" ref="E282:E345" si="69">(SUMIF($5:$5,D282,$6:$6)-SUMIF($5:$5,$D$24,$6:$6)+100)/100</f>
        <v>0</v>
      </c>
      <c r="F282" s="649"/>
      <c r="G282" s="75">
        <f t="shared" ref="G282:G345" si="70">(SUMIF($7:$7,F282,$8:$8)-SUMIF($7:$7,$F$24,$8:$8)+100)/100</f>
        <v>1</v>
      </c>
      <c r="H282" s="649"/>
      <c r="I282" s="75">
        <f t="shared" ref="I282:I345" si="71">(SUMIF($9:$9,H282,$10:$10)-SUMIF($9:$9,$H$24,$10:$10)+100)/100</f>
        <v>1</v>
      </c>
      <c r="J282" s="649"/>
      <c r="K282" s="75">
        <f t="shared" ref="K282:K345" si="72">(SUMIF($11:$11,J282,$12:$12)-SUMIF($11:$11,$J$24,$12:$12)+100)/100</f>
        <v>0</v>
      </c>
      <c r="L282" s="649"/>
      <c r="M282" s="75">
        <f t="shared" ref="M282:M345" si="73">(SUMIF($13:$13,L282,$14:$14)-SUMIF($13:$13,$L$24,$14:$14)+100)/100</f>
        <v>1</v>
      </c>
      <c r="N282" s="649"/>
      <c r="O282" s="75">
        <f t="shared" ref="O282:O345" si="74">(SUMIF($15:$15,N282,$16:$16)-SUMIF($15:$15,$N$24,$16:$16)+100)/100</f>
        <v>1</v>
      </c>
      <c r="P282" s="649"/>
      <c r="Q282" s="75">
        <f t="shared" ref="Q282:Q345" si="75">(SUMIF($17:$17,P282,$18:$18)-SUMIF($17:$17,$P$24,$18:$18)+100)/100</f>
        <v>0</v>
      </c>
      <c r="R282" s="75">
        <f t="shared" ref="R282:R345" si="76">IF(B282="",0,ROUND($R$24*C282*E282*G282*I282*K282*M282*O282*Q282,0))</f>
        <v>0</v>
      </c>
      <c r="S282" s="49">
        <f t="shared" si="67"/>
        <v>0</v>
      </c>
    </row>
    <row r="283" spans="1:19">
      <c r="A283" s="652"/>
      <c r="B283" s="648"/>
      <c r="C283" s="75">
        <f t="shared" si="68"/>
        <v>1</v>
      </c>
      <c r="D283" s="649"/>
      <c r="E283" s="75">
        <f t="shared" si="69"/>
        <v>0</v>
      </c>
      <c r="F283" s="649"/>
      <c r="G283" s="75">
        <f t="shared" si="70"/>
        <v>1</v>
      </c>
      <c r="H283" s="649"/>
      <c r="I283" s="75">
        <f t="shared" si="71"/>
        <v>1</v>
      </c>
      <c r="J283" s="649"/>
      <c r="K283" s="75">
        <f t="shared" si="72"/>
        <v>0</v>
      </c>
      <c r="L283" s="649"/>
      <c r="M283" s="75">
        <f t="shared" si="73"/>
        <v>1</v>
      </c>
      <c r="N283" s="649"/>
      <c r="O283" s="75">
        <f t="shared" si="74"/>
        <v>1</v>
      </c>
      <c r="P283" s="649"/>
      <c r="Q283" s="75">
        <f t="shared" si="75"/>
        <v>0</v>
      </c>
      <c r="R283" s="75">
        <f t="shared" si="76"/>
        <v>0</v>
      </c>
      <c r="S283" s="49">
        <f t="shared" si="67"/>
        <v>0</v>
      </c>
    </row>
    <row r="284" spans="1:19">
      <c r="A284" s="652"/>
      <c r="B284" s="648"/>
      <c r="C284" s="75">
        <f t="shared" si="68"/>
        <v>1</v>
      </c>
      <c r="D284" s="649"/>
      <c r="E284" s="75">
        <f t="shared" si="69"/>
        <v>0</v>
      </c>
      <c r="F284" s="649"/>
      <c r="G284" s="75">
        <f t="shared" si="70"/>
        <v>1</v>
      </c>
      <c r="H284" s="649"/>
      <c r="I284" s="75">
        <f t="shared" si="71"/>
        <v>1</v>
      </c>
      <c r="J284" s="649"/>
      <c r="K284" s="75">
        <f t="shared" si="72"/>
        <v>0</v>
      </c>
      <c r="L284" s="649"/>
      <c r="M284" s="75">
        <f t="shared" si="73"/>
        <v>1</v>
      </c>
      <c r="N284" s="649"/>
      <c r="O284" s="75">
        <f t="shared" si="74"/>
        <v>1</v>
      </c>
      <c r="P284" s="649"/>
      <c r="Q284" s="75">
        <f t="shared" si="75"/>
        <v>0</v>
      </c>
      <c r="R284" s="75">
        <f t="shared" si="76"/>
        <v>0</v>
      </c>
      <c r="S284" s="49">
        <f t="shared" si="67"/>
        <v>0</v>
      </c>
    </row>
    <row r="285" spans="1:19">
      <c r="A285" s="652"/>
      <c r="B285" s="648"/>
      <c r="C285" s="75">
        <f t="shared" si="68"/>
        <v>1</v>
      </c>
      <c r="D285" s="649"/>
      <c r="E285" s="75">
        <f t="shared" si="69"/>
        <v>0</v>
      </c>
      <c r="F285" s="649"/>
      <c r="G285" s="75">
        <f t="shared" si="70"/>
        <v>1</v>
      </c>
      <c r="H285" s="649"/>
      <c r="I285" s="75">
        <f t="shared" si="71"/>
        <v>1</v>
      </c>
      <c r="J285" s="649"/>
      <c r="K285" s="75">
        <f t="shared" si="72"/>
        <v>0</v>
      </c>
      <c r="L285" s="649"/>
      <c r="M285" s="75">
        <f t="shared" si="73"/>
        <v>1</v>
      </c>
      <c r="N285" s="649"/>
      <c r="O285" s="75">
        <f t="shared" si="74"/>
        <v>1</v>
      </c>
      <c r="P285" s="649"/>
      <c r="Q285" s="75">
        <f t="shared" si="75"/>
        <v>0</v>
      </c>
      <c r="R285" s="75">
        <f t="shared" si="76"/>
        <v>0</v>
      </c>
      <c r="S285" s="49">
        <f t="shared" si="67"/>
        <v>0</v>
      </c>
    </row>
    <row r="286" spans="1:19">
      <c r="A286" s="652"/>
      <c r="B286" s="648"/>
      <c r="C286" s="75">
        <f t="shared" si="68"/>
        <v>1</v>
      </c>
      <c r="D286" s="649"/>
      <c r="E286" s="75">
        <f t="shared" si="69"/>
        <v>0</v>
      </c>
      <c r="F286" s="649"/>
      <c r="G286" s="75">
        <f t="shared" si="70"/>
        <v>1</v>
      </c>
      <c r="H286" s="649"/>
      <c r="I286" s="75">
        <f t="shared" si="71"/>
        <v>1</v>
      </c>
      <c r="J286" s="649"/>
      <c r="K286" s="75">
        <f t="shared" si="72"/>
        <v>0</v>
      </c>
      <c r="L286" s="649"/>
      <c r="M286" s="75">
        <f t="shared" si="73"/>
        <v>1</v>
      </c>
      <c r="N286" s="649"/>
      <c r="O286" s="75">
        <f t="shared" si="74"/>
        <v>1</v>
      </c>
      <c r="P286" s="649"/>
      <c r="Q286" s="75">
        <f t="shared" si="75"/>
        <v>0</v>
      </c>
      <c r="R286" s="75">
        <f t="shared" si="76"/>
        <v>0</v>
      </c>
      <c r="S286" s="49">
        <f t="shared" si="67"/>
        <v>0</v>
      </c>
    </row>
    <row r="287" spans="1:19">
      <c r="A287" s="652"/>
      <c r="B287" s="648"/>
      <c r="C287" s="75">
        <f t="shared" si="68"/>
        <v>1</v>
      </c>
      <c r="D287" s="649"/>
      <c r="E287" s="75">
        <f t="shared" si="69"/>
        <v>0</v>
      </c>
      <c r="F287" s="649"/>
      <c r="G287" s="75">
        <f t="shared" si="70"/>
        <v>1</v>
      </c>
      <c r="H287" s="649"/>
      <c r="I287" s="75">
        <f t="shared" si="71"/>
        <v>1</v>
      </c>
      <c r="J287" s="649"/>
      <c r="K287" s="75">
        <f t="shared" si="72"/>
        <v>0</v>
      </c>
      <c r="L287" s="649"/>
      <c r="M287" s="75">
        <f t="shared" si="73"/>
        <v>1</v>
      </c>
      <c r="N287" s="649"/>
      <c r="O287" s="75">
        <f t="shared" si="74"/>
        <v>1</v>
      </c>
      <c r="P287" s="649"/>
      <c r="Q287" s="75">
        <f t="shared" si="75"/>
        <v>0</v>
      </c>
      <c r="R287" s="75">
        <f t="shared" si="76"/>
        <v>0</v>
      </c>
      <c r="S287" s="49">
        <f t="shared" ref="S287:S320" si="77">ROUND(R287*B287/10000,0)</f>
        <v>0</v>
      </c>
    </row>
    <row r="288" spans="1:19">
      <c r="A288" s="652"/>
      <c r="B288" s="648"/>
      <c r="C288" s="75">
        <f t="shared" si="68"/>
        <v>1</v>
      </c>
      <c r="D288" s="649"/>
      <c r="E288" s="75">
        <f t="shared" si="69"/>
        <v>0</v>
      </c>
      <c r="F288" s="649"/>
      <c r="G288" s="75">
        <f t="shared" si="70"/>
        <v>1</v>
      </c>
      <c r="H288" s="649"/>
      <c r="I288" s="75">
        <f t="shared" si="71"/>
        <v>1</v>
      </c>
      <c r="J288" s="649"/>
      <c r="K288" s="75">
        <f t="shared" si="72"/>
        <v>0</v>
      </c>
      <c r="L288" s="649"/>
      <c r="M288" s="75">
        <f t="shared" si="73"/>
        <v>1</v>
      </c>
      <c r="N288" s="649"/>
      <c r="O288" s="75">
        <f t="shared" si="74"/>
        <v>1</v>
      </c>
      <c r="P288" s="649"/>
      <c r="Q288" s="75">
        <f t="shared" si="75"/>
        <v>0</v>
      </c>
      <c r="R288" s="75">
        <f t="shared" si="76"/>
        <v>0</v>
      </c>
      <c r="S288" s="49">
        <f t="shared" si="77"/>
        <v>0</v>
      </c>
    </row>
    <row r="289" spans="1:19">
      <c r="A289" s="652"/>
      <c r="B289" s="648"/>
      <c r="C289" s="75">
        <f t="shared" si="68"/>
        <v>1</v>
      </c>
      <c r="D289" s="649"/>
      <c r="E289" s="75">
        <f t="shared" si="69"/>
        <v>0</v>
      </c>
      <c r="F289" s="649"/>
      <c r="G289" s="75">
        <f t="shared" si="70"/>
        <v>1</v>
      </c>
      <c r="H289" s="649"/>
      <c r="I289" s="75">
        <f t="shared" si="71"/>
        <v>1</v>
      </c>
      <c r="J289" s="649"/>
      <c r="K289" s="75">
        <f t="shared" si="72"/>
        <v>0</v>
      </c>
      <c r="L289" s="649"/>
      <c r="M289" s="75">
        <f t="shared" si="73"/>
        <v>1</v>
      </c>
      <c r="N289" s="649"/>
      <c r="O289" s="75">
        <f t="shared" si="74"/>
        <v>1</v>
      </c>
      <c r="P289" s="649"/>
      <c r="Q289" s="75">
        <f t="shared" si="75"/>
        <v>0</v>
      </c>
      <c r="R289" s="75">
        <f t="shared" si="76"/>
        <v>0</v>
      </c>
      <c r="S289" s="49">
        <f t="shared" si="77"/>
        <v>0</v>
      </c>
    </row>
    <row r="290" spans="1:19">
      <c r="A290" s="652"/>
      <c r="B290" s="648"/>
      <c r="C290" s="75">
        <f t="shared" si="68"/>
        <v>1</v>
      </c>
      <c r="D290" s="649"/>
      <c r="E290" s="75">
        <f t="shared" si="69"/>
        <v>0</v>
      </c>
      <c r="F290" s="649"/>
      <c r="G290" s="75">
        <f t="shared" si="70"/>
        <v>1</v>
      </c>
      <c r="H290" s="649"/>
      <c r="I290" s="75">
        <f t="shared" si="71"/>
        <v>1</v>
      </c>
      <c r="J290" s="649"/>
      <c r="K290" s="75">
        <f t="shared" si="72"/>
        <v>0</v>
      </c>
      <c r="L290" s="649"/>
      <c r="M290" s="75">
        <f t="shared" si="73"/>
        <v>1</v>
      </c>
      <c r="N290" s="649"/>
      <c r="O290" s="75">
        <f t="shared" si="74"/>
        <v>1</v>
      </c>
      <c r="P290" s="649"/>
      <c r="Q290" s="75">
        <f t="shared" si="75"/>
        <v>0</v>
      </c>
      <c r="R290" s="75">
        <f t="shared" si="76"/>
        <v>0</v>
      </c>
      <c r="S290" s="49">
        <f t="shared" si="77"/>
        <v>0</v>
      </c>
    </row>
    <row r="291" spans="1:19">
      <c r="A291" s="652"/>
      <c r="B291" s="648"/>
      <c r="C291" s="75">
        <f t="shared" si="68"/>
        <v>1</v>
      </c>
      <c r="D291" s="649"/>
      <c r="E291" s="75">
        <f t="shared" si="69"/>
        <v>0</v>
      </c>
      <c r="F291" s="649"/>
      <c r="G291" s="75">
        <f t="shared" si="70"/>
        <v>1</v>
      </c>
      <c r="H291" s="649"/>
      <c r="I291" s="75">
        <f t="shared" si="71"/>
        <v>1</v>
      </c>
      <c r="J291" s="649"/>
      <c r="K291" s="75">
        <f t="shared" si="72"/>
        <v>0</v>
      </c>
      <c r="L291" s="649"/>
      <c r="M291" s="75">
        <f t="shared" si="73"/>
        <v>1</v>
      </c>
      <c r="N291" s="649"/>
      <c r="O291" s="75">
        <f t="shared" si="74"/>
        <v>1</v>
      </c>
      <c r="P291" s="649"/>
      <c r="Q291" s="75">
        <f t="shared" si="75"/>
        <v>0</v>
      </c>
      <c r="R291" s="75">
        <f t="shared" si="76"/>
        <v>0</v>
      </c>
      <c r="S291" s="49">
        <f t="shared" si="77"/>
        <v>0</v>
      </c>
    </row>
    <row r="292" spans="1:19">
      <c r="A292" s="652"/>
      <c r="B292" s="648"/>
      <c r="C292" s="75">
        <f t="shared" si="68"/>
        <v>1</v>
      </c>
      <c r="D292" s="649"/>
      <c r="E292" s="75">
        <f t="shared" si="69"/>
        <v>0</v>
      </c>
      <c r="F292" s="649"/>
      <c r="G292" s="75">
        <f t="shared" si="70"/>
        <v>1</v>
      </c>
      <c r="H292" s="649"/>
      <c r="I292" s="75">
        <f t="shared" si="71"/>
        <v>1</v>
      </c>
      <c r="J292" s="649"/>
      <c r="K292" s="75">
        <f t="shared" si="72"/>
        <v>0</v>
      </c>
      <c r="L292" s="649"/>
      <c r="M292" s="75">
        <f t="shared" si="73"/>
        <v>1</v>
      </c>
      <c r="N292" s="649"/>
      <c r="O292" s="75">
        <f t="shared" si="74"/>
        <v>1</v>
      </c>
      <c r="P292" s="649"/>
      <c r="Q292" s="75">
        <f t="shared" si="75"/>
        <v>0</v>
      </c>
      <c r="R292" s="75">
        <f t="shared" si="76"/>
        <v>0</v>
      </c>
      <c r="S292" s="49">
        <f t="shared" si="77"/>
        <v>0</v>
      </c>
    </row>
    <row r="293" spans="1:19">
      <c r="A293" s="652"/>
      <c r="B293" s="648"/>
      <c r="C293" s="75">
        <f t="shared" si="68"/>
        <v>1</v>
      </c>
      <c r="D293" s="649"/>
      <c r="E293" s="75">
        <f t="shared" si="69"/>
        <v>0</v>
      </c>
      <c r="F293" s="649"/>
      <c r="G293" s="75">
        <f t="shared" si="70"/>
        <v>1</v>
      </c>
      <c r="H293" s="649"/>
      <c r="I293" s="75">
        <f t="shared" si="71"/>
        <v>1</v>
      </c>
      <c r="J293" s="649"/>
      <c r="K293" s="75">
        <f t="shared" si="72"/>
        <v>0</v>
      </c>
      <c r="L293" s="649"/>
      <c r="M293" s="75">
        <f t="shared" si="73"/>
        <v>1</v>
      </c>
      <c r="N293" s="649"/>
      <c r="O293" s="75">
        <f t="shared" si="74"/>
        <v>1</v>
      </c>
      <c r="P293" s="649"/>
      <c r="Q293" s="75">
        <f t="shared" si="75"/>
        <v>0</v>
      </c>
      <c r="R293" s="75">
        <f t="shared" si="76"/>
        <v>0</v>
      </c>
      <c r="S293" s="49">
        <f t="shared" si="77"/>
        <v>0</v>
      </c>
    </row>
    <row r="294" spans="1:19">
      <c r="A294" s="652"/>
      <c r="B294" s="648"/>
      <c r="C294" s="75">
        <f t="shared" si="68"/>
        <v>1</v>
      </c>
      <c r="D294" s="649"/>
      <c r="E294" s="75">
        <f t="shared" si="69"/>
        <v>0</v>
      </c>
      <c r="F294" s="649"/>
      <c r="G294" s="75">
        <f t="shared" si="70"/>
        <v>1</v>
      </c>
      <c r="H294" s="649"/>
      <c r="I294" s="75">
        <f t="shared" si="71"/>
        <v>1</v>
      </c>
      <c r="J294" s="649"/>
      <c r="K294" s="75">
        <f t="shared" si="72"/>
        <v>0</v>
      </c>
      <c r="L294" s="649"/>
      <c r="M294" s="75">
        <f t="shared" si="73"/>
        <v>1</v>
      </c>
      <c r="N294" s="649"/>
      <c r="O294" s="75">
        <f t="shared" si="74"/>
        <v>1</v>
      </c>
      <c r="P294" s="649"/>
      <c r="Q294" s="75">
        <f t="shared" si="75"/>
        <v>0</v>
      </c>
      <c r="R294" s="75">
        <f t="shared" si="76"/>
        <v>0</v>
      </c>
      <c r="S294" s="49">
        <f t="shared" si="77"/>
        <v>0</v>
      </c>
    </row>
    <row r="295" spans="1:19">
      <c r="A295" s="652"/>
      <c r="B295" s="648"/>
      <c r="C295" s="75">
        <f t="shared" si="68"/>
        <v>1</v>
      </c>
      <c r="D295" s="649"/>
      <c r="E295" s="75">
        <f t="shared" si="69"/>
        <v>0</v>
      </c>
      <c r="F295" s="649"/>
      <c r="G295" s="75">
        <f t="shared" si="70"/>
        <v>1</v>
      </c>
      <c r="H295" s="649"/>
      <c r="I295" s="75">
        <f t="shared" si="71"/>
        <v>1</v>
      </c>
      <c r="J295" s="649"/>
      <c r="K295" s="75">
        <f t="shared" si="72"/>
        <v>0</v>
      </c>
      <c r="L295" s="649"/>
      <c r="M295" s="75">
        <f t="shared" si="73"/>
        <v>1</v>
      </c>
      <c r="N295" s="649"/>
      <c r="O295" s="75">
        <f t="shared" si="74"/>
        <v>1</v>
      </c>
      <c r="P295" s="649"/>
      <c r="Q295" s="75">
        <f t="shared" si="75"/>
        <v>0</v>
      </c>
      <c r="R295" s="75">
        <f t="shared" si="76"/>
        <v>0</v>
      </c>
      <c r="S295" s="49">
        <f t="shared" si="77"/>
        <v>0</v>
      </c>
    </row>
    <row r="296" spans="1:19">
      <c r="A296" s="652"/>
      <c r="B296" s="648"/>
      <c r="C296" s="75">
        <f t="shared" si="68"/>
        <v>1</v>
      </c>
      <c r="D296" s="649"/>
      <c r="E296" s="75">
        <f t="shared" si="69"/>
        <v>0</v>
      </c>
      <c r="F296" s="649"/>
      <c r="G296" s="75">
        <f t="shared" si="70"/>
        <v>1</v>
      </c>
      <c r="H296" s="649"/>
      <c r="I296" s="75">
        <f t="shared" si="71"/>
        <v>1</v>
      </c>
      <c r="J296" s="649"/>
      <c r="K296" s="75">
        <f t="shared" si="72"/>
        <v>0</v>
      </c>
      <c r="L296" s="649"/>
      <c r="M296" s="75">
        <f t="shared" si="73"/>
        <v>1</v>
      </c>
      <c r="N296" s="649"/>
      <c r="O296" s="75">
        <f t="shared" si="74"/>
        <v>1</v>
      </c>
      <c r="P296" s="649"/>
      <c r="Q296" s="75">
        <f t="shared" si="75"/>
        <v>0</v>
      </c>
      <c r="R296" s="75">
        <f t="shared" si="76"/>
        <v>0</v>
      </c>
      <c r="S296" s="49">
        <f t="shared" si="77"/>
        <v>0</v>
      </c>
    </row>
    <row r="297" spans="1:19">
      <c r="A297" s="652"/>
      <c r="B297" s="648"/>
      <c r="C297" s="75">
        <f t="shared" si="68"/>
        <v>1</v>
      </c>
      <c r="D297" s="649"/>
      <c r="E297" s="75">
        <f t="shared" si="69"/>
        <v>0</v>
      </c>
      <c r="F297" s="649"/>
      <c r="G297" s="75">
        <f t="shared" si="70"/>
        <v>1</v>
      </c>
      <c r="H297" s="649"/>
      <c r="I297" s="75">
        <f t="shared" si="71"/>
        <v>1</v>
      </c>
      <c r="J297" s="649"/>
      <c r="K297" s="75">
        <f t="shared" si="72"/>
        <v>0</v>
      </c>
      <c r="L297" s="649"/>
      <c r="M297" s="75">
        <f t="shared" si="73"/>
        <v>1</v>
      </c>
      <c r="N297" s="649"/>
      <c r="O297" s="75">
        <f t="shared" si="74"/>
        <v>1</v>
      </c>
      <c r="P297" s="649"/>
      <c r="Q297" s="75">
        <f t="shared" si="75"/>
        <v>0</v>
      </c>
      <c r="R297" s="75">
        <f t="shared" si="76"/>
        <v>0</v>
      </c>
      <c r="S297" s="49">
        <f t="shared" si="77"/>
        <v>0</v>
      </c>
    </row>
    <row r="298" spans="1:19">
      <c r="A298" s="652"/>
      <c r="B298" s="648"/>
      <c r="C298" s="75">
        <f t="shared" si="68"/>
        <v>1</v>
      </c>
      <c r="D298" s="649"/>
      <c r="E298" s="75">
        <f t="shared" si="69"/>
        <v>0</v>
      </c>
      <c r="F298" s="649"/>
      <c r="G298" s="75">
        <f t="shared" si="70"/>
        <v>1</v>
      </c>
      <c r="H298" s="649"/>
      <c r="I298" s="75">
        <f t="shared" si="71"/>
        <v>1</v>
      </c>
      <c r="J298" s="649"/>
      <c r="K298" s="75">
        <f t="shared" si="72"/>
        <v>0</v>
      </c>
      <c r="L298" s="649"/>
      <c r="M298" s="75">
        <f t="shared" si="73"/>
        <v>1</v>
      </c>
      <c r="N298" s="649"/>
      <c r="O298" s="75">
        <f t="shared" si="74"/>
        <v>1</v>
      </c>
      <c r="P298" s="649"/>
      <c r="Q298" s="75">
        <f t="shared" si="75"/>
        <v>0</v>
      </c>
      <c r="R298" s="75">
        <f t="shared" si="76"/>
        <v>0</v>
      </c>
      <c r="S298" s="49">
        <f t="shared" si="77"/>
        <v>0</v>
      </c>
    </row>
    <row r="299" spans="1:19">
      <c r="A299" s="652"/>
      <c r="B299" s="648"/>
      <c r="C299" s="75">
        <f t="shared" si="68"/>
        <v>1</v>
      </c>
      <c r="D299" s="649"/>
      <c r="E299" s="75">
        <f t="shared" si="69"/>
        <v>0</v>
      </c>
      <c r="F299" s="649"/>
      <c r="G299" s="75">
        <f t="shared" si="70"/>
        <v>1</v>
      </c>
      <c r="H299" s="649"/>
      <c r="I299" s="75">
        <f t="shared" si="71"/>
        <v>1</v>
      </c>
      <c r="J299" s="649"/>
      <c r="K299" s="75">
        <f t="shared" si="72"/>
        <v>0</v>
      </c>
      <c r="L299" s="649"/>
      <c r="M299" s="75">
        <f t="shared" si="73"/>
        <v>1</v>
      </c>
      <c r="N299" s="649"/>
      <c r="O299" s="75">
        <f t="shared" si="74"/>
        <v>1</v>
      </c>
      <c r="P299" s="649"/>
      <c r="Q299" s="75">
        <f t="shared" si="75"/>
        <v>0</v>
      </c>
      <c r="R299" s="75">
        <f t="shared" si="76"/>
        <v>0</v>
      </c>
      <c r="S299" s="49">
        <f t="shared" si="77"/>
        <v>0</v>
      </c>
    </row>
    <row r="300" spans="1:19">
      <c r="A300" s="652"/>
      <c r="B300" s="648"/>
      <c r="C300" s="75">
        <f t="shared" si="68"/>
        <v>1</v>
      </c>
      <c r="D300" s="649"/>
      <c r="E300" s="75">
        <f t="shared" si="69"/>
        <v>0</v>
      </c>
      <c r="F300" s="649"/>
      <c r="G300" s="75">
        <f t="shared" si="70"/>
        <v>1</v>
      </c>
      <c r="H300" s="649"/>
      <c r="I300" s="75">
        <f t="shared" si="71"/>
        <v>1</v>
      </c>
      <c r="J300" s="649"/>
      <c r="K300" s="75">
        <f t="shared" si="72"/>
        <v>0</v>
      </c>
      <c r="L300" s="649"/>
      <c r="M300" s="75">
        <f t="shared" si="73"/>
        <v>1</v>
      </c>
      <c r="N300" s="649"/>
      <c r="O300" s="75">
        <f t="shared" si="74"/>
        <v>1</v>
      </c>
      <c r="P300" s="649"/>
      <c r="Q300" s="75">
        <f t="shared" si="75"/>
        <v>0</v>
      </c>
      <c r="R300" s="75">
        <f t="shared" si="76"/>
        <v>0</v>
      </c>
      <c r="S300" s="49">
        <f t="shared" si="77"/>
        <v>0</v>
      </c>
    </row>
    <row r="301" spans="1:19">
      <c r="A301" s="652"/>
      <c r="B301" s="648"/>
      <c r="C301" s="75">
        <f t="shared" si="68"/>
        <v>1</v>
      </c>
      <c r="D301" s="649"/>
      <c r="E301" s="75">
        <f t="shared" si="69"/>
        <v>0</v>
      </c>
      <c r="F301" s="649"/>
      <c r="G301" s="75">
        <f t="shared" si="70"/>
        <v>1</v>
      </c>
      <c r="H301" s="649"/>
      <c r="I301" s="75">
        <f t="shared" si="71"/>
        <v>1</v>
      </c>
      <c r="J301" s="649"/>
      <c r="K301" s="75">
        <f t="shared" si="72"/>
        <v>0</v>
      </c>
      <c r="L301" s="649"/>
      <c r="M301" s="75">
        <f t="shared" si="73"/>
        <v>1</v>
      </c>
      <c r="N301" s="649"/>
      <c r="O301" s="75">
        <f t="shared" si="74"/>
        <v>1</v>
      </c>
      <c r="P301" s="649"/>
      <c r="Q301" s="75">
        <f t="shared" si="75"/>
        <v>0</v>
      </c>
      <c r="R301" s="75">
        <f t="shared" si="76"/>
        <v>0</v>
      </c>
      <c r="S301" s="49">
        <f t="shared" si="77"/>
        <v>0</v>
      </c>
    </row>
    <row r="302" spans="1:19">
      <c r="A302" s="652"/>
      <c r="B302" s="648"/>
      <c r="C302" s="75">
        <f t="shared" si="68"/>
        <v>1</v>
      </c>
      <c r="D302" s="649"/>
      <c r="E302" s="75">
        <f t="shared" si="69"/>
        <v>0</v>
      </c>
      <c r="F302" s="649"/>
      <c r="G302" s="75">
        <f t="shared" si="70"/>
        <v>1</v>
      </c>
      <c r="H302" s="649"/>
      <c r="I302" s="75">
        <f t="shared" si="71"/>
        <v>1</v>
      </c>
      <c r="J302" s="649"/>
      <c r="K302" s="75">
        <f t="shared" si="72"/>
        <v>0</v>
      </c>
      <c r="L302" s="649"/>
      <c r="M302" s="75">
        <f t="shared" si="73"/>
        <v>1</v>
      </c>
      <c r="N302" s="649"/>
      <c r="O302" s="75">
        <f t="shared" si="74"/>
        <v>1</v>
      </c>
      <c r="P302" s="649"/>
      <c r="Q302" s="75">
        <f t="shared" si="75"/>
        <v>0</v>
      </c>
      <c r="R302" s="75">
        <f t="shared" si="76"/>
        <v>0</v>
      </c>
      <c r="S302" s="49">
        <f t="shared" si="77"/>
        <v>0</v>
      </c>
    </row>
    <row r="303" spans="1:19">
      <c r="A303" s="652"/>
      <c r="B303" s="648"/>
      <c r="C303" s="75">
        <f t="shared" si="68"/>
        <v>1</v>
      </c>
      <c r="D303" s="649"/>
      <c r="E303" s="75">
        <f t="shared" si="69"/>
        <v>0</v>
      </c>
      <c r="F303" s="649"/>
      <c r="G303" s="75">
        <f t="shared" si="70"/>
        <v>1</v>
      </c>
      <c r="H303" s="649"/>
      <c r="I303" s="75">
        <f t="shared" si="71"/>
        <v>1</v>
      </c>
      <c r="J303" s="649"/>
      <c r="K303" s="75">
        <f t="shared" si="72"/>
        <v>0</v>
      </c>
      <c r="L303" s="649"/>
      <c r="M303" s="75">
        <f t="shared" si="73"/>
        <v>1</v>
      </c>
      <c r="N303" s="649"/>
      <c r="O303" s="75">
        <f t="shared" si="74"/>
        <v>1</v>
      </c>
      <c r="P303" s="649"/>
      <c r="Q303" s="75">
        <f t="shared" si="75"/>
        <v>0</v>
      </c>
      <c r="R303" s="75">
        <f t="shared" si="76"/>
        <v>0</v>
      </c>
      <c r="S303" s="49">
        <f t="shared" si="77"/>
        <v>0</v>
      </c>
    </row>
    <row r="304" spans="1:19">
      <c r="A304" s="652"/>
      <c r="B304" s="648"/>
      <c r="C304" s="75">
        <f t="shared" si="68"/>
        <v>1</v>
      </c>
      <c r="D304" s="649"/>
      <c r="E304" s="75">
        <f t="shared" si="69"/>
        <v>0</v>
      </c>
      <c r="F304" s="649"/>
      <c r="G304" s="75">
        <f t="shared" si="70"/>
        <v>1</v>
      </c>
      <c r="H304" s="649"/>
      <c r="I304" s="75">
        <f t="shared" si="71"/>
        <v>1</v>
      </c>
      <c r="J304" s="649"/>
      <c r="K304" s="75">
        <f t="shared" si="72"/>
        <v>0</v>
      </c>
      <c r="L304" s="649"/>
      <c r="M304" s="75">
        <f t="shared" si="73"/>
        <v>1</v>
      </c>
      <c r="N304" s="649"/>
      <c r="O304" s="75">
        <f t="shared" si="74"/>
        <v>1</v>
      </c>
      <c r="P304" s="649"/>
      <c r="Q304" s="75">
        <f t="shared" si="75"/>
        <v>0</v>
      </c>
      <c r="R304" s="75">
        <f t="shared" si="76"/>
        <v>0</v>
      </c>
      <c r="S304" s="49">
        <f t="shared" si="77"/>
        <v>0</v>
      </c>
    </row>
    <row r="305" spans="1:19">
      <c r="A305" s="652"/>
      <c r="B305" s="648"/>
      <c r="C305" s="75">
        <f t="shared" si="68"/>
        <v>1</v>
      </c>
      <c r="D305" s="649"/>
      <c r="E305" s="75">
        <f t="shared" si="69"/>
        <v>0</v>
      </c>
      <c r="F305" s="649"/>
      <c r="G305" s="75">
        <f t="shared" si="70"/>
        <v>1</v>
      </c>
      <c r="H305" s="649"/>
      <c r="I305" s="75">
        <f t="shared" si="71"/>
        <v>1</v>
      </c>
      <c r="J305" s="649"/>
      <c r="K305" s="75">
        <f t="shared" si="72"/>
        <v>0</v>
      </c>
      <c r="L305" s="649"/>
      <c r="M305" s="75">
        <f t="shared" si="73"/>
        <v>1</v>
      </c>
      <c r="N305" s="649"/>
      <c r="O305" s="75">
        <f t="shared" si="74"/>
        <v>1</v>
      </c>
      <c r="P305" s="649"/>
      <c r="Q305" s="75">
        <f t="shared" si="75"/>
        <v>0</v>
      </c>
      <c r="R305" s="75">
        <f t="shared" si="76"/>
        <v>0</v>
      </c>
      <c r="S305" s="49">
        <f t="shared" si="77"/>
        <v>0</v>
      </c>
    </row>
    <row r="306" spans="1:19">
      <c r="A306" s="652"/>
      <c r="B306" s="648"/>
      <c r="C306" s="75">
        <f t="shared" si="68"/>
        <v>1</v>
      </c>
      <c r="D306" s="649"/>
      <c r="E306" s="75">
        <f t="shared" si="69"/>
        <v>0</v>
      </c>
      <c r="F306" s="649"/>
      <c r="G306" s="75">
        <f t="shared" si="70"/>
        <v>1</v>
      </c>
      <c r="H306" s="649"/>
      <c r="I306" s="75">
        <f t="shared" si="71"/>
        <v>1</v>
      </c>
      <c r="J306" s="649"/>
      <c r="K306" s="75">
        <f t="shared" si="72"/>
        <v>0</v>
      </c>
      <c r="L306" s="649"/>
      <c r="M306" s="75">
        <f t="shared" si="73"/>
        <v>1</v>
      </c>
      <c r="N306" s="649"/>
      <c r="O306" s="75">
        <f t="shared" si="74"/>
        <v>1</v>
      </c>
      <c r="P306" s="649"/>
      <c r="Q306" s="75">
        <f t="shared" si="75"/>
        <v>0</v>
      </c>
      <c r="R306" s="75">
        <f t="shared" si="76"/>
        <v>0</v>
      </c>
      <c r="S306" s="49">
        <f t="shared" si="77"/>
        <v>0</v>
      </c>
    </row>
    <row r="307" spans="1:19">
      <c r="A307" s="652"/>
      <c r="B307" s="648"/>
      <c r="C307" s="75">
        <f t="shared" si="68"/>
        <v>1</v>
      </c>
      <c r="D307" s="649"/>
      <c r="E307" s="75">
        <f t="shared" si="69"/>
        <v>0</v>
      </c>
      <c r="F307" s="649"/>
      <c r="G307" s="75">
        <f t="shared" si="70"/>
        <v>1</v>
      </c>
      <c r="H307" s="649"/>
      <c r="I307" s="75">
        <f t="shared" si="71"/>
        <v>1</v>
      </c>
      <c r="J307" s="649"/>
      <c r="K307" s="75">
        <f t="shared" si="72"/>
        <v>0</v>
      </c>
      <c r="L307" s="649"/>
      <c r="M307" s="75">
        <f t="shared" si="73"/>
        <v>1</v>
      </c>
      <c r="N307" s="649"/>
      <c r="O307" s="75">
        <f t="shared" si="74"/>
        <v>1</v>
      </c>
      <c r="P307" s="649"/>
      <c r="Q307" s="75">
        <f t="shared" si="75"/>
        <v>0</v>
      </c>
      <c r="R307" s="75">
        <f t="shared" si="76"/>
        <v>0</v>
      </c>
      <c r="S307" s="49">
        <f t="shared" si="77"/>
        <v>0</v>
      </c>
    </row>
    <row r="308" spans="1:19">
      <c r="A308" s="652"/>
      <c r="B308" s="648"/>
      <c r="C308" s="75">
        <f t="shared" si="68"/>
        <v>1</v>
      </c>
      <c r="D308" s="649"/>
      <c r="E308" s="75">
        <f t="shared" si="69"/>
        <v>0</v>
      </c>
      <c r="F308" s="649"/>
      <c r="G308" s="75">
        <f t="shared" si="70"/>
        <v>1</v>
      </c>
      <c r="H308" s="649"/>
      <c r="I308" s="75">
        <f t="shared" si="71"/>
        <v>1</v>
      </c>
      <c r="J308" s="649"/>
      <c r="K308" s="75">
        <f t="shared" si="72"/>
        <v>0</v>
      </c>
      <c r="L308" s="649"/>
      <c r="M308" s="75">
        <f t="shared" si="73"/>
        <v>1</v>
      </c>
      <c r="N308" s="649"/>
      <c r="O308" s="75">
        <f t="shared" si="74"/>
        <v>1</v>
      </c>
      <c r="P308" s="649"/>
      <c r="Q308" s="75">
        <f t="shared" si="75"/>
        <v>0</v>
      </c>
      <c r="R308" s="75">
        <f t="shared" si="76"/>
        <v>0</v>
      </c>
      <c r="S308" s="49">
        <f t="shared" si="77"/>
        <v>0</v>
      </c>
    </row>
    <row r="309" spans="1:19">
      <c r="A309" s="652"/>
      <c r="B309" s="648"/>
      <c r="C309" s="75">
        <f t="shared" si="68"/>
        <v>1</v>
      </c>
      <c r="D309" s="649"/>
      <c r="E309" s="75">
        <f t="shared" si="69"/>
        <v>0</v>
      </c>
      <c r="F309" s="649"/>
      <c r="G309" s="75">
        <f t="shared" si="70"/>
        <v>1</v>
      </c>
      <c r="H309" s="649"/>
      <c r="I309" s="75">
        <f t="shared" si="71"/>
        <v>1</v>
      </c>
      <c r="J309" s="649"/>
      <c r="K309" s="75">
        <f t="shared" si="72"/>
        <v>0</v>
      </c>
      <c r="L309" s="649"/>
      <c r="M309" s="75">
        <f t="shared" si="73"/>
        <v>1</v>
      </c>
      <c r="N309" s="649"/>
      <c r="O309" s="75">
        <f t="shared" si="74"/>
        <v>1</v>
      </c>
      <c r="P309" s="649"/>
      <c r="Q309" s="75">
        <f t="shared" si="75"/>
        <v>0</v>
      </c>
      <c r="R309" s="75">
        <f t="shared" si="76"/>
        <v>0</v>
      </c>
      <c r="S309" s="49">
        <f t="shared" si="77"/>
        <v>0</v>
      </c>
    </row>
    <row r="310" spans="1:19">
      <c r="A310" s="652"/>
      <c r="B310" s="648"/>
      <c r="C310" s="75">
        <f t="shared" si="68"/>
        <v>1</v>
      </c>
      <c r="D310" s="649"/>
      <c r="E310" s="75">
        <f t="shared" si="69"/>
        <v>0</v>
      </c>
      <c r="F310" s="649"/>
      <c r="G310" s="75">
        <f t="shared" si="70"/>
        <v>1</v>
      </c>
      <c r="H310" s="649"/>
      <c r="I310" s="75">
        <f t="shared" si="71"/>
        <v>1</v>
      </c>
      <c r="J310" s="649"/>
      <c r="K310" s="75">
        <f t="shared" si="72"/>
        <v>0</v>
      </c>
      <c r="L310" s="649"/>
      <c r="M310" s="75">
        <f t="shared" si="73"/>
        <v>1</v>
      </c>
      <c r="N310" s="649"/>
      <c r="O310" s="75">
        <f t="shared" si="74"/>
        <v>1</v>
      </c>
      <c r="P310" s="649"/>
      <c r="Q310" s="75">
        <f t="shared" si="75"/>
        <v>0</v>
      </c>
      <c r="R310" s="75">
        <f t="shared" si="76"/>
        <v>0</v>
      </c>
      <c r="S310" s="49">
        <f t="shared" si="77"/>
        <v>0</v>
      </c>
    </row>
    <row r="311" spans="1:19">
      <c r="A311" s="652"/>
      <c r="B311" s="648"/>
      <c r="C311" s="75">
        <f t="shared" si="68"/>
        <v>1</v>
      </c>
      <c r="D311" s="649"/>
      <c r="E311" s="75">
        <f t="shared" si="69"/>
        <v>0</v>
      </c>
      <c r="F311" s="649"/>
      <c r="G311" s="75">
        <f t="shared" si="70"/>
        <v>1</v>
      </c>
      <c r="H311" s="649"/>
      <c r="I311" s="75">
        <f t="shared" si="71"/>
        <v>1</v>
      </c>
      <c r="J311" s="649"/>
      <c r="K311" s="75">
        <f t="shared" si="72"/>
        <v>0</v>
      </c>
      <c r="L311" s="649"/>
      <c r="M311" s="75">
        <f t="shared" si="73"/>
        <v>1</v>
      </c>
      <c r="N311" s="649"/>
      <c r="O311" s="75">
        <f t="shared" si="74"/>
        <v>1</v>
      </c>
      <c r="P311" s="649"/>
      <c r="Q311" s="75">
        <f t="shared" si="75"/>
        <v>0</v>
      </c>
      <c r="R311" s="75">
        <f t="shared" si="76"/>
        <v>0</v>
      </c>
      <c r="S311" s="49">
        <f t="shared" si="77"/>
        <v>0</v>
      </c>
    </row>
    <row r="312" spans="1:19">
      <c r="A312" s="652"/>
      <c r="B312" s="648"/>
      <c r="C312" s="75">
        <f t="shared" si="68"/>
        <v>1</v>
      </c>
      <c r="D312" s="649"/>
      <c r="E312" s="75">
        <f t="shared" si="69"/>
        <v>0</v>
      </c>
      <c r="F312" s="649"/>
      <c r="G312" s="75">
        <f t="shared" si="70"/>
        <v>1</v>
      </c>
      <c r="H312" s="649"/>
      <c r="I312" s="75">
        <f t="shared" si="71"/>
        <v>1</v>
      </c>
      <c r="J312" s="649"/>
      <c r="K312" s="75">
        <f t="shared" si="72"/>
        <v>0</v>
      </c>
      <c r="L312" s="649"/>
      <c r="M312" s="75">
        <f t="shared" si="73"/>
        <v>1</v>
      </c>
      <c r="N312" s="649"/>
      <c r="O312" s="75">
        <f t="shared" si="74"/>
        <v>1</v>
      </c>
      <c r="P312" s="649"/>
      <c r="Q312" s="75">
        <f t="shared" si="75"/>
        <v>0</v>
      </c>
      <c r="R312" s="75">
        <f t="shared" si="76"/>
        <v>0</v>
      </c>
      <c r="S312" s="49">
        <f t="shared" si="77"/>
        <v>0</v>
      </c>
    </row>
    <row r="313" spans="1:19">
      <c r="A313" s="652"/>
      <c r="B313" s="648"/>
      <c r="C313" s="75">
        <f t="shared" si="68"/>
        <v>1</v>
      </c>
      <c r="D313" s="649"/>
      <c r="E313" s="75">
        <f t="shared" si="69"/>
        <v>0</v>
      </c>
      <c r="F313" s="649"/>
      <c r="G313" s="75">
        <f t="shared" si="70"/>
        <v>1</v>
      </c>
      <c r="H313" s="649"/>
      <c r="I313" s="75">
        <f t="shared" si="71"/>
        <v>1</v>
      </c>
      <c r="J313" s="649"/>
      <c r="K313" s="75">
        <f t="shared" si="72"/>
        <v>0</v>
      </c>
      <c r="L313" s="649"/>
      <c r="M313" s="75">
        <f t="shared" si="73"/>
        <v>1</v>
      </c>
      <c r="N313" s="649"/>
      <c r="O313" s="75">
        <f t="shared" si="74"/>
        <v>1</v>
      </c>
      <c r="P313" s="649"/>
      <c r="Q313" s="75">
        <f t="shared" si="75"/>
        <v>0</v>
      </c>
      <c r="R313" s="75">
        <f t="shared" si="76"/>
        <v>0</v>
      </c>
      <c r="S313" s="49">
        <f t="shared" si="77"/>
        <v>0</v>
      </c>
    </row>
    <row r="314" spans="1:19">
      <c r="A314" s="652"/>
      <c r="B314" s="648"/>
      <c r="C314" s="75">
        <f t="shared" si="68"/>
        <v>1</v>
      </c>
      <c r="D314" s="649"/>
      <c r="E314" s="75">
        <f t="shared" si="69"/>
        <v>0</v>
      </c>
      <c r="F314" s="649"/>
      <c r="G314" s="75">
        <f t="shared" si="70"/>
        <v>1</v>
      </c>
      <c r="H314" s="649"/>
      <c r="I314" s="75">
        <f t="shared" si="71"/>
        <v>1</v>
      </c>
      <c r="J314" s="649"/>
      <c r="K314" s="75">
        <f t="shared" si="72"/>
        <v>0</v>
      </c>
      <c r="L314" s="649"/>
      <c r="M314" s="75">
        <f t="shared" si="73"/>
        <v>1</v>
      </c>
      <c r="N314" s="649"/>
      <c r="O314" s="75">
        <f t="shared" si="74"/>
        <v>1</v>
      </c>
      <c r="P314" s="649"/>
      <c r="Q314" s="75">
        <f t="shared" si="75"/>
        <v>0</v>
      </c>
      <c r="R314" s="75">
        <f t="shared" si="76"/>
        <v>0</v>
      </c>
      <c r="S314" s="49">
        <f t="shared" si="77"/>
        <v>0</v>
      </c>
    </row>
    <row r="315" spans="1:19">
      <c r="A315" s="652"/>
      <c r="B315" s="648"/>
      <c r="C315" s="75">
        <f t="shared" si="68"/>
        <v>1</v>
      </c>
      <c r="D315" s="649"/>
      <c r="E315" s="75">
        <f t="shared" si="69"/>
        <v>0</v>
      </c>
      <c r="F315" s="649"/>
      <c r="G315" s="75">
        <f t="shared" si="70"/>
        <v>1</v>
      </c>
      <c r="H315" s="649"/>
      <c r="I315" s="75">
        <f t="shared" si="71"/>
        <v>1</v>
      </c>
      <c r="J315" s="649"/>
      <c r="K315" s="75">
        <f t="shared" si="72"/>
        <v>0</v>
      </c>
      <c r="L315" s="649"/>
      <c r="M315" s="75">
        <f t="shared" si="73"/>
        <v>1</v>
      </c>
      <c r="N315" s="649"/>
      <c r="O315" s="75">
        <f t="shared" si="74"/>
        <v>1</v>
      </c>
      <c r="P315" s="649"/>
      <c r="Q315" s="75">
        <f t="shared" si="75"/>
        <v>0</v>
      </c>
      <c r="R315" s="75">
        <f t="shared" si="76"/>
        <v>0</v>
      </c>
      <c r="S315" s="49">
        <f t="shared" si="77"/>
        <v>0</v>
      </c>
    </row>
    <row r="316" spans="1:19">
      <c r="A316" s="652"/>
      <c r="B316" s="648"/>
      <c r="C316" s="75">
        <f t="shared" si="68"/>
        <v>1</v>
      </c>
      <c r="D316" s="649"/>
      <c r="E316" s="75">
        <f t="shared" si="69"/>
        <v>0</v>
      </c>
      <c r="F316" s="649"/>
      <c r="G316" s="75">
        <f t="shared" si="70"/>
        <v>1</v>
      </c>
      <c r="H316" s="649"/>
      <c r="I316" s="75">
        <f t="shared" si="71"/>
        <v>1</v>
      </c>
      <c r="J316" s="649"/>
      <c r="K316" s="75">
        <f t="shared" si="72"/>
        <v>0</v>
      </c>
      <c r="L316" s="649"/>
      <c r="M316" s="75">
        <f t="shared" si="73"/>
        <v>1</v>
      </c>
      <c r="N316" s="649"/>
      <c r="O316" s="75">
        <f t="shared" si="74"/>
        <v>1</v>
      </c>
      <c r="P316" s="649"/>
      <c r="Q316" s="75">
        <f t="shared" si="75"/>
        <v>0</v>
      </c>
      <c r="R316" s="75">
        <f t="shared" si="76"/>
        <v>0</v>
      </c>
      <c r="S316" s="49">
        <f t="shared" si="77"/>
        <v>0</v>
      </c>
    </row>
    <row r="317" spans="1:19">
      <c r="A317" s="652"/>
      <c r="B317" s="648"/>
      <c r="C317" s="75">
        <f t="shared" si="68"/>
        <v>1</v>
      </c>
      <c r="D317" s="649"/>
      <c r="E317" s="75">
        <f t="shared" si="69"/>
        <v>0</v>
      </c>
      <c r="F317" s="649"/>
      <c r="G317" s="75">
        <f t="shared" si="70"/>
        <v>1</v>
      </c>
      <c r="H317" s="649"/>
      <c r="I317" s="75">
        <f t="shared" si="71"/>
        <v>1</v>
      </c>
      <c r="J317" s="649"/>
      <c r="K317" s="75">
        <f t="shared" si="72"/>
        <v>0</v>
      </c>
      <c r="L317" s="649"/>
      <c r="M317" s="75">
        <f t="shared" si="73"/>
        <v>1</v>
      </c>
      <c r="N317" s="649"/>
      <c r="O317" s="75">
        <f t="shared" si="74"/>
        <v>1</v>
      </c>
      <c r="P317" s="649"/>
      <c r="Q317" s="75">
        <f t="shared" si="75"/>
        <v>0</v>
      </c>
      <c r="R317" s="75">
        <f t="shared" si="76"/>
        <v>0</v>
      </c>
      <c r="S317" s="49">
        <f t="shared" si="77"/>
        <v>0</v>
      </c>
    </row>
    <row r="318" spans="1:19">
      <c r="A318" s="652"/>
      <c r="B318" s="648"/>
      <c r="C318" s="75">
        <f t="shared" si="68"/>
        <v>1</v>
      </c>
      <c r="D318" s="649"/>
      <c r="E318" s="75">
        <f t="shared" si="69"/>
        <v>0</v>
      </c>
      <c r="F318" s="649"/>
      <c r="G318" s="75">
        <f t="shared" si="70"/>
        <v>1</v>
      </c>
      <c r="H318" s="649"/>
      <c r="I318" s="75">
        <f t="shared" si="71"/>
        <v>1</v>
      </c>
      <c r="J318" s="649"/>
      <c r="K318" s="75">
        <f t="shared" si="72"/>
        <v>0</v>
      </c>
      <c r="L318" s="649"/>
      <c r="M318" s="75">
        <f t="shared" si="73"/>
        <v>1</v>
      </c>
      <c r="N318" s="649"/>
      <c r="O318" s="75">
        <f t="shared" si="74"/>
        <v>1</v>
      </c>
      <c r="P318" s="649"/>
      <c r="Q318" s="75">
        <f t="shared" si="75"/>
        <v>0</v>
      </c>
      <c r="R318" s="75">
        <f t="shared" si="76"/>
        <v>0</v>
      </c>
      <c r="S318" s="49">
        <f t="shared" si="77"/>
        <v>0</v>
      </c>
    </row>
    <row r="319" spans="1:19">
      <c r="A319" s="652"/>
      <c r="B319" s="648"/>
      <c r="C319" s="75">
        <f t="shared" si="68"/>
        <v>1</v>
      </c>
      <c r="D319" s="649"/>
      <c r="E319" s="75">
        <f t="shared" si="69"/>
        <v>0</v>
      </c>
      <c r="F319" s="649"/>
      <c r="G319" s="75">
        <f t="shared" si="70"/>
        <v>1</v>
      </c>
      <c r="H319" s="649"/>
      <c r="I319" s="75">
        <f t="shared" si="71"/>
        <v>1</v>
      </c>
      <c r="J319" s="649"/>
      <c r="K319" s="75">
        <f t="shared" si="72"/>
        <v>0</v>
      </c>
      <c r="L319" s="649"/>
      <c r="M319" s="75">
        <f t="shared" si="73"/>
        <v>1</v>
      </c>
      <c r="N319" s="649"/>
      <c r="O319" s="75">
        <f t="shared" si="74"/>
        <v>1</v>
      </c>
      <c r="P319" s="649"/>
      <c r="Q319" s="75">
        <f t="shared" si="75"/>
        <v>0</v>
      </c>
      <c r="R319" s="75">
        <f t="shared" si="76"/>
        <v>0</v>
      </c>
      <c r="S319" s="49">
        <f t="shared" si="77"/>
        <v>0</v>
      </c>
    </row>
    <row r="320" spans="1:19">
      <c r="A320" s="652"/>
      <c r="B320" s="648"/>
      <c r="C320" s="75">
        <f t="shared" si="68"/>
        <v>1</v>
      </c>
      <c r="D320" s="649"/>
      <c r="E320" s="75">
        <f t="shared" si="69"/>
        <v>0</v>
      </c>
      <c r="F320" s="649"/>
      <c r="G320" s="75">
        <f t="shared" si="70"/>
        <v>1</v>
      </c>
      <c r="H320" s="649"/>
      <c r="I320" s="75">
        <f t="shared" si="71"/>
        <v>1</v>
      </c>
      <c r="J320" s="649"/>
      <c r="K320" s="75">
        <f t="shared" si="72"/>
        <v>0</v>
      </c>
      <c r="L320" s="649"/>
      <c r="M320" s="75">
        <f t="shared" si="73"/>
        <v>1</v>
      </c>
      <c r="N320" s="649"/>
      <c r="O320" s="75">
        <f t="shared" si="74"/>
        <v>1</v>
      </c>
      <c r="P320" s="649"/>
      <c r="Q320" s="75">
        <f t="shared" si="75"/>
        <v>0</v>
      </c>
      <c r="R320" s="75">
        <f t="shared" si="76"/>
        <v>0</v>
      </c>
      <c r="S320" s="49">
        <f t="shared" si="77"/>
        <v>0</v>
      </c>
    </row>
    <row r="321" spans="1:19">
      <c r="A321" s="652"/>
      <c r="B321" s="648"/>
      <c r="C321" s="75">
        <f t="shared" si="68"/>
        <v>1</v>
      </c>
      <c r="D321" s="649"/>
      <c r="E321" s="75">
        <f t="shared" si="69"/>
        <v>0</v>
      </c>
      <c r="F321" s="649"/>
      <c r="G321" s="75">
        <f t="shared" si="70"/>
        <v>1</v>
      </c>
      <c r="H321" s="649"/>
      <c r="I321" s="75">
        <f t="shared" si="71"/>
        <v>1</v>
      </c>
      <c r="J321" s="649"/>
      <c r="K321" s="75">
        <f t="shared" si="72"/>
        <v>0</v>
      </c>
      <c r="L321" s="649"/>
      <c r="M321" s="75">
        <f t="shared" si="73"/>
        <v>1</v>
      </c>
      <c r="N321" s="649"/>
      <c r="O321" s="75">
        <f t="shared" si="74"/>
        <v>1</v>
      </c>
      <c r="P321" s="649"/>
      <c r="Q321" s="75">
        <f t="shared" si="75"/>
        <v>0</v>
      </c>
      <c r="R321" s="75">
        <f t="shared" si="76"/>
        <v>0</v>
      </c>
      <c r="S321" s="49">
        <f t="shared" ref="S321:S384" si="78">ROUND(R321*B321/10000,0)</f>
        <v>0</v>
      </c>
    </row>
    <row r="322" spans="1:19">
      <c r="A322" s="652"/>
      <c r="B322" s="648"/>
      <c r="C322" s="75">
        <f t="shared" si="68"/>
        <v>1</v>
      </c>
      <c r="D322" s="649"/>
      <c r="E322" s="75">
        <f t="shared" si="69"/>
        <v>0</v>
      </c>
      <c r="F322" s="649"/>
      <c r="G322" s="75">
        <f t="shared" si="70"/>
        <v>1</v>
      </c>
      <c r="H322" s="649"/>
      <c r="I322" s="75">
        <f t="shared" si="71"/>
        <v>1</v>
      </c>
      <c r="J322" s="649"/>
      <c r="K322" s="75">
        <f t="shared" si="72"/>
        <v>0</v>
      </c>
      <c r="L322" s="649"/>
      <c r="M322" s="75">
        <f t="shared" si="73"/>
        <v>1</v>
      </c>
      <c r="N322" s="649"/>
      <c r="O322" s="75">
        <f t="shared" si="74"/>
        <v>1</v>
      </c>
      <c r="P322" s="649"/>
      <c r="Q322" s="75">
        <f t="shared" si="75"/>
        <v>0</v>
      </c>
      <c r="R322" s="75">
        <f t="shared" si="76"/>
        <v>0</v>
      </c>
      <c r="S322" s="49">
        <f t="shared" si="78"/>
        <v>0</v>
      </c>
    </row>
    <row r="323" spans="1:19">
      <c r="A323" s="652"/>
      <c r="B323" s="648"/>
      <c r="C323" s="75">
        <f t="shared" si="68"/>
        <v>1</v>
      </c>
      <c r="D323" s="649"/>
      <c r="E323" s="75">
        <f t="shared" si="69"/>
        <v>0</v>
      </c>
      <c r="F323" s="649"/>
      <c r="G323" s="75">
        <f t="shared" si="70"/>
        <v>1</v>
      </c>
      <c r="H323" s="649"/>
      <c r="I323" s="75">
        <f t="shared" si="71"/>
        <v>1</v>
      </c>
      <c r="J323" s="649"/>
      <c r="K323" s="75">
        <f t="shared" si="72"/>
        <v>0</v>
      </c>
      <c r="L323" s="649"/>
      <c r="M323" s="75">
        <f t="shared" si="73"/>
        <v>1</v>
      </c>
      <c r="N323" s="649"/>
      <c r="O323" s="75">
        <f t="shared" si="74"/>
        <v>1</v>
      </c>
      <c r="P323" s="649"/>
      <c r="Q323" s="75">
        <f t="shared" si="75"/>
        <v>0</v>
      </c>
      <c r="R323" s="75">
        <f t="shared" si="76"/>
        <v>0</v>
      </c>
      <c r="S323" s="49">
        <f t="shared" si="78"/>
        <v>0</v>
      </c>
    </row>
    <row r="324" spans="1:19">
      <c r="A324" s="652"/>
      <c r="B324" s="648"/>
      <c r="C324" s="75">
        <f t="shared" si="68"/>
        <v>1</v>
      </c>
      <c r="D324" s="649"/>
      <c r="E324" s="75">
        <f t="shared" si="69"/>
        <v>0</v>
      </c>
      <c r="F324" s="649"/>
      <c r="G324" s="75">
        <f t="shared" si="70"/>
        <v>1</v>
      </c>
      <c r="H324" s="649"/>
      <c r="I324" s="75">
        <f t="shared" si="71"/>
        <v>1</v>
      </c>
      <c r="J324" s="649"/>
      <c r="K324" s="75">
        <f t="shared" si="72"/>
        <v>0</v>
      </c>
      <c r="L324" s="649"/>
      <c r="M324" s="75">
        <f t="shared" si="73"/>
        <v>1</v>
      </c>
      <c r="N324" s="649"/>
      <c r="O324" s="75">
        <f t="shared" si="74"/>
        <v>1</v>
      </c>
      <c r="P324" s="649"/>
      <c r="Q324" s="75">
        <f t="shared" si="75"/>
        <v>0</v>
      </c>
      <c r="R324" s="75">
        <f t="shared" si="76"/>
        <v>0</v>
      </c>
      <c r="S324" s="49">
        <f t="shared" si="78"/>
        <v>0</v>
      </c>
    </row>
    <row r="325" spans="1:19">
      <c r="A325" s="652"/>
      <c r="B325" s="648"/>
      <c r="C325" s="75">
        <f t="shared" si="68"/>
        <v>1</v>
      </c>
      <c r="D325" s="649"/>
      <c r="E325" s="75">
        <f t="shared" si="69"/>
        <v>0</v>
      </c>
      <c r="F325" s="649"/>
      <c r="G325" s="75">
        <f t="shared" si="70"/>
        <v>1</v>
      </c>
      <c r="H325" s="649"/>
      <c r="I325" s="75">
        <f t="shared" si="71"/>
        <v>1</v>
      </c>
      <c r="J325" s="649"/>
      <c r="K325" s="75">
        <f t="shared" si="72"/>
        <v>0</v>
      </c>
      <c r="L325" s="649"/>
      <c r="M325" s="75">
        <f t="shared" si="73"/>
        <v>1</v>
      </c>
      <c r="N325" s="649"/>
      <c r="O325" s="75">
        <f t="shared" si="74"/>
        <v>1</v>
      </c>
      <c r="P325" s="649"/>
      <c r="Q325" s="75">
        <f t="shared" si="75"/>
        <v>0</v>
      </c>
      <c r="R325" s="75">
        <f t="shared" si="76"/>
        <v>0</v>
      </c>
      <c r="S325" s="49">
        <f t="shared" si="78"/>
        <v>0</v>
      </c>
    </row>
    <row r="326" spans="1:19">
      <c r="A326" s="652"/>
      <c r="B326" s="648"/>
      <c r="C326" s="75">
        <f t="shared" si="68"/>
        <v>1</v>
      </c>
      <c r="D326" s="649"/>
      <c r="E326" s="75">
        <f t="shared" si="69"/>
        <v>0</v>
      </c>
      <c r="F326" s="649"/>
      <c r="G326" s="75">
        <f t="shared" si="70"/>
        <v>1</v>
      </c>
      <c r="H326" s="649"/>
      <c r="I326" s="75">
        <f t="shared" si="71"/>
        <v>1</v>
      </c>
      <c r="J326" s="649"/>
      <c r="K326" s="75">
        <f t="shared" si="72"/>
        <v>0</v>
      </c>
      <c r="L326" s="649"/>
      <c r="M326" s="75">
        <f t="shared" si="73"/>
        <v>1</v>
      </c>
      <c r="N326" s="649"/>
      <c r="O326" s="75">
        <f t="shared" si="74"/>
        <v>1</v>
      </c>
      <c r="P326" s="649"/>
      <c r="Q326" s="75">
        <f t="shared" si="75"/>
        <v>0</v>
      </c>
      <c r="R326" s="75">
        <f t="shared" si="76"/>
        <v>0</v>
      </c>
      <c r="S326" s="49">
        <f t="shared" si="78"/>
        <v>0</v>
      </c>
    </row>
    <row r="327" spans="1:19">
      <c r="A327" s="652"/>
      <c r="B327" s="648"/>
      <c r="C327" s="75">
        <f t="shared" si="68"/>
        <v>1</v>
      </c>
      <c r="D327" s="649"/>
      <c r="E327" s="75">
        <f t="shared" si="69"/>
        <v>0</v>
      </c>
      <c r="F327" s="649"/>
      <c r="G327" s="75">
        <f t="shared" si="70"/>
        <v>1</v>
      </c>
      <c r="H327" s="649"/>
      <c r="I327" s="75">
        <f t="shared" si="71"/>
        <v>1</v>
      </c>
      <c r="J327" s="649"/>
      <c r="K327" s="75">
        <f t="shared" si="72"/>
        <v>0</v>
      </c>
      <c r="L327" s="649"/>
      <c r="M327" s="75">
        <f t="shared" si="73"/>
        <v>1</v>
      </c>
      <c r="N327" s="649"/>
      <c r="O327" s="75">
        <f t="shared" si="74"/>
        <v>1</v>
      </c>
      <c r="P327" s="649"/>
      <c r="Q327" s="75">
        <f t="shared" si="75"/>
        <v>0</v>
      </c>
      <c r="R327" s="75">
        <f t="shared" si="76"/>
        <v>0</v>
      </c>
      <c r="S327" s="49">
        <f t="shared" si="78"/>
        <v>0</v>
      </c>
    </row>
    <row r="328" spans="1:19">
      <c r="A328" s="652"/>
      <c r="B328" s="648"/>
      <c r="C328" s="75">
        <f t="shared" si="68"/>
        <v>1</v>
      </c>
      <c r="D328" s="649"/>
      <c r="E328" s="75">
        <f t="shared" si="69"/>
        <v>0</v>
      </c>
      <c r="F328" s="649"/>
      <c r="G328" s="75">
        <f t="shared" si="70"/>
        <v>1</v>
      </c>
      <c r="H328" s="649"/>
      <c r="I328" s="75">
        <f t="shared" si="71"/>
        <v>1</v>
      </c>
      <c r="J328" s="649"/>
      <c r="K328" s="75">
        <f t="shared" si="72"/>
        <v>0</v>
      </c>
      <c r="L328" s="649"/>
      <c r="M328" s="75">
        <f t="shared" si="73"/>
        <v>1</v>
      </c>
      <c r="N328" s="649"/>
      <c r="O328" s="75">
        <f t="shared" si="74"/>
        <v>1</v>
      </c>
      <c r="P328" s="649"/>
      <c r="Q328" s="75">
        <f t="shared" si="75"/>
        <v>0</v>
      </c>
      <c r="R328" s="75">
        <f t="shared" si="76"/>
        <v>0</v>
      </c>
      <c r="S328" s="49">
        <f t="shared" si="78"/>
        <v>0</v>
      </c>
    </row>
    <row r="329" spans="1:19">
      <c r="A329" s="652"/>
      <c r="B329" s="648"/>
      <c r="C329" s="75">
        <f t="shared" si="68"/>
        <v>1</v>
      </c>
      <c r="D329" s="649"/>
      <c r="E329" s="75">
        <f t="shared" si="69"/>
        <v>0</v>
      </c>
      <c r="F329" s="649"/>
      <c r="G329" s="75">
        <f t="shared" si="70"/>
        <v>1</v>
      </c>
      <c r="H329" s="649"/>
      <c r="I329" s="75">
        <f t="shared" si="71"/>
        <v>1</v>
      </c>
      <c r="J329" s="649"/>
      <c r="K329" s="75">
        <f t="shared" si="72"/>
        <v>0</v>
      </c>
      <c r="L329" s="649"/>
      <c r="M329" s="75">
        <f t="shared" si="73"/>
        <v>1</v>
      </c>
      <c r="N329" s="649"/>
      <c r="O329" s="75">
        <f t="shared" si="74"/>
        <v>1</v>
      </c>
      <c r="P329" s="649"/>
      <c r="Q329" s="75">
        <f t="shared" si="75"/>
        <v>0</v>
      </c>
      <c r="R329" s="75">
        <f t="shared" si="76"/>
        <v>0</v>
      </c>
      <c r="S329" s="49">
        <f t="shared" si="78"/>
        <v>0</v>
      </c>
    </row>
    <row r="330" spans="1:19">
      <c r="A330" s="652"/>
      <c r="B330" s="648"/>
      <c r="C330" s="75">
        <f t="shared" si="68"/>
        <v>1</v>
      </c>
      <c r="D330" s="649"/>
      <c r="E330" s="75">
        <f t="shared" si="69"/>
        <v>0</v>
      </c>
      <c r="F330" s="649"/>
      <c r="G330" s="75">
        <f t="shared" si="70"/>
        <v>1</v>
      </c>
      <c r="H330" s="649"/>
      <c r="I330" s="75">
        <f t="shared" si="71"/>
        <v>1</v>
      </c>
      <c r="J330" s="649"/>
      <c r="K330" s="75">
        <f t="shared" si="72"/>
        <v>0</v>
      </c>
      <c r="L330" s="649"/>
      <c r="M330" s="75">
        <f t="shared" si="73"/>
        <v>1</v>
      </c>
      <c r="N330" s="649"/>
      <c r="O330" s="75">
        <f t="shared" si="74"/>
        <v>1</v>
      </c>
      <c r="P330" s="649"/>
      <c r="Q330" s="75">
        <f t="shared" si="75"/>
        <v>0</v>
      </c>
      <c r="R330" s="75">
        <f t="shared" si="76"/>
        <v>0</v>
      </c>
      <c r="S330" s="49">
        <f t="shared" si="78"/>
        <v>0</v>
      </c>
    </row>
    <row r="331" spans="1:19">
      <c r="A331" s="652"/>
      <c r="B331" s="648"/>
      <c r="C331" s="75">
        <f t="shared" si="68"/>
        <v>1</v>
      </c>
      <c r="D331" s="649"/>
      <c r="E331" s="75">
        <f t="shared" si="69"/>
        <v>0</v>
      </c>
      <c r="F331" s="649"/>
      <c r="G331" s="75">
        <f t="shared" si="70"/>
        <v>1</v>
      </c>
      <c r="H331" s="649"/>
      <c r="I331" s="75">
        <f t="shared" si="71"/>
        <v>1</v>
      </c>
      <c r="J331" s="649"/>
      <c r="K331" s="75">
        <f t="shared" si="72"/>
        <v>0</v>
      </c>
      <c r="L331" s="649"/>
      <c r="M331" s="75">
        <f t="shared" si="73"/>
        <v>1</v>
      </c>
      <c r="N331" s="649"/>
      <c r="O331" s="75">
        <f t="shared" si="74"/>
        <v>1</v>
      </c>
      <c r="P331" s="649"/>
      <c r="Q331" s="75">
        <f t="shared" si="75"/>
        <v>0</v>
      </c>
      <c r="R331" s="75">
        <f t="shared" si="76"/>
        <v>0</v>
      </c>
      <c r="S331" s="49">
        <f t="shared" si="78"/>
        <v>0</v>
      </c>
    </row>
    <row r="332" spans="1:19">
      <c r="A332" s="652"/>
      <c r="B332" s="648"/>
      <c r="C332" s="75">
        <f t="shared" si="68"/>
        <v>1</v>
      </c>
      <c r="D332" s="649"/>
      <c r="E332" s="75">
        <f t="shared" si="69"/>
        <v>0</v>
      </c>
      <c r="F332" s="649"/>
      <c r="G332" s="75">
        <f t="shared" si="70"/>
        <v>1</v>
      </c>
      <c r="H332" s="649"/>
      <c r="I332" s="75">
        <f t="shared" si="71"/>
        <v>1</v>
      </c>
      <c r="J332" s="649"/>
      <c r="K332" s="75">
        <f t="shared" si="72"/>
        <v>0</v>
      </c>
      <c r="L332" s="649"/>
      <c r="M332" s="75">
        <f t="shared" si="73"/>
        <v>1</v>
      </c>
      <c r="N332" s="649"/>
      <c r="O332" s="75">
        <f t="shared" si="74"/>
        <v>1</v>
      </c>
      <c r="P332" s="649"/>
      <c r="Q332" s="75">
        <f t="shared" si="75"/>
        <v>0</v>
      </c>
      <c r="R332" s="75">
        <f t="shared" si="76"/>
        <v>0</v>
      </c>
      <c r="S332" s="49">
        <f t="shared" si="78"/>
        <v>0</v>
      </c>
    </row>
    <row r="333" spans="1:19">
      <c r="A333" s="652"/>
      <c r="B333" s="648"/>
      <c r="C333" s="75">
        <f t="shared" si="68"/>
        <v>1</v>
      </c>
      <c r="D333" s="649"/>
      <c r="E333" s="75">
        <f t="shared" si="69"/>
        <v>0</v>
      </c>
      <c r="F333" s="649"/>
      <c r="G333" s="75">
        <f t="shared" si="70"/>
        <v>1</v>
      </c>
      <c r="H333" s="649"/>
      <c r="I333" s="75">
        <f t="shared" si="71"/>
        <v>1</v>
      </c>
      <c r="J333" s="649"/>
      <c r="K333" s="75">
        <f t="shared" si="72"/>
        <v>0</v>
      </c>
      <c r="L333" s="649"/>
      <c r="M333" s="75">
        <f t="shared" si="73"/>
        <v>1</v>
      </c>
      <c r="N333" s="649"/>
      <c r="O333" s="75">
        <f t="shared" si="74"/>
        <v>1</v>
      </c>
      <c r="P333" s="649"/>
      <c r="Q333" s="75">
        <f t="shared" si="75"/>
        <v>0</v>
      </c>
      <c r="R333" s="75">
        <f t="shared" si="76"/>
        <v>0</v>
      </c>
      <c r="S333" s="49">
        <f t="shared" si="78"/>
        <v>0</v>
      </c>
    </row>
    <row r="334" spans="1:19">
      <c r="A334" s="652"/>
      <c r="B334" s="648"/>
      <c r="C334" s="75">
        <f t="shared" si="68"/>
        <v>1</v>
      </c>
      <c r="D334" s="649"/>
      <c r="E334" s="75">
        <f t="shared" si="69"/>
        <v>0</v>
      </c>
      <c r="F334" s="649"/>
      <c r="G334" s="75">
        <f t="shared" si="70"/>
        <v>1</v>
      </c>
      <c r="H334" s="649"/>
      <c r="I334" s="75">
        <f t="shared" si="71"/>
        <v>1</v>
      </c>
      <c r="J334" s="649"/>
      <c r="K334" s="75">
        <f t="shared" si="72"/>
        <v>0</v>
      </c>
      <c r="L334" s="649"/>
      <c r="M334" s="75">
        <f t="shared" si="73"/>
        <v>1</v>
      </c>
      <c r="N334" s="649"/>
      <c r="O334" s="75">
        <f t="shared" si="74"/>
        <v>1</v>
      </c>
      <c r="P334" s="649"/>
      <c r="Q334" s="75">
        <f t="shared" si="75"/>
        <v>0</v>
      </c>
      <c r="R334" s="75">
        <f t="shared" si="76"/>
        <v>0</v>
      </c>
      <c r="S334" s="49">
        <f t="shared" si="78"/>
        <v>0</v>
      </c>
    </row>
    <row r="335" spans="1:19">
      <c r="A335" s="652"/>
      <c r="B335" s="648"/>
      <c r="C335" s="75">
        <f t="shared" si="68"/>
        <v>1</v>
      </c>
      <c r="D335" s="649"/>
      <c r="E335" s="75">
        <f t="shared" si="69"/>
        <v>0</v>
      </c>
      <c r="F335" s="649"/>
      <c r="G335" s="75">
        <f t="shared" si="70"/>
        <v>1</v>
      </c>
      <c r="H335" s="649"/>
      <c r="I335" s="75">
        <f t="shared" si="71"/>
        <v>1</v>
      </c>
      <c r="J335" s="649"/>
      <c r="K335" s="75">
        <f t="shared" si="72"/>
        <v>0</v>
      </c>
      <c r="L335" s="649"/>
      <c r="M335" s="75">
        <f t="shared" si="73"/>
        <v>1</v>
      </c>
      <c r="N335" s="649"/>
      <c r="O335" s="75">
        <f t="shared" si="74"/>
        <v>1</v>
      </c>
      <c r="P335" s="649"/>
      <c r="Q335" s="75">
        <f t="shared" si="75"/>
        <v>0</v>
      </c>
      <c r="R335" s="75">
        <f t="shared" si="76"/>
        <v>0</v>
      </c>
      <c r="S335" s="49">
        <f t="shared" si="78"/>
        <v>0</v>
      </c>
    </row>
    <row r="336" spans="1:19">
      <c r="A336" s="652"/>
      <c r="B336" s="648"/>
      <c r="C336" s="75">
        <f t="shared" si="68"/>
        <v>1</v>
      </c>
      <c r="D336" s="649"/>
      <c r="E336" s="75">
        <f t="shared" si="69"/>
        <v>0</v>
      </c>
      <c r="F336" s="649"/>
      <c r="G336" s="75">
        <f t="shared" si="70"/>
        <v>1</v>
      </c>
      <c r="H336" s="649"/>
      <c r="I336" s="75">
        <f t="shared" si="71"/>
        <v>1</v>
      </c>
      <c r="J336" s="649"/>
      <c r="K336" s="75">
        <f t="shared" si="72"/>
        <v>0</v>
      </c>
      <c r="L336" s="649"/>
      <c r="M336" s="75">
        <f t="shared" si="73"/>
        <v>1</v>
      </c>
      <c r="N336" s="649"/>
      <c r="O336" s="75">
        <f t="shared" si="74"/>
        <v>1</v>
      </c>
      <c r="P336" s="649"/>
      <c r="Q336" s="75">
        <f t="shared" si="75"/>
        <v>0</v>
      </c>
      <c r="R336" s="75">
        <f t="shared" si="76"/>
        <v>0</v>
      </c>
      <c r="S336" s="49">
        <f t="shared" si="78"/>
        <v>0</v>
      </c>
    </row>
    <row r="337" spans="1:19">
      <c r="A337" s="652"/>
      <c r="B337" s="648"/>
      <c r="C337" s="75">
        <f t="shared" si="68"/>
        <v>1</v>
      </c>
      <c r="D337" s="649"/>
      <c r="E337" s="75">
        <f t="shared" si="69"/>
        <v>0</v>
      </c>
      <c r="F337" s="649"/>
      <c r="G337" s="75">
        <f t="shared" si="70"/>
        <v>1</v>
      </c>
      <c r="H337" s="649"/>
      <c r="I337" s="75">
        <f t="shared" si="71"/>
        <v>1</v>
      </c>
      <c r="J337" s="649"/>
      <c r="K337" s="75">
        <f t="shared" si="72"/>
        <v>0</v>
      </c>
      <c r="L337" s="649"/>
      <c r="M337" s="75">
        <f t="shared" si="73"/>
        <v>1</v>
      </c>
      <c r="N337" s="649"/>
      <c r="O337" s="75">
        <f t="shared" si="74"/>
        <v>1</v>
      </c>
      <c r="P337" s="649"/>
      <c r="Q337" s="75">
        <f t="shared" si="75"/>
        <v>0</v>
      </c>
      <c r="R337" s="75">
        <f t="shared" si="76"/>
        <v>0</v>
      </c>
      <c r="S337" s="49">
        <f t="shared" si="78"/>
        <v>0</v>
      </c>
    </row>
    <row r="338" spans="1:19">
      <c r="A338" s="652"/>
      <c r="B338" s="648"/>
      <c r="C338" s="75">
        <f t="shared" si="68"/>
        <v>1</v>
      </c>
      <c r="D338" s="649"/>
      <c r="E338" s="75">
        <f t="shared" si="69"/>
        <v>0</v>
      </c>
      <c r="F338" s="649"/>
      <c r="G338" s="75">
        <f t="shared" si="70"/>
        <v>1</v>
      </c>
      <c r="H338" s="649"/>
      <c r="I338" s="75">
        <f t="shared" si="71"/>
        <v>1</v>
      </c>
      <c r="J338" s="649"/>
      <c r="K338" s="75">
        <f t="shared" si="72"/>
        <v>0</v>
      </c>
      <c r="L338" s="649"/>
      <c r="M338" s="75">
        <f t="shared" si="73"/>
        <v>1</v>
      </c>
      <c r="N338" s="649"/>
      <c r="O338" s="75">
        <f t="shared" si="74"/>
        <v>1</v>
      </c>
      <c r="P338" s="649"/>
      <c r="Q338" s="75">
        <f t="shared" si="75"/>
        <v>0</v>
      </c>
      <c r="R338" s="75">
        <f t="shared" si="76"/>
        <v>0</v>
      </c>
      <c r="S338" s="49">
        <f t="shared" si="78"/>
        <v>0</v>
      </c>
    </row>
    <row r="339" spans="1:19">
      <c r="A339" s="652"/>
      <c r="B339" s="648"/>
      <c r="C339" s="75">
        <f t="shared" si="68"/>
        <v>1</v>
      </c>
      <c r="D339" s="649"/>
      <c r="E339" s="75">
        <f t="shared" si="69"/>
        <v>0</v>
      </c>
      <c r="F339" s="649"/>
      <c r="G339" s="75">
        <f t="shared" si="70"/>
        <v>1</v>
      </c>
      <c r="H339" s="649"/>
      <c r="I339" s="75">
        <f t="shared" si="71"/>
        <v>1</v>
      </c>
      <c r="J339" s="649"/>
      <c r="K339" s="75">
        <f t="shared" si="72"/>
        <v>0</v>
      </c>
      <c r="L339" s="649"/>
      <c r="M339" s="75">
        <f t="shared" si="73"/>
        <v>1</v>
      </c>
      <c r="N339" s="649"/>
      <c r="O339" s="75">
        <f t="shared" si="74"/>
        <v>1</v>
      </c>
      <c r="P339" s="649"/>
      <c r="Q339" s="75">
        <f t="shared" si="75"/>
        <v>0</v>
      </c>
      <c r="R339" s="75">
        <f t="shared" si="76"/>
        <v>0</v>
      </c>
      <c r="S339" s="49">
        <f t="shared" si="78"/>
        <v>0</v>
      </c>
    </row>
    <row r="340" spans="1:19">
      <c r="A340" s="652"/>
      <c r="B340" s="648"/>
      <c r="C340" s="75">
        <f t="shared" si="68"/>
        <v>1</v>
      </c>
      <c r="D340" s="649"/>
      <c r="E340" s="75">
        <f t="shared" si="69"/>
        <v>0</v>
      </c>
      <c r="F340" s="649"/>
      <c r="G340" s="75">
        <f t="shared" si="70"/>
        <v>1</v>
      </c>
      <c r="H340" s="649"/>
      <c r="I340" s="75">
        <f t="shared" si="71"/>
        <v>1</v>
      </c>
      <c r="J340" s="649"/>
      <c r="K340" s="75">
        <f t="shared" si="72"/>
        <v>0</v>
      </c>
      <c r="L340" s="649"/>
      <c r="M340" s="75">
        <f t="shared" si="73"/>
        <v>1</v>
      </c>
      <c r="N340" s="649"/>
      <c r="O340" s="75">
        <f t="shared" si="74"/>
        <v>1</v>
      </c>
      <c r="P340" s="649"/>
      <c r="Q340" s="75">
        <f t="shared" si="75"/>
        <v>0</v>
      </c>
      <c r="R340" s="75">
        <f t="shared" si="76"/>
        <v>0</v>
      </c>
      <c r="S340" s="49">
        <f t="shared" si="78"/>
        <v>0</v>
      </c>
    </row>
    <row r="341" spans="1:19">
      <c r="A341" s="652"/>
      <c r="B341" s="648"/>
      <c r="C341" s="75">
        <f t="shared" si="68"/>
        <v>1</v>
      </c>
      <c r="D341" s="649"/>
      <c r="E341" s="75">
        <f t="shared" si="69"/>
        <v>0</v>
      </c>
      <c r="F341" s="649"/>
      <c r="G341" s="75">
        <f t="shared" si="70"/>
        <v>1</v>
      </c>
      <c r="H341" s="649"/>
      <c r="I341" s="75">
        <f t="shared" si="71"/>
        <v>1</v>
      </c>
      <c r="J341" s="649"/>
      <c r="K341" s="75">
        <f t="shared" si="72"/>
        <v>0</v>
      </c>
      <c r="L341" s="649"/>
      <c r="M341" s="75">
        <f t="shared" si="73"/>
        <v>1</v>
      </c>
      <c r="N341" s="649"/>
      <c r="O341" s="75">
        <f t="shared" si="74"/>
        <v>1</v>
      </c>
      <c r="P341" s="649"/>
      <c r="Q341" s="75">
        <f t="shared" si="75"/>
        <v>0</v>
      </c>
      <c r="R341" s="75">
        <f t="shared" si="76"/>
        <v>0</v>
      </c>
      <c r="S341" s="49">
        <f t="shared" si="78"/>
        <v>0</v>
      </c>
    </row>
    <row r="342" spans="1:19">
      <c r="A342" s="652"/>
      <c r="B342" s="648"/>
      <c r="C342" s="75">
        <f t="shared" si="68"/>
        <v>1</v>
      </c>
      <c r="D342" s="649"/>
      <c r="E342" s="75">
        <f t="shared" si="69"/>
        <v>0</v>
      </c>
      <c r="F342" s="649"/>
      <c r="G342" s="75">
        <f t="shared" si="70"/>
        <v>1</v>
      </c>
      <c r="H342" s="649"/>
      <c r="I342" s="75">
        <f t="shared" si="71"/>
        <v>1</v>
      </c>
      <c r="J342" s="649"/>
      <c r="K342" s="75">
        <f t="shared" si="72"/>
        <v>0</v>
      </c>
      <c r="L342" s="649"/>
      <c r="M342" s="75">
        <f t="shared" si="73"/>
        <v>1</v>
      </c>
      <c r="N342" s="649"/>
      <c r="O342" s="75">
        <f t="shared" si="74"/>
        <v>1</v>
      </c>
      <c r="P342" s="649"/>
      <c r="Q342" s="75">
        <f t="shared" si="75"/>
        <v>0</v>
      </c>
      <c r="R342" s="75">
        <f t="shared" si="76"/>
        <v>0</v>
      </c>
      <c r="S342" s="49">
        <f t="shared" si="78"/>
        <v>0</v>
      </c>
    </row>
    <row r="343" spans="1:19">
      <c r="A343" s="652"/>
      <c r="B343" s="648"/>
      <c r="C343" s="75">
        <f t="shared" si="68"/>
        <v>1</v>
      </c>
      <c r="D343" s="649"/>
      <c r="E343" s="75">
        <f t="shared" si="69"/>
        <v>0</v>
      </c>
      <c r="F343" s="649"/>
      <c r="G343" s="75">
        <f t="shared" si="70"/>
        <v>1</v>
      </c>
      <c r="H343" s="649"/>
      <c r="I343" s="75">
        <f t="shared" si="71"/>
        <v>1</v>
      </c>
      <c r="J343" s="649"/>
      <c r="K343" s="75">
        <f t="shared" si="72"/>
        <v>0</v>
      </c>
      <c r="L343" s="649"/>
      <c r="M343" s="75">
        <f t="shared" si="73"/>
        <v>1</v>
      </c>
      <c r="N343" s="649"/>
      <c r="O343" s="75">
        <f t="shared" si="74"/>
        <v>1</v>
      </c>
      <c r="P343" s="649"/>
      <c r="Q343" s="75">
        <f t="shared" si="75"/>
        <v>0</v>
      </c>
      <c r="R343" s="75">
        <f t="shared" si="76"/>
        <v>0</v>
      </c>
      <c r="S343" s="49">
        <f t="shared" si="78"/>
        <v>0</v>
      </c>
    </row>
    <row r="344" spans="1:19">
      <c r="A344" s="652"/>
      <c r="B344" s="648"/>
      <c r="C344" s="75">
        <f t="shared" si="68"/>
        <v>1</v>
      </c>
      <c r="D344" s="649"/>
      <c r="E344" s="75">
        <f t="shared" si="69"/>
        <v>0</v>
      </c>
      <c r="F344" s="649"/>
      <c r="G344" s="75">
        <f t="shared" si="70"/>
        <v>1</v>
      </c>
      <c r="H344" s="649"/>
      <c r="I344" s="75">
        <f t="shared" si="71"/>
        <v>1</v>
      </c>
      <c r="J344" s="649"/>
      <c r="K344" s="75">
        <f t="shared" si="72"/>
        <v>0</v>
      </c>
      <c r="L344" s="649"/>
      <c r="M344" s="75">
        <f t="shared" si="73"/>
        <v>1</v>
      </c>
      <c r="N344" s="649"/>
      <c r="O344" s="75">
        <f t="shared" si="74"/>
        <v>1</v>
      </c>
      <c r="P344" s="649"/>
      <c r="Q344" s="75">
        <f t="shared" si="75"/>
        <v>0</v>
      </c>
      <c r="R344" s="75">
        <f t="shared" si="76"/>
        <v>0</v>
      </c>
      <c r="S344" s="49">
        <f t="shared" si="78"/>
        <v>0</v>
      </c>
    </row>
    <row r="345" spans="1:19">
      <c r="A345" s="652"/>
      <c r="B345" s="648"/>
      <c r="C345" s="75">
        <f t="shared" si="68"/>
        <v>1</v>
      </c>
      <c r="D345" s="649"/>
      <c r="E345" s="75">
        <f t="shared" si="69"/>
        <v>0</v>
      </c>
      <c r="F345" s="649"/>
      <c r="G345" s="75">
        <f t="shared" si="70"/>
        <v>1</v>
      </c>
      <c r="H345" s="649"/>
      <c r="I345" s="75">
        <f t="shared" si="71"/>
        <v>1</v>
      </c>
      <c r="J345" s="649"/>
      <c r="K345" s="75">
        <f t="shared" si="72"/>
        <v>0</v>
      </c>
      <c r="L345" s="649"/>
      <c r="M345" s="75">
        <f t="shared" si="73"/>
        <v>1</v>
      </c>
      <c r="N345" s="649"/>
      <c r="O345" s="75">
        <f t="shared" si="74"/>
        <v>1</v>
      </c>
      <c r="P345" s="649"/>
      <c r="Q345" s="75">
        <f t="shared" si="75"/>
        <v>0</v>
      </c>
      <c r="R345" s="75">
        <f t="shared" si="76"/>
        <v>0</v>
      </c>
      <c r="S345" s="49">
        <f t="shared" si="78"/>
        <v>0</v>
      </c>
    </row>
    <row r="346" spans="1:19">
      <c r="A346" s="652"/>
      <c r="B346" s="648"/>
      <c r="C346" s="75">
        <f t="shared" ref="C346:C409" si="79">IF(B346="",1,(LOOKUP(B346,$3:$3,$4:$4)-LOOKUP($B$24,$3:$3,$4:$4)+100)/100)</f>
        <v>1</v>
      </c>
      <c r="D346" s="649"/>
      <c r="E346" s="75">
        <f t="shared" ref="E346:E409" si="80">(SUMIF($5:$5,D346,$6:$6)-SUMIF($5:$5,$D$24,$6:$6)+100)/100</f>
        <v>0</v>
      </c>
      <c r="F346" s="649"/>
      <c r="G346" s="75">
        <f t="shared" ref="G346:G409" si="81">(SUMIF($7:$7,F346,$8:$8)-SUMIF($7:$7,$F$24,$8:$8)+100)/100</f>
        <v>1</v>
      </c>
      <c r="H346" s="649"/>
      <c r="I346" s="75">
        <f t="shared" ref="I346:I409" si="82">(SUMIF($9:$9,H346,$10:$10)-SUMIF($9:$9,$H$24,$10:$10)+100)/100</f>
        <v>1</v>
      </c>
      <c r="J346" s="649"/>
      <c r="K346" s="75">
        <f t="shared" ref="K346:K409" si="83">(SUMIF($11:$11,J346,$12:$12)-SUMIF($11:$11,$J$24,$12:$12)+100)/100</f>
        <v>0</v>
      </c>
      <c r="L346" s="649"/>
      <c r="M346" s="75">
        <f t="shared" ref="M346:M409" si="84">(SUMIF($13:$13,L346,$14:$14)-SUMIF($13:$13,$L$24,$14:$14)+100)/100</f>
        <v>1</v>
      </c>
      <c r="N346" s="649"/>
      <c r="O346" s="75">
        <f t="shared" ref="O346:O409" si="85">(SUMIF($15:$15,N346,$16:$16)-SUMIF($15:$15,$N$24,$16:$16)+100)/100</f>
        <v>1</v>
      </c>
      <c r="P346" s="649"/>
      <c r="Q346" s="75">
        <f t="shared" ref="Q346:Q409" si="86">(SUMIF($17:$17,P346,$18:$18)-SUMIF($17:$17,$P$24,$18:$18)+100)/100</f>
        <v>0</v>
      </c>
      <c r="R346" s="75">
        <f t="shared" ref="R346:R409" si="87">IF(B346="",0,ROUND($R$24*C346*E346*G346*I346*K346*M346*O346*Q346,0))</f>
        <v>0</v>
      </c>
      <c r="S346" s="49">
        <f t="shared" si="78"/>
        <v>0</v>
      </c>
    </row>
    <row r="347" spans="1:19">
      <c r="A347" s="652"/>
      <c r="B347" s="648"/>
      <c r="C347" s="75">
        <f t="shared" si="79"/>
        <v>1</v>
      </c>
      <c r="D347" s="649"/>
      <c r="E347" s="75">
        <f t="shared" si="80"/>
        <v>0</v>
      </c>
      <c r="F347" s="649"/>
      <c r="G347" s="75">
        <f t="shared" si="81"/>
        <v>1</v>
      </c>
      <c r="H347" s="649"/>
      <c r="I347" s="75">
        <f t="shared" si="82"/>
        <v>1</v>
      </c>
      <c r="J347" s="649"/>
      <c r="K347" s="75">
        <f t="shared" si="83"/>
        <v>0</v>
      </c>
      <c r="L347" s="649"/>
      <c r="M347" s="75">
        <f t="shared" si="84"/>
        <v>1</v>
      </c>
      <c r="N347" s="649"/>
      <c r="O347" s="75">
        <f t="shared" si="85"/>
        <v>1</v>
      </c>
      <c r="P347" s="649"/>
      <c r="Q347" s="75">
        <f t="shared" si="86"/>
        <v>0</v>
      </c>
      <c r="R347" s="75">
        <f t="shared" si="87"/>
        <v>0</v>
      </c>
      <c r="S347" s="49">
        <f t="shared" si="78"/>
        <v>0</v>
      </c>
    </row>
    <row r="348" spans="1:19">
      <c r="A348" s="652"/>
      <c r="B348" s="648"/>
      <c r="C348" s="75">
        <f t="shared" si="79"/>
        <v>1</v>
      </c>
      <c r="D348" s="649"/>
      <c r="E348" s="75">
        <f t="shared" si="80"/>
        <v>0</v>
      </c>
      <c r="F348" s="649"/>
      <c r="G348" s="75">
        <f t="shared" si="81"/>
        <v>1</v>
      </c>
      <c r="H348" s="649"/>
      <c r="I348" s="75">
        <f t="shared" si="82"/>
        <v>1</v>
      </c>
      <c r="J348" s="649"/>
      <c r="K348" s="75">
        <f t="shared" si="83"/>
        <v>0</v>
      </c>
      <c r="L348" s="649"/>
      <c r="M348" s="75">
        <f t="shared" si="84"/>
        <v>1</v>
      </c>
      <c r="N348" s="649"/>
      <c r="O348" s="75">
        <f t="shared" si="85"/>
        <v>1</v>
      </c>
      <c r="P348" s="649"/>
      <c r="Q348" s="75">
        <f t="shared" si="86"/>
        <v>0</v>
      </c>
      <c r="R348" s="75">
        <f t="shared" si="87"/>
        <v>0</v>
      </c>
      <c r="S348" s="49">
        <f t="shared" si="78"/>
        <v>0</v>
      </c>
    </row>
    <row r="349" spans="1:19">
      <c r="A349" s="652"/>
      <c r="B349" s="648"/>
      <c r="C349" s="75">
        <f t="shared" si="79"/>
        <v>1</v>
      </c>
      <c r="D349" s="649"/>
      <c r="E349" s="75">
        <f t="shared" si="80"/>
        <v>0</v>
      </c>
      <c r="F349" s="649"/>
      <c r="G349" s="75">
        <f t="shared" si="81"/>
        <v>1</v>
      </c>
      <c r="H349" s="649"/>
      <c r="I349" s="75">
        <f t="shared" si="82"/>
        <v>1</v>
      </c>
      <c r="J349" s="649"/>
      <c r="K349" s="75">
        <f t="shared" si="83"/>
        <v>0</v>
      </c>
      <c r="L349" s="649"/>
      <c r="M349" s="75">
        <f t="shared" si="84"/>
        <v>1</v>
      </c>
      <c r="N349" s="649"/>
      <c r="O349" s="75">
        <f t="shared" si="85"/>
        <v>1</v>
      </c>
      <c r="P349" s="649"/>
      <c r="Q349" s="75">
        <f t="shared" si="86"/>
        <v>0</v>
      </c>
      <c r="R349" s="75">
        <f t="shared" si="87"/>
        <v>0</v>
      </c>
      <c r="S349" s="49">
        <f t="shared" si="78"/>
        <v>0</v>
      </c>
    </row>
    <row r="350" spans="1:19">
      <c r="A350" s="652"/>
      <c r="B350" s="648"/>
      <c r="C350" s="75">
        <f t="shared" si="79"/>
        <v>1</v>
      </c>
      <c r="D350" s="649"/>
      <c r="E350" s="75">
        <f t="shared" si="80"/>
        <v>0</v>
      </c>
      <c r="F350" s="649"/>
      <c r="G350" s="75">
        <f t="shared" si="81"/>
        <v>1</v>
      </c>
      <c r="H350" s="649"/>
      <c r="I350" s="75">
        <f t="shared" si="82"/>
        <v>1</v>
      </c>
      <c r="J350" s="649"/>
      <c r="K350" s="75">
        <f t="shared" si="83"/>
        <v>0</v>
      </c>
      <c r="L350" s="649"/>
      <c r="M350" s="75">
        <f t="shared" si="84"/>
        <v>1</v>
      </c>
      <c r="N350" s="649"/>
      <c r="O350" s="75">
        <f t="shared" si="85"/>
        <v>1</v>
      </c>
      <c r="P350" s="649"/>
      <c r="Q350" s="75">
        <f t="shared" si="86"/>
        <v>0</v>
      </c>
      <c r="R350" s="75">
        <f t="shared" si="87"/>
        <v>0</v>
      </c>
      <c r="S350" s="49">
        <f t="shared" si="78"/>
        <v>0</v>
      </c>
    </row>
    <row r="351" spans="1:19">
      <c r="A351" s="652"/>
      <c r="B351" s="648"/>
      <c r="C351" s="75">
        <f t="shared" si="79"/>
        <v>1</v>
      </c>
      <c r="D351" s="649"/>
      <c r="E351" s="75">
        <f t="shared" si="80"/>
        <v>0</v>
      </c>
      <c r="F351" s="649"/>
      <c r="G351" s="75">
        <f t="shared" si="81"/>
        <v>1</v>
      </c>
      <c r="H351" s="649"/>
      <c r="I351" s="75">
        <f t="shared" si="82"/>
        <v>1</v>
      </c>
      <c r="J351" s="649"/>
      <c r="K351" s="75">
        <f t="shared" si="83"/>
        <v>0</v>
      </c>
      <c r="L351" s="649"/>
      <c r="M351" s="75">
        <f t="shared" si="84"/>
        <v>1</v>
      </c>
      <c r="N351" s="649"/>
      <c r="O351" s="75">
        <f t="shared" si="85"/>
        <v>1</v>
      </c>
      <c r="P351" s="649"/>
      <c r="Q351" s="75">
        <f t="shared" si="86"/>
        <v>0</v>
      </c>
      <c r="R351" s="75">
        <f t="shared" si="87"/>
        <v>0</v>
      </c>
      <c r="S351" s="49">
        <f t="shared" si="78"/>
        <v>0</v>
      </c>
    </row>
    <row r="352" spans="1:19">
      <c r="A352" s="652"/>
      <c r="B352" s="648"/>
      <c r="C352" s="75">
        <f t="shared" si="79"/>
        <v>1</v>
      </c>
      <c r="D352" s="649"/>
      <c r="E352" s="75">
        <f t="shared" si="80"/>
        <v>0</v>
      </c>
      <c r="F352" s="649"/>
      <c r="G352" s="75">
        <f t="shared" si="81"/>
        <v>1</v>
      </c>
      <c r="H352" s="649"/>
      <c r="I352" s="75">
        <f t="shared" si="82"/>
        <v>1</v>
      </c>
      <c r="J352" s="649"/>
      <c r="K352" s="75">
        <f t="shared" si="83"/>
        <v>0</v>
      </c>
      <c r="L352" s="649"/>
      <c r="M352" s="75">
        <f t="shared" si="84"/>
        <v>1</v>
      </c>
      <c r="N352" s="649"/>
      <c r="O352" s="75">
        <f t="shared" si="85"/>
        <v>1</v>
      </c>
      <c r="P352" s="649"/>
      <c r="Q352" s="75">
        <f t="shared" si="86"/>
        <v>0</v>
      </c>
      <c r="R352" s="75">
        <f t="shared" si="87"/>
        <v>0</v>
      </c>
      <c r="S352" s="49">
        <f t="shared" si="78"/>
        <v>0</v>
      </c>
    </row>
    <row r="353" spans="1:19">
      <c r="A353" s="652"/>
      <c r="B353" s="648"/>
      <c r="C353" s="75">
        <f t="shared" si="79"/>
        <v>1</v>
      </c>
      <c r="D353" s="649"/>
      <c r="E353" s="75">
        <f t="shared" si="80"/>
        <v>0</v>
      </c>
      <c r="F353" s="649"/>
      <c r="G353" s="75">
        <f t="shared" si="81"/>
        <v>1</v>
      </c>
      <c r="H353" s="649"/>
      <c r="I353" s="75">
        <f t="shared" si="82"/>
        <v>1</v>
      </c>
      <c r="J353" s="649"/>
      <c r="K353" s="75">
        <f t="shared" si="83"/>
        <v>0</v>
      </c>
      <c r="L353" s="649"/>
      <c r="M353" s="75">
        <f t="shared" si="84"/>
        <v>1</v>
      </c>
      <c r="N353" s="649"/>
      <c r="O353" s="75">
        <f t="shared" si="85"/>
        <v>1</v>
      </c>
      <c r="P353" s="649"/>
      <c r="Q353" s="75">
        <f t="shared" si="86"/>
        <v>0</v>
      </c>
      <c r="R353" s="75">
        <f t="shared" si="87"/>
        <v>0</v>
      </c>
      <c r="S353" s="49">
        <f t="shared" si="78"/>
        <v>0</v>
      </c>
    </row>
    <row r="354" spans="1:19">
      <c r="A354" s="652"/>
      <c r="B354" s="648"/>
      <c r="C354" s="75">
        <f t="shared" si="79"/>
        <v>1</v>
      </c>
      <c r="D354" s="649"/>
      <c r="E354" s="75">
        <f t="shared" si="80"/>
        <v>0</v>
      </c>
      <c r="F354" s="649"/>
      <c r="G354" s="75">
        <f t="shared" si="81"/>
        <v>1</v>
      </c>
      <c r="H354" s="649"/>
      <c r="I354" s="75">
        <f t="shared" si="82"/>
        <v>1</v>
      </c>
      <c r="J354" s="649"/>
      <c r="K354" s="75">
        <f t="shared" si="83"/>
        <v>0</v>
      </c>
      <c r="L354" s="649"/>
      <c r="M354" s="75">
        <f t="shared" si="84"/>
        <v>1</v>
      </c>
      <c r="N354" s="649"/>
      <c r="O354" s="75">
        <f t="shared" si="85"/>
        <v>1</v>
      </c>
      <c r="P354" s="649"/>
      <c r="Q354" s="75">
        <f t="shared" si="86"/>
        <v>0</v>
      </c>
      <c r="R354" s="75">
        <f t="shared" si="87"/>
        <v>0</v>
      </c>
      <c r="S354" s="49">
        <f t="shared" si="78"/>
        <v>0</v>
      </c>
    </row>
    <row r="355" spans="1:19">
      <c r="A355" s="652"/>
      <c r="B355" s="648"/>
      <c r="C355" s="75">
        <f t="shared" si="79"/>
        <v>1</v>
      </c>
      <c r="D355" s="649"/>
      <c r="E355" s="75">
        <f t="shared" si="80"/>
        <v>0</v>
      </c>
      <c r="F355" s="649"/>
      <c r="G355" s="75">
        <f t="shared" si="81"/>
        <v>1</v>
      </c>
      <c r="H355" s="649"/>
      <c r="I355" s="75">
        <f t="shared" si="82"/>
        <v>1</v>
      </c>
      <c r="J355" s="649"/>
      <c r="K355" s="75">
        <f t="shared" si="83"/>
        <v>0</v>
      </c>
      <c r="L355" s="649"/>
      <c r="M355" s="75">
        <f t="shared" si="84"/>
        <v>1</v>
      </c>
      <c r="N355" s="649"/>
      <c r="O355" s="75">
        <f t="shared" si="85"/>
        <v>1</v>
      </c>
      <c r="P355" s="649"/>
      <c r="Q355" s="75">
        <f t="shared" si="86"/>
        <v>0</v>
      </c>
      <c r="R355" s="75">
        <f t="shared" si="87"/>
        <v>0</v>
      </c>
      <c r="S355" s="49">
        <f t="shared" si="78"/>
        <v>0</v>
      </c>
    </row>
    <row r="356" spans="1:19">
      <c r="A356" s="652"/>
      <c r="B356" s="648"/>
      <c r="C356" s="75">
        <f t="shared" si="79"/>
        <v>1</v>
      </c>
      <c r="D356" s="649"/>
      <c r="E356" s="75">
        <f t="shared" si="80"/>
        <v>0</v>
      </c>
      <c r="F356" s="649"/>
      <c r="G356" s="75">
        <f t="shared" si="81"/>
        <v>1</v>
      </c>
      <c r="H356" s="649"/>
      <c r="I356" s="75">
        <f t="shared" si="82"/>
        <v>1</v>
      </c>
      <c r="J356" s="649"/>
      <c r="K356" s="75">
        <f t="shared" si="83"/>
        <v>0</v>
      </c>
      <c r="L356" s="649"/>
      <c r="M356" s="75">
        <f t="shared" si="84"/>
        <v>1</v>
      </c>
      <c r="N356" s="649"/>
      <c r="O356" s="75">
        <f t="shared" si="85"/>
        <v>1</v>
      </c>
      <c r="P356" s="649"/>
      <c r="Q356" s="75">
        <f t="shared" si="86"/>
        <v>0</v>
      </c>
      <c r="R356" s="75">
        <f t="shared" si="87"/>
        <v>0</v>
      </c>
      <c r="S356" s="49">
        <f t="shared" si="78"/>
        <v>0</v>
      </c>
    </row>
    <row r="357" spans="1:19">
      <c r="A357" s="652"/>
      <c r="B357" s="648"/>
      <c r="C357" s="75">
        <f t="shared" si="79"/>
        <v>1</v>
      </c>
      <c r="D357" s="649"/>
      <c r="E357" s="75">
        <f t="shared" si="80"/>
        <v>0</v>
      </c>
      <c r="F357" s="649"/>
      <c r="G357" s="75">
        <f t="shared" si="81"/>
        <v>1</v>
      </c>
      <c r="H357" s="649"/>
      <c r="I357" s="75">
        <f t="shared" si="82"/>
        <v>1</v>
      </c>
      <c r="J357" s="649"/>
      <c r="K357" s="75">
        <f t="shared" si="83"/>
        <v>0</v>
      </c>
      <c r="L357" s="649"/>
      <c r="M357" s="75">
        <f t="shared" si="84"/>
        <v>1</v>
      </c>
      <c r="N357" s="649"/>
      <c r="O357" s="75">
        <f t="shared" si="85"/>
        <v>1</v>
      </c>
      <c r="P357" s="649"/>
      <c r="Q357" s="75">
        <f t="shared" si="86"/>
        <v>0</v>
      </c>
      <c r="R357" s="75">
        <f t="shared" si="87"/>
        <v>0</v>
      </c>
      <c r="S357" s="49">
        <f t="shared" si="78"/>
        <v>0</v>
      </c>
    </row>
    <row r="358" spans="1:19">
      <c r="A358" s="652"/>
      <c r="B358" s="648"/>
      <c r="C358" s="75">
        <f t="shared" si="79"/>
        <v>1</v>
      </c>
      <c r="D358" s="649"/>
      <c r="E358" s="75">
        <f t="shared" si="80"/>
        <v>0</v>
      </c>
      <c r="F358" s="649"/>
      <c r="G358" s="75">
        <f t="shared" si="81"/>
        <v>1</v>
      </c>
      <c r="H358" s="649"/>
      <c r="I358" s="75">
        <f t="shared" si="82"/>
        <v>1</v>
      </c>
      <c r="J358" s="649"/>
      <c r="K358" s="75">
        <f t="shared" si="83"/>
        <v>0</v>
      </c>
      <c r="L358" s="649"/>
      <c r="M358" s="75">
        <f t="shared" si="84"/>
        <v>1</v>
      </c>
      <c r="N358" s="649"/>
      <c r="O358" s="75">
        <f t="shared" si="85"/>
        <v>1</v>
      </c>
      <c r="P358" s="649"/>
      <c r="Q358" s="75">
        <f t="shared" si="86"/>
        <v>0</v>
      </c>
      <c r="R358" s="75">
        <f t="shared" si="87"/>
        <v>0</v>
      </c>
      <c r="S358" s="49">
        <f t="shared" si="78"/>
        <v>0</v>
      </c>
    </row>
    <row r="359" spans="1:19">
      <c r="A359" s="652"/>
      <c r="B359" s="648"/>
      <c r="C359" s="75">
        <f t="shared" si="79"/>
        <v>1</v>
      </c>
      <c r="D359" s="649"/>
      <c r="E359" s="75">
        <f t="shared" si="80"/>
        <v>0</v>
      </c>
      <c r="F359" s="649"/>
      <c r="G359" s="75">
        <f t="shared" si="81"/>
        <v>1</v>
      </c>
      <c r="H359" s="649"/>
      <c r="I359" s="75">
        <f t="shared" si="82"/>
        <v>1</v>
      </c>
      <c r="J359" s="649"/>
      <c r="K359" s="75">
        <f t="shared" si="83"/>
        <v>0</v>
      </c>
      <c r="L359" s="649"/>
      <c r="M359" s="75">
        <f t="shared" si="84"/>
        <v>1</v>
      </c>
      <c r="N359" s="649"/>
      <c r="O359" s="75">
        <f t="shared" si="85"/>
        <v>1</v>
      </c>
      <c r="P359" s="649"/>
      <c r="Q359" s="75">
        <f t="shared" si="86"/>
        <v>0</v>
      </c>
      <c r="R359" s="75">
        <f t="shared" si="87"/>
        <v>0</v>
      </c>
      <c r="S359" s="49">
        <f t="shared" si="78"/>
        <v>0</v>
      </c>
    </row>
    <row r="360" spans="1:19">
      <c r="A360" s="652"/>
      <c r="B360" s="648"/>
      <c r="C360" s="75">
        <f t="shared" si="79"/>
        <v>1</v>
      </c>
      <c r="D360" s="649"/>
      <c r="E360" s="75">
        <f t="shared" si="80"/>
        <v>0</v>
      </c>
      <c r="F360" s="649"/>
      <c r="G360" s="75">
        <f t="shared" si="81"/>
        <v>1</v>
      </c>
      <c r="H360" s="649"/>
      <c r="I360" s="75">
        <f t="shared" si="82"/>
        <v>1</v>
      </c>
      <c r="J360" s="649"/>
      <c r="K360" s="75">
        <f t="shared" si="83"/>
        <v>0</v>
      </c>
      <c r="L360" s="649"/>
      <c r="M360" s="75">
        <f t="shared" si="84"/>
        <v>1</v>
      </c>
      <c r="N360" s="649"/>
      <c r="O360" s="75">
        <f t="shared" si="85"/>
        <v>1</v>
      </c>
      <c r="P360" s="649"/>
      <c r="Q360" s="75">
        <f t="shared" si="86"/>
        <v>0</v>
      </c>
      <c r="R360" s="75">
        <f t="shared" si="87"/>
        <v>0</v>
      </c>
      <c r="S360" s="49">
        <f t="shared" si="78"/>
        <v>0</v>
      </c>
    </row>
    <row r="361" spans="1:19">
      <c r="A361" s="652"/>
      <c r="B361" s="648"/>
      <c r="C361" s="75">
        <f t="shared" si="79"/>
        <v>1</v>
      </c>
      <c r="D361" s="649"/>
      <c r="E361" s="75">
        <f t="shared" si="80"/>
        <v>0</v>
      </c>
      <c r="F361" s="649"/>
      <c r="G361" s="75">
        <f t="shared" si="81"/>
        <v>1</v>
      </c>
      <c r="H361" s="649"/>
      <c r="I361" s="75">
        <f t="shared" si="82"/>
        <v>1</v>
      </c>
      <c r="J361" s="649"/>
      <c r="K361" s="75">
        <f t="shared" si="83"/>
        <v>0</v>
      </c>
      <c r="L361" s="649"/>
      <c r="M361" s="75">
        <f t="shared" si="84"/>
        <v>1</v>
      </c>
      <c r="N361" s="649"/>
      <c r="O361" s="75">
        <f t="shared" si="85"/>
        <v>1</v>
      </c>
      <c r="P361" s="649"/>
      <c r="Q361" s="75">
        <f t="shared" si="86"/>
        <v>0</v>
      </c>
      <c r="R361" s="75">
        <f t="shared" si="87"/>
        <v>0</v>
      </c>
      <c r="S361" s="49">
        <f t="shared" si="78"/>
        <v>0</v>
      </c>
    </row>
    <row r="362" spans="1:19">
      <c r="A362" s="652"/>
      <c r="B362" s="648"/>
      <c r="C362" s="75">
        <f t="shared" si="79"/>
        <v>1</v>
      </c>
      <c r="D362" s="649"/>
      <c r="E362" s="75">
        <f t="shared" si="80"/>
        <v>0</v>
      </c>
      <c r="F362" s="649"/>
      <c r="G362" s="75">
        <f t="shared" si="81"/>
        <v>1</v>
      </c>
      <c r="H362" s="649"/>
      <c r="I362" s="75">
        <f t="shared" si="82"/>
        <v>1</v>
      </c>
      <c r="J362" s="649"/>
      <c r="K362" s="75">
        <f t="shared" si="83"/>
        <v>0</v>
      </c>
      <c r="L362" s="649"/>
      <c r="M362" s="75">
        <f t="shared" si="84"/>
        <v>1</v>
      </c>
      <c r="N362" s="649"/>
      <c r="O362" s="75">
        <f t="shared" si="85"/>
        <v>1</v>
      </c>
      <c r="P362" s="649"/>
      <c r="Q362" s="75">
        <f t="shared" si="86"/>
        <v>0</v>
      </c>
      <c r="R362" s="75">
        <f t="shared" si="87"/>
        <v>0</v>
      </c>
      <c r="S362" s="49">
        <f t="shared" si="78"/>
        <v>0</v>
      </c>
    </row>
    <row r="363" spans="1:19">
      <c r="A363" s="652"/>
      <c r="B363" s="648"/>
      <c r="C363" s="75">
        <f t="shared" si="79"/>
        <v>1</v>
      </c>
      <c r="D363" s="649"/>
      <c r="E363" s="75">
        <f t="shared" si="80"/>
        <v>0</v>
      </c>
      <c r="F363" s="649"/>
      <c r="G363" s="75">
        <f t="shared" si="81"/>
        <v>1</v>
      </c>
      <c r="H363" s="649"/>
      <c r="I363" s="75">
        <f t="shared" si="82"/>
        <v>1</v>
      </c>
      <c r="J363" s="649"/>
      <c r="K363" s="75">
        <f t="shared" si="83"/>
        <v>0</v>
      </c>
      <c r="L363" s="649"/>
      <c r="M363" s="75">
        <f t="shared" si="84"/>
        <v>1</v>
      </c>
      <c r="N363" s="649"/>
      <c r="O363" s="75">
        <f t="shared" si="85"/>
        <v>1</v>
      </c>
      <c r="P363" s="649"/>
      <c r="Q363" s="75">
        <f t="shared" si="86"/>
        <v>0</v>
      </c>
      <c r="R363" s="75">
        <f t="shared" si="87"/>
        <v>0</v>
      </c>
      <c r="S363" s="49">
        <f t="shared" si="78"/>
        <v>0</v>
      </c>
    </row>
    <row r="364" spans="1:19">
      <c r="A364" s="652"/>
      <c r="B364" s="648"/>
      <c r="C364" s="75">
        <f t="shared" si="79"/>
        <v>1</v>
      </c>
      <c r="D364" s="649"/>
      <c r="E364" s="75">
        <f t="shared" si="80"/>
        <v>0</v>
      </c>
      <c r="F364" s="649"/>
      <c r="G364" s="75">
        <f t="shared" si="81"/>
        <v>1</v>
      </c>
      <c r="H364" s="649"/>
      <c r="I364" s="75">
        <f t="shared" si="82"/>
        <v>1</v>
      </c>
      <c r="J364" s="649"/>
      <c r="K364" s="75">
        <f t="shared" si="83"/>
        <v>0</v>
      </c>
      <c r="L364" s="649"/>
      <c r="M364" s="75">
        <f t="shared" si="84"/>
        <v>1</v>
      </c>
      <c r="N364" s="649"/>
      <c r="O364" s="75">
        <f t="shared" si="85"/>
        <v>1</v>
      </c>
      <c r="P364" s="649"/>
      <c r="Q364" s="75">
        <f t="shared" si="86"/>
        <v>0</v>
      </c>
      <c r="R364" s="75">
        <f t="shared" si="87"/>
        <v>0</v>
      </c>
      <c r="S364" s="49">
        <f t="shared" si="78"/>
        <v>0</v>
      </c>
    </row>
    <row r="365" spans="1:19">
      <c r="A365" s="652"/>
      <c r="B365" s="648"/>
      <c r="C365" s="75">
        <f t="shared" si="79"/>
        <v>1</v>
      </c>
      <c r="D365" s="649"/>
      <c r="E365" s="75">
        <f t="shared" si="80"/>
        <v>0</v>
      </c>
      <c r="F365" s="649"/>
      <c r="G365" s="75">
        <f t="shared" si="81"/>
        <v>1</v>
      </c>
      <c r="H365" s="649"/>
      <c r="I365" s="75">
        <f t="shared" si="82"/>
        <v>1</v>
      </c>
      <c r="J365" s="649"/>
      <c r="K365" s="75">
        <f t="shared" si="83"/>
        <v>0</v>
      </c>
      <c r="L365" s="649"/>
      <c r="M365" s="75">
        <f t="shared" si="84"/>
        <v>1</v>
      </c>
      <c r="N365" s="649"/>
      <c r="O365" s="75">
        <f t="shared" si="85"/>
        <v>1</v>
      </c>
      <c r="P365" s="649"/>
      <c r="Q365" s="75">
        <f t="shared" si="86"/>
        <v>0</v>
      </c>
      <c r="R365" s="75">
        <f t="shared" si="87"/>
        <v>0</v>
      </c>
      <c r="S365" s="49">
        <f t="shared" si="78"/>
        <v>0</v>
      </c>
    </row>
    <row r="366" spans="1:19">
      <c r="A366" s="652"/>
      <c r="B366" s="648"/>
      <c r="C366" s="75">
        <f t="shared" si="79"/>
        <v>1</v>
      </c>
      <c r="D366" s="649"/>
      <c r="E366" s="75">
        <f t="shared" si="80"/>
        <v>0</v>
      </c>
      <c r="F366" s="649"/>
      <c r="G366" s="75">
        <f t="shared" si="81"/>
        <v>1</v>
      </c>
      <c r="H366" s="649"/>
      <c r="I366" s="75">
        <f t="shared" si="82"/>
        <v>1</v>
      </c>
      <c r="J366" s="649"/>
      <c r="K366" s="75">
        <f t="shared" si="83"/>
        <v>0</v>
      </c>
      <c r="L366" s="649"/>
      <c r="M366" s="75">
        <f t="shared" si="84"/>
        <v>1</v>
      </c>
      <c r="N366" s="649"/>
      <c r="O366" s="75">
        <f t="shared" si="85"/>
        <v>1</v>
      </c>
      <c r="P366" s="649"/>
      <c r="Q366" s="75">
        <f t="shared" si="86"/>
        <v>0</v>
      </c>
      <c r="R366" s="75">
        <f t="shared" si="87"/>
        <v>0</v>
      </c>
      <c r="S366" s="49">
        <f t="shared" si="78"/>
        <v>0</v>
      </c>
    </row>
    <row r="367" spans="1:19">
      <c r="A367" s="652"/>
      <c r="B367" s="648"/>
      <c r="C367" s="75">
        <f t="shared" si="79"/>
        <v>1</v>
      </c>
      <c r="D367" s="649"/>
      <c r="E367" s="75">
        <f t="shared" si="80"/>
        <v>0</v>
      </c>
      <c r="F367" s="649"/>
      <c r="G367" s="75">
        <f t="shared" si="81"/>
        <v>1</v>
      </c>
      <c r="H367" s="649"/>
      <c r="I367" s="75">
        <f t="shared" si="82"/>
        <v>1</v>
      </c>
      <c r="J367" s="649"/>
      <c r="K367" s="75">
        <f t="shared" si="83"/>
        <v>0</v>
      </c>
      <c r="L367" s="649"/>
      <c r="M367" s="75">
        <f t="shared" si="84"/>
        <v>1</v>
      </c>
      <c r="N367" s="649"/>
      <c r="O367" s="75">
        <f t="shared" si="85"/>
        <v>1</v>
      </c>
      <c r="P367" s="649"/>
      <c r="Q367" s="75">
        <f t="shared" si="86"/>
        <v>0</v>
      </c>
      <c r="R367" s="75">
        <f t="shared" si="87"/>
        <v>0</v>
      </c>
      <c r="S367" s="49">
        <f t="shared" si="78"/>
        <v>0</v>
      </c>
    </row>
    <row r="368" spans="1:19">
      <c r="A368" s="652"/>
      <c r="B368" s="648"/>
      <c r="C368" s="75">
        <f t="shared" si="79"/>
        <v>1</v>
      </c>
      <c r="D368" s="649"/>
      <c r="E368" s="75">
        <f t="shared" si="80"/>
        <v>0</v>
      </c>
      <c r="F368" s="649"/>
      <c r="G368" s="75">
        <f t="shared" si="81"/>
        <v>1</v>
      </c>
      <c r="H368" s="649"/>
      <c r="I368" s="75">
        <f t="shared" si="82"/>
        <v>1</v>
      </c>
      <c r="J368" s="649"/>
      <c r="K368" s="75">
        <f t="shared" si="83"/>
        <v>0</v>
      </c>
      <c r="L368" s="649"/>
      <c r="M368" s="75">
        <f t="shared" si="84"/>
        <v>1</v>
      </c>
      <c r="N368" s="649"/>
      <c r="O368" s="75">
        <f t="shared" si="85"/>
        <v>1</v>
      </c>
      <c r="P368" s="649"/>
      <c r="Q368" s="75">
        <f t="shared" si="86"/>
        <v>0</v>
      </c>
      <c r="R368" s="75">
        <f t="shared" si="87"/>
        <v>0</v>
      </c>
      <c r="S368" s="49">
        <f t="shared" si="78"/>
        <v>0</v>
      </c>
    </row>
    <row r="369" spans="1:19">
      <c r="A369" s="652"/>
      <c r="B369" s="648"/>
      <c r="C369" s="75">
        <f t="shared" si="79"/>
        <v>1</v>
      </c>
      <c r="D369" s="649"/>
      <c r="E369" s="75">
        <f t="shared" si="80"/>
        <v>0</v>
      </c>
      <c r="F369" s="649"/>
      <c r="G369" s="75">
        <f t="shared" si="81"/>
        <v>1</v>
      </c>
      <c r="H369" s="649"/>
      <c r="I369" s="75">
        <f t="shared" si="82"/>
        <v>1</v>
      </c>
      <c r="J369" s="649"/>
      <c r="K369" s="75">
        <f t="shared" si="83"/>
        <v>0</v>
      </c>
      <c r="L369" s="649"/>
      <c r="M369" s="75">
        <f t="shared" si="84"/>
        <v>1</v>
      </c>
      <c r="N369" s="649"/>
      <c r="O369" s="75">
        <f t="shared" si="85"/>
        <v>1</v>
      </c>
      <c r="P369" s="649"/>
      <c r="Q369" s="75">
        <f t="shared" si="86"/>
        <v>0</v>
      </c>
      <c r="R369" s="75">
        <f t="shared" si="87"/>
        <v>0</v>
      </c>
      <c r="S369" s="49">
        <f t="shared" si="78"/>
        <v>0</v>
      </c>
    </row>
    <row r="370" spans="1:19">
      <c r="A370" s="652"/>
      <c r="B370" s="648"/>
      <c r="C370" s="75">
        <f t="shared" si="79"/>
        <v>1</v>
      </c>
      <c r="D370" s="649"/>
      <c r="E370" s="75">
        <f t="shared" si="80"/>
        <v>0</v>
      </c>
      <c r="F370" s="649"/>
      <c r="G370" s="75">
        <f t="shared" si="81"/>
        <v>1</v>
      </c>
      <c r="H370" s="649"/>
      <c r="I370" s="75">
        <f t="shared" si="82"/>
        <v>1</v>
      </c>
      <c r="J370" s="649"/>
      <c r="K370" s="75">
        <f t="shared" si="83"/>
        <v>0</v>
      </c>
      <c r="L370" s="649"/>
      <c r="M370" s="75">
        <f t="shared" si="84"/>
        <v>1</v>
      </c>
      <c r="N370" s="649"/>
      <c r="O370" s="75">
        <f t="shared" si="85"/>
        <v>1</v>
      </c>
      <c r="P370" s="649"/>
      <c r="Q370" s="75">
        <f t="shared" si="86"/>
        <v>0</v>
      </c>
      <c r="R370" s="75">
        <f t="shared" si="87"/>
        <v>0</v>
      </c>
      <c r="S370" s="49">
        <f t="shared" si="78"/>
        <v>0</v>
      </c>
    </row>
    <row r="371" spans="1:19">
      <c r="A371" s="652"/>
      <c r="B371" s="648"/>
      <c r="C371" s="75">
        <f t="shared" si="79"/>
        <v>1</v>
      </c>
      <c r="D371" s="649"/>
      <c r="E371" s="75">
        <f t="shared" si="80"/>
        <v>0</v>
      </c>
      <c r="F371" s="649"/>
      <c r="G371" s="75">
        <f t="shared" si="81"/>
        <v>1</v>
      </c>
      <c r="H371" s="649"/>
      <c r="I371" s="75">
        <f t="shared" si="82"/>
        <v>1</v>
      </c>
      <c r="J371" s="649"/>
      <c r="K371" s="75">
        <f t="shared" si="83"/>
        <v>0</v>
      </c>
      <c r="L371" s="649"/>
      <c r="M371" s="75">
        <f t="shared" si="84"/>
        <v>1</v>
      </c>
      <c r="N371" s="649"/>
      <c r="O371" s="75">
        <f t="shared" si="85"/>
        <v>1</v>
      </c>
      <c r="P371" s="649"/>
      <c r="Q371" s="75">
        <f t="shared" si="86"/>
        <v>0</v>
      </c>
      <c r="R371" s="75">
        <f t="shared" si="87"/>
        <v>0</v>
      </c>
      <c r="S371" s="49">
        <f t="shared" si="78"/>
        <v>0</v>
      </c>
    </row>
    <row r="372" spans="1:19">
      <c r="A372" s="652"/>
      <c r="B372" s="648"/>
      <c r="C372" s="75">
        <f t="shared" si="79"/>
        <v>1</v>
      </c>
      <c r="D372" s="649"/>
      <c r="E372" s="75">
        <f t="shared" si="80"/>
        <v>0</v>
      </c>
      <c r="F372" s="649"/>
      <c r="G372" s="75">
        <f t="shared" si="81"/>
        <v>1</v>
      </c>
      <c r="H372" s="649"/>
      <c r="I372" s="75">
        <f t="shared" si="82"/>
        <v>1</v>
      </c>
      <c r="J372" s="649"/>
      <c r="K372" s="75">
        <f t="shared" si="83"/>
        <v>0</v>
      </c>
      <c r="L372" s="649"/>
      <c r="M372" s="75">
        <f t="shared" si="84"/>
        <v>1</v>
      </c>
      <c r="N372" s="649"/>
      <c r="O372" s="75">
        <f t="shared" si="85"/>
        <v>1</v>
      </c>
      <c r="P372" s="649"/>
      <c r="Q372" s="75">
        <f t="shared" si="86"/>
        <v>0</v>
      </c>
      <c r="R372" s="75">
        <f t="shared" si="87"/>
        <v>0</v>
      </c>
      <c r="S372" s="49">
        <f t="shared" si="78"/>
        <v>0</v>
      </c>
    </row>
    <row r="373" spans="1:19">
      <c r="A373" s="652"/>
      <c r="B373" s="648"/>
      <c r="C373" s="75">
        <f t="shared" si="79"/>
        <v>1</v>
      </c>
      <c r="D373" s="649"/>
      <c r="E373" s="75">
        <f t="shared" si="80"/>
        <v>0</v>
      </c>
      <c r="F373" s="649"/>
      <c r="G373" s="75">
        <f t="shared" si="81"/>
        <v>1</v>
      </c>
      <c r="H373" s="649"/>
      <c r="I373" s="75">
        <f t="shared" si="82"/>
        <v>1</v>
      </c>
      <c r="J373" s="649"/>
      <c r="K373" s="75">
        <f t="shared" si="83"/>
        <v>0</v>
      </c>
      <c r="L373" s="649"/>
      <c r="M373" s="75">
        <f t="shared" si="84"/>
        <v>1</v>
      </c>
      <c r="N373" s="649"/>
      <c r="O373" s="75">
        <f t="shared" si="85"/>
        <v>1</v>
      </c>
      <c r="P373" s="649"/>
      <c r="Q373" s="75">
        <f t="shared" si="86"/>
        <v>0</v>
      </c>
      <c r="R373" s="75">
        <f t="shared" si="87"/>
        <v>0</v>
      </c>
      <c r="S373" s="49">
        <f t="shared" si="78"/>
        <v>0</v>
      </c>
    </row>
    <row r="374" spans="1:19">
      <c r="A374" s="652"/>
      <c r="B374" s="648"/>
      <c r="C374" s="75">
        <f t="shared" si="79"/>
        <v>1</v>
      </c>
      <c r="D374" s="649"/>
      <c r="E374" s="75">
        <f t="shared" si="80"/>
        <v>0</v>
      </c>
      <c r="F374" s="649"/>
      <c r="G374" s="75">
        <f t="shared" si="81"/>
        <v>1</v>
      </c>
      <c r="H374" s="649"/>
      <c r="I374" s="75">
        <f t="shared" si="82"/>
        <v>1</v>
      </c>
      <c r="J374" s="649"/>
      <c r="K374" s="75">
        <f t="shared" si="83"/>
        <v>0</v>
      </c>
      <c r="L374" s="649"/>
      <c r="M374" s="75">
        <f t="shared" si="84"/>
        <v>1</v>
      </c>
      <c r="N374" s="649"/>
      <c r="O374" s="75">
        <f t="shared" si="85"/>
        <v>1</v>
      </c>
      <c r="P374" s="649"/>
      <c r="Q374" s="75">
        <f t="shared" si="86"/>
        <v>0</v>
      </c>
      <c r="R374" s="75">
        <f t="shared" si="87"/>
        <v>0</v>
      </c>
      <c r="S374" s="49">
        <f t="shared" si="78"/>
        <v>0</v>
      </c>
    </row>
    <row r="375" spans="1:19">
      <c r="A375" s="652"/>
      <c r="B375" s="648"/>
      <c r="C375" s="75">
        <f t="shared" si="79"/>
        <v>1</v>
      </c>
      <c r="D375" s="649"/>
      <c r="E375" s="75">
        <f t="shared" si="80"/>
        <v>0</v>
      </c>
      <c r="F375" s="649"/>
      <c r="G375" s="75">
        <f t="shared" si="81"/>
        <v>1</v>
      </c>
      <c r="H375" s="649"/>
      <c r="I375" s="75">
        <f t="shared" si="82"/>
        <v>1</v>
      </c>
      <c r="J375" s="649"/>
      <c r="K375" s="75">
        <f t="shared" si="83"/>
        <v>0</v>
      </c>
      <c r="L375" s="649"/>
      <c r="M375" s="75">
        <f t="shared" si="84"/>
        <v>1</v>
      </c>
      <c r="N375" s="649"/>
      <c r="O375" s="75">
        <f t="shared" si="85"/>
        <v>1</v>
      </c>
      <c r="P375" s="649"/>
      <c r="Q375" s="75">
        <f t="shared" si="86"/>
        <v>0</v>
      </c>
      <c r="R375" s="75">
        <f t="shared" si="87"/>
        <v>0</v>
      </c>
      <c r="S375" s="49">
        <f t="shared" si="78"/>
        <v>0</v>
      </c>
    </row>
    <row r="376" spans="1:19">
      <c r="A376" s="652"/>
      <c r="B376" s="648"/>
      <c r="C376" s="75">
        <f t="shared" si="79"/>
        <v>1</v>
      </c>
      <c r="D376" s="649"/>
      <c r="E376" s="75">
        <f t="shared" si="80"/>
        <v>0</v>
      </c>
      <c r="F376" s="649"/>
      <c r="G376" s="75">
        <f t="shared" si="81"/>
        <v>1</v>
      </c>
      <c r="H376" s="649"/>
      <c r="I376" s="75">
        <f t="shared" si="82"/>
        <v>1</v>
      </c>
      <c r="J376" s="649"/>
      <c r="K376" s="75">
        <f t="shared" si="83"/>
        <v>0</v>
      </c>
      <c r="L376" s="649"/>
      <c r="M376" s="75">
        <f t="shared" si="84"/>
        <v>1</v>
      </c>
      <c r="N376" s="649"/>
      <c r="O376" s="75">
        <f t="shared" si="85"/>
        <v>1</v>
      </c>
      <c r="P376" s="649"/>
      <c r="Q376" s="75">
        <f t="shared" si="86"/>
        <v>0</v>
      </c>
      <c r="R376" s="75">
        <f t="shared" si="87"/>
        <v>0</v>
      </c>
      <c r="S376" s="49">
        <f t="shared" si="78"/>
        <v>0</v>
      </c>
    </row>
    <row r="377" spans="1:19">
      <c r="A377" s="652"/>
      <c r="B377" s="648"/>
      <c r="C377" s="75">
        <f t="shared" si="79"/>
        <v>1</v>
      </c>
      <c r="D377" s="649"/>
      <c r="E377" s="75">
        <f t="shared" si="80"/>
        <v>0</v>
      </c>
      <c r="F377" s="649"/>
      <c r="G377" s="75">
        <f t="shared" si="81"/>
        <v>1</v>
      </c>
      <c r="H377" s="649"/>
      <c r="I377" s="75">
        <f t="shared" si="82"/>
        <v>1</v>
      </c>
      <c r="J377" s="649"/>
      <c r="K377" s="75">
        <f t="shared" si="83"/>
        <v>0</v>
      </c>
      <c r="L377" s="649"/>
      <c r="M377" s="75">
        <f t="shared" si="84"/>
        <v>1</v>
      </c>
      <c r="N377" s="649"/>
      <c r="O377" s="75">
        <f t="shared" si="85"/>
        <v>1</v>
      </c>
      <c r="P377" s="649"/>
      <c r="Q377" s="75">
        <f t="shared" si="86"/>
        <v>0</v>
      </c>
      <c r="R377" s="75">
        <f t="shared" si="87"/>
        <v>0</v>
      </c>
      <c r="S377" s="49">
        <f t="shared" si="78"/>
        <v>0</v>
      </c>
    </row>
    <row r="378" spans="1:19">
      <c r="A378" s="652"/>
      <c r="B378" s="648"/>
      <c r="C378" s="75">
        <f t="shared" si="79"/>
        <v>1</v>
      </c>
      <c r="D378" s="649"/>
      <c r="E378" s="75">
        <f t="shared" si="80"/>
        <v>0</v>
      </c>
      <c r="F378" s="649"/>
      <c r="G378" s="75">
        <f t="shared" si="81"/>
        <v>1</v>
      </c>
      <c r="H378" s="649"/>
      <c r="I378" s="75">
        <f t="shared" si="82"/>
        <v>1</v>
      </c>
      <c r="J378" s="649"/>
      <c r="K378" s="75">
        <f t="shared" si="83"/>
        <v>0</v>
      </c>
      <c r="L378" s="649"/>
      <c r="M378" s="75">
        <f t="shared" si="84"/>
        <v>1</v>
      </c>
      <c r="N378" s="649"/>
      <c r="O378" s="75">
        <f t="shared" si="85"/>
        <v>1</v>
      </c>
      <c r="P378" s="649"/>
      <c r="Q378" s="75">
        <f t="shared" si="86"/>
        <v>0</v>
      </c>
      <c r="R378" s="75">
        <f t="shared" si="87"/>
        <v>0</v>
      </c>
      <c r="S378" s="49">
        <f t="shared" si="78"/>
        <v>0</v>
      </c>
    </row>
    <row r="379" spans="1:19">
      <c r="A379" s="652"/>
      <c r="B379" s="648"/>
      <c r="C379" s="75">
        <f t="shared" si="79"/>
        <v>1</v>
      </c>
      <c r="D379" s="649"/>
      <c r="E379" s="75">
        <f t="shared" si="80"/>
        <v>0</v>
      </c>
      <c r="F379" s="649"/>
      <c r="G379" s="75">
        <f t="shared" si="81"/>
        <v>1</v>
      </c>
      <c r="H379" s="649"/>
      <c r="I379" s="75">
        <f t="shared" si="82"/>
        <v>1</v>
      </c>
      <c r="J379" s="649"/>
      <c r="K379" s="75">
        <f t="shared" si="83"/>
        <v>0</v>
      </c>
      <c r="L379" s="649"/>
      <c r="M379" s="75">
        <f t="shared" si="84"/>
        <v>1</v>
      </c>
      <c r="N379" s="649"/>
      <c r="O379" s="75">
        <f t="shared" si="85"/>
        <v>1</v>
      </c>
      <c r="P379" s="649"/>
      <c r="Q379" s="75">
        <f t="shared" si="86"/>
        <v>0</v>
      </c>
      <c r="R379" s="75">
        <f t="shared" si="87"/>
        <v>0</v>
      </c>
      <c r="S379" s="49">
        <f t="shared" si="78"/>
        <v>0</v>
      </c>
    </row>
    <row r="380" spans="1:19">
      <c r="A380" s="652"/>
      <c r="B380" s="648"/>
      <c r="C380" s="75">
        <f t="shared" si="79"/>
        <v>1</v>
      </c>
      <c r="D380" s="649"/>
      <c r="E380" s="75">
        <f t="shared" si="80"/>
        <v>0</v>
      </c>
      <c r="F380" s="649"/>
      <c r="G380" s="75">
        <f t="shared" si="81"/>
        <v>1</v>
      </c>
      <c r="H380" s="649"/>
      <c r="I380" s="75">
        <f t="shared" si="82"/>
        <v>1</v>
      </c>
      <c r="J380" s="649"/>
      <c r="K380" s="75">
        <f t="shared" si="83"/>
        <v>0</v>
      </c>
      <c r="L380" s="649"/>
      <c r="M380" s="75">
        <f t="shared" si="84"/>
        <v>1</v>
      </c>
      <c r="N380" s="649"/>
      <c r="O380" s="75">
        <f t="shared" si="85"/>
        <v>1</v>
      </c>
      <c r="P380" s="649"/>
      <c r="Q380" s="75">
        <f t="shared" si="86"/>
        <v>0</v>
      </c>
      <c r="R380" s="75">
        <f t="shared" si="87"/>
        <v>0</v>
      </c>
      <c r="S380" s="49">
        <f t="shared" si="78"/>
        <v>0</v>
      </c>
    </row>
    <row r="381" spans="1:19">
      <c r="A381" s="652"/>
      <c r="B381" s="648"/>
      <c r="C381" s="75">
        <f t="shared" si="79"/>
        <v>1</v>
      </c>
      <c r="D381" s="649"/>
      <c r="E381" s="75">
        <f t="shared" si="80"/>
        <v>0</v>
      </c>
      <c r="F381" s="649"/>
      <c r="G381" s="75">
        <f t="shared" si="81"/>
        <v>1</v>
      </c>
      <c r="H381" s="649"/>
      <c r="I381" s="75">
        <f t="shared" si="82"/>
        <v>1</v>
      </c>
      <c r="J381" s="649"/>
      <c r="K381" s="75">
        <f t="shared" si="83"/>
        <v>0</v>
      </c>
      <c r="L381" s="649"/>
      <c r="M381" s="75">
        <f t="shared" si="84"/>
        <v>1</v>
      </c>
      <c r="N381" s="649"/>
      <c r="O381" s="75">
        <f t="shared" si="85"/>
        <v>1</v>
      </c>
      <c r="P381" s="649"/>
      <c r="Q381" s="75">
        <f t="shared" si="86"/>
        <v>0</v>
      </c>
      <c r="R381" s="75">
        <f t="shared" si="87"/>
        <v>0</v>
      </c>
      <c r="S381" s="49">
        <f t="shared" si="78"/>
        <v>0</v>
      </c>
    </row>
    <row r="382" spans="1:19">
      <c r="A382" s="652"/>
      <c r="B382" s="648"/>
      <c r="C382" s="75">
        <f t="shared" si="79"/>
        <v>1</v>
      </c>
      <c r="D382" s="649"/>
      <c r="E382" s="75">
        <f t="shared" si="80"/>
        <v>0</v>
      </c>
      <c r="F382" s="649"/>
      <c r="G382" s="75">
        <f t="shared" si="81"/>
        <v>1</v>
      </c>
      <c r="H382" s="649"/>
      <c r="I382" s="75">
        <f t="shared" si="82"/>
        <v>1</v>
      </c>
      <c r="J382" s="649"/>
      <c r="K382" s="75">
        <f t="shared" si="83"/>
        <v>0</v>
      </c>
      <c r="L382" s="649"/>
      <c r="M382" s="75">
        <f t="shared" si="84"/>
        <v>1</v>
      </c>
      <c r="N382" s="649"/>
      <c r="O382" s="75">
        <f t="shared" si="85"/>
        <v>1</v>
      </c>
      <c r="P382" s="649"/>
      <c r="Q382" s="75">
        <f t="shared" si="86"/>
        <v>0</v>
      </c>
      <c r="R382" s="75">
        <f t="shared" si="87"/>
        <v>0</v>
      </c>
      <c r="S382" s="49">
        <f t="shared" si="78"/>
        <v>0</v>
      </c>
    </row>
    <row r="383" spans="1:19">
      <c r="A383" s="652"/>
      <c r="B383" s="648"/>
      <c r="C383" s="75">
        <f t="shared" si="79"/>
        <v>1</v>
      </c>
      <c r="D383" s="649"/>
      <c r="E383" s="75">
        <f t="shared" si="80"/>
        <v>0</v>
      </c>
      <c r="F383" s="649"/>
      <c r="G383" s="75">
        <f t="shared" si="81"/>
        <v>1</v>
      </c>
      <c r="H383" s="649"/>
      <c r="I383" s="75">
        <f t="shared" si="82"/>
        <v>1</v>
      </c>
      <c r="J383" s="649"/>
      <c r="K383" s="75">
        <f t="shared" si="83"/>
        <v>0</v>
      </c>
      <c r="L383" s="649"/>
      <c r="M383" s="75">
        <f t="shared" si="84"/>
        <v>1</v>
      </c>
      <c r="N383" s="649"/>
      <c r="O383" s="75">
        <f t="shared" si="85"/>
        <v>1</v>
      </c>
      <c r="P383" s="649"/>
      <c r="Q383" s="75">
        <f t="shared" si="86"/>
        <v>0</v>
      </c>
      <c r="R383" s="75">
        <f t="shared" si="87"/>
        <v>0</v>
      </c>
      <c r="S383" s="49">
        <f t="shared" si="78"/>
        <v>0</v>
      </c>
    </row>
    <row r="384" spans="1:19">
      <c r="A384" s="652"/>
      <c r="B384" s="648"/>
      <c r="C384" s="75">
        <f t="shared" si="79"/>
        <v>1</v>
      </c>
      <c r="D384" s="649"/>
      <c r="E384" s="75">
        <f t="shared" si="80"/>
        <v>0</v>
      </c>
      <c r="F384" s="649"/>
      <c r="G384" s="75">
        <f t="shared" si="81"/>
        <v>1</v>
      </c>
      <c r="H384" s="649"/>
      <c r="I384" s="75">
        <f t="shared" si="82"/>
        <v>1</v>
      </c>
      <c r="J384" s="649"/>
      <c r="K384" s="75">
        <f t="shared" si="83"/>
        <v>0</v>
      </c>
      <c r="L384" s="649"/>
      <c r="M384" s="75">
        <f t="shared" si="84"/>
        <v>1</v>
      </c>
      <c r="N384" s="649"/>
      <c r="O384" s="75">
        <f t="shared" si="85"/>
        <v>1</v>
      </c>
      <c r="P384" s="649"/>
      <c r="Q384" s="75">
        <f t="shared" si="86"/>
        <v>0</v>
      </c>
      <c r="R384" s="75">
        <f t="shared" si="87"/>
        <v>0</v>
      </c>
      <c r="S384" s="49">
        <f t="shared" si="78"/>
        <v>0</v>
      </c>
    </row>
    <row r="385" spans="1:19">
      <c r="A385" s="652"/>
      <c r="B385" s="648"/>
      <c r="C385" s="75">
        <f t="shared" si="79"/>
        <v>1</v>
      </c>
      <c r="D385" s="649"/>
      <c r="E385" s="75">
        <f t="shared" si="80"/>
        <v>0</v>
      </c>
      <c r="F385" s="649"/>
      <c r="G385" s="75">
        <f t="shared" si="81"/>
        <v>1</v>
      </c>
      <c r="H385" s="649"/>
      <c r="I385" s="75">
        <f t="shared" si="82"/>
        <v>1</v>
      </c>
      <c r="J385" s="649"/>
      <c r="K385" s="75">
        <f t="shared" si="83"/>
        <v>0</v>
      </c>
      <c r="L385" s="649"/>
      <c r="M385" s="75">
        <f t="shared" si="84"/>
        <v>1</v>
      </c>
      <c r="N385" s="649"/>
      <c r="O385" s="75">
        <f t="shared" si="85"/>
        <v>1</v>
      </c>
      <c r="P385" s="649"/>
      <c r="Q385" s="75">
        <f t="shared" si="86"/>
        <v>0</v>
      </c>
      <c r="R385" s="75">
        <f t="shared" si="87"/>
        <v>0</v>
      </c>
      <c r="S385" s="49">
        <f t="shared" ref="S385:S422" si="88">ROUND(R385*B385/10000,0)</f>
        <v>0</v>
      </c>
    </row>
    <row r="386" spans="1:19">
      <c r="A386" s="652"/>
      <c r="B386" s="648"/>
      <c r="C386" s="75">
        <f t="shared" si="79"/>
        <v>1</v>
      </c>
      <c r="D386" s="649"/>
      <c r="E386" s="75">
        <f t="shared" si="80"/>
        <v>0</v>
      </c>
      <c r="F386" s="649"/>
      <c r="G386" s="75">
        <f t="shared" si="81"/>
        <v>1</v>
      </c>
      <c r="H386" s="649"/>
      <c r="I386" s="75">
        <f t="shared" si="82"/>
        <v>1</v>
      </c>
      <c r="J386" s="649"/>
      <c r="K386" s="75">
        <f t="shared" si="83"/>
        <v>0</v>
      </c>
      <c r="L386" s="649"/>
      <c r="M386" s="75">
        <f t="shared" si="84"/>
        <v>1</v>
      </c>
      <c r="N386" s="649"/>
      <c r="O386" s="75">
        <f t="shared" si="85"/>
        <v>1</v>
      </c>
      <c r="P386" s="649"/>
      <c r="Q386" s="75">
        <f t="shared" si="86"/>
        <v>0</v>
      </c>
      <c r="R386" s="75">
        <f t="shared" si="87"/>
        <v>0</v>
      </c>
      <c r="S386" s="49">
        <f t="shared" si="88"/>
        <v>0</v>
      </c>
    </row>
    <row r="387" spans="1:19">
      <c r="A387" s="652"/>
      <c r="B387" s="648"/>
      <c r="C387" s="75">
        <f t="shared" si="79"/>
        <v>1</v>
      </c>
      <c r="D387" s="649"/>
      <c r="E387" s="75">
        <f t="shared" si="80"/>
        <v>0</v>
      </c>
      <c r="F387" s="649"/>
      <c r="G387" s="75">
        <f t="shared" si="81"/>
        <v>1</v>
      </c>
      <c r="H387" s="649"/>
      <c r="I387" s="75">
        <f t="shared" si="82"/>
        <v>1</v>
      </c>
      <c r="J387" s="649"/>
      <c r="K387" s="75">
        <f t="shared" si="83"/>
        <v>0</v>
      </c>
      <c r="L387" s="649"/>
      <c r="M387" s="75">
        <f t="shared" si="84"/>
        <v>1</v>
      </c>
      <c r="N387" s="649"/>
      <c r="O387" s="75">
        <f t="shared" si="85"/>
        <v>1</v>
      </c>
      <c r="P387" s="649"/>
      <c r="Q387" s="75">
        <f t="shared" si="86"/>
        <v>0</v>
      </c>
      <c r="R387" s="75">
        <f t="shared" si="87"/>
        <v>0</v>
      </c>
      <c r="S387" s="49">
        <f t="shared" si="88"/>
        <v>0</v>
      </c>
    </row>
    <row r="388" spans="1:19">
      <c r="A388" s="652"/>
      <c r="B388" s="648"/>
      <c r="C388" s="75">
        <f t="shared" si="79"/>
        <v>1</v>
      </c>
      <c r="D388" s="649"/>
      <c r="E388" s="75">
        <f t="shared" si="80"/>
        <v>0</v>
      </c>
      <c r="F388" s="649"/>
      <c r="G388" s="75">
        <f t="shared" si="81"/>
        <v>1</v>
      </c>
      <c r="H388" s="649"/>
      <c r="I388" s="75">
        <f t="shared" si="82"/>
        <v>1</v>
      </c>
      <c r="J388" s="649"/>
      <c r="K388" s="75">
        <f t="shared" si="83"/>
        <v>0</v>
      </c>
      <c r="L388" s="649"/>
      <c r="M388" s="75">
        <f t="shared" si="84"/>
        <v>1</v>
      </c>
      <c r="N388" s="649"/>
      <c r="O388" s="75">
        <f t="shared" si="85"/>
        <v>1</v>
      </c>
      <c r="P388" s="649"/>
      <c r="Q388" s="75">
        <f t="shared" si="86"/>
        <v>0</v>
      </c>
      <c r="R388" s="75">
        <f t="shared" si="87"/>
        <v>0</v>
      </c>
      <c r="S388" s="49">
        <f t="shared" si="88"/>
        <v>0</v>
      </c>
    </row>
    <row r="389" spans="1:19">
      <c r="A389" s="652"/>
      <c r="B389" s="648"/>
      <c r="C389" s="75">
        <f t="shared" si="79"/>
        <v>1</v>
      </c>
      <c r="D389" s="649"/>
      <c r="E389" s="75">
        <f t="shared" si="80"/>
        <v>0</v>
      </c>
      <c r="F389" s="649"/>
      <c r="G389" s="75">
        <f t="shared" si="81"/>
        <v>1</v>
      </c>
      <c r="H389" s="649"/>
      <c r="I389" s="75">
        <f t="shared" si="82"/>
        <v>1</v>
      </c>
      <c r="J389" s="649"/>
      <c r="K389" s="75">
        <f t="shared" si="83"/>
        <v>0</v>
      </c>
      <c r="L389" s="649"/>
      <c r="M389" s="75">
        <f t="shared" si="84"/>
        <v>1</v>
      </c>
      <c r="N389" s="649"/>
      <c r="O389" s="75">
        <f t="shared" si="85"/>
        <v>1</v>
      </c>
      <c r="P389" s="649"/>
      <c r="Q389" s="75">
        <f t="shared" si="86"/>
        <v>0</v>
      </c>
      <c r="R389" s="75">
        <f t="shared" si="87"/>
        <v>0</v>
      </c>
      <c r="S389" s="49">
        <f t="shared" si="88"/>
        <v>0</v>
      </c>
    </row>
    <row r="390" spans="1:19">
      <c r="A390" s="652"/>
      <c r="B390" s="648"/>
      <c r="C390" s="75">
        <f t="shared" si="79"/>
        <v>1</v>
      </c>
      <c r="D390" s="649"/>
      <c r="E390" s="75">
        <f t="shared" si="80"/>
        <v>0</v>
      </c>
      <c r="F390" s="649"/>
      <c r="G390" s="75">
        <f t="shared" si="81"/>
        <v>1</v>
      </c>
      <c r="H390" s="649"/>
      <c r="I390" s="75">
        <f t="shared" si="82"/>
        <v>1</v>
      </c>
      <c r="J390" s="649"/>
      <c r="K390" s="75">
        <f t="shared" si="83"/>
        <v>0</v>
      </c>
      <c r="L390" s="649"/>
      <c r="M390" s="75">
        <f t="shared" si="84"/>
        <v>1</v>
      </c>
      <c r="N390" s="649"/>
      <c r="O390" s="75">
        <f t="shared" si="85"/>
        <v>1</v>
      </c>
      <c r="P390" s="649"/>
      <c r="Q390" s="75">
        <f t="shared" si="86"/>
        <v>0</v>
      </c>
      <c r="R390" s="75">
        <f t="shared" si="87"/>
        <v>0</v>
      </c>
      <c r="S390" s="49">
        <f t="shared" si="88"/>
        <v>0</v>
      </c>
    </row>
    <row r="391" spans="1:19">
      <c r="A391" s="652"/>
      <c r="B391" s="648"/>
      <c r="C391" s="75">
        <f t="shared" si="79"/>
        <v>1</v>
      </c>
      <c r="D391" s="649"/>
      <c r="E391" s="75">
        <f t="shared" si="80"/>
        <v>0</v>
      </c>
      <c r="F391" s="649"/>
      <c r="G391" s="75">
        <f t="shared" si="81"/>
        <v>1</v>
      </c>
      <c r="H391" s="649"/>
      <c r="I391" s="75">
        <f t="shared" si="82"/>
        <v>1</v>
      </c>
      <c r="J391" s="649"/>
      <c r="K391" s="75">
        <f t="shared" si="83"/>
        <v>0</v>
      </c>
      <c r="L391" s="649"/>
      <c r="M391" s="75">
        <f t="shared" si="84"/>
        <v>1</v>
      </c>
      <c r="N391" s="649"/>
      <c r="O391" s="75">
        <f t="shared" si="85"/>
        <v>1</v>
      </c>
      <c r="P391" s="649"/>
      <c r="Q391" s="75">
        <f t="shared" si="86"/>
        <v>0</v>
      </c>
      <c r="R391" s="75">
        <f t="shared" si="87"/>
        <v>0</v>
      </c>
      <c r="S391" s="49">
        <f t="shared" si="88"/>
        <v>0</v>
      </c>
    </row>
    <row r="392" spans="1:19">
      <c r="A392" s="652"/>
      <c r="B392" s="648"/>
      <c r="C392" s="75">
        <f t="shared" si="79"/>
        <v>1</v>
      </c>
      <c r="D392" s="649"/>
      <c r="E392" s="75">
        <f t="shared" si="80"/>
        <v>0</v>
      </c>
      <c r="F392" s="649"/>
      <c r="G392" s="75">
        <f t="shared" si="81"/>
        <v>1</v>
      </c>
      <c r="H392" s="649"/>
      <c r="I392" s="75">
        <f t="shared" si="82"/>
        <v>1</v>
      </c>
      <c r="J392" s="649"/>
      <c r="K392" s="75">
        <f t="shared" si="83"/>
        <v>0</v>
      </c>
      <c r="L392" s="649"/>
      <c r="M392" s="75">
        <f t="shared" si="84"/>
        <v>1</v>
      </c>
      <c r="N392" s="649"/>
      <c r="O392" s="75">
        <f t="shared" si="85"/>
        <v>1</v>
      </c>
      <c r="P392" s="649"/>
      <c r="Q392" s="75">
        <f t="shared" si="86"/>
        <v>0</v>
      </c>
      <c r="R392" s="75">
        <f t="shared" si="87"/>
        <v>0</v>
      </c>
      <c r="S392" s="49">
        <f t="shared" si="88"/>
        <v>0</v>
      </c>
    </row>
    <row r="393" spans="1:19">
      <c r="A393" s="652"/>
      <c r="B393" s="648"/>
      <c r="C393" s="75">
        <f t="shared" si="79"/>
        <v>1</v>
      </c>
      <c r="D393" s="649"/>
      <c r="E393" s="75">
        <f t="shared" si="80"/>
        <v>0</v>
      </c>
      <c r="F393" s="649"/>
      <c r="G393" s="75">
        <f t="shared" si="81"/>
        <v>1</v>
      </c>
      <c r="H393" s="649"/>
      <c r="I393" s="75">
        <f t="shared" si="82"/>
        <v>1</v>
      </c>
      <c r="J393" s="649"/>
      <c r="K393" s="75">
        <f t="shared" si="83"/>
        <v>0</v>
      </c>
      <c r="L393" s="649"/>
      <c r="M393" s="75">
        <f t="shared" si="84"/>
        <v>1</v>
      </c>
      <c r="N393" s="649"/>
      <c r="O393" s="75">
        <f t="shared" si="85"/>
        <v>1</v>
      </c>
      <c r="P393" s="649"/>
      <c r="Q393" s="75">
        <f t="shared" si="86"/>
        <v>0</v>
      </c>
      <c r="R393" s="75">
        <f t="shared" si="87"/>
        <v>0</v>
      </c>
      <c r="S393" s="49">
        <f t="shared" si="88"/>
        <v>0</v>
      </c>
    </row>
    <row r="394" spans="1:19">
      <c r="A394" s="652"/>
      <c r="B394" s="648"/>
      <c r="C394" s="75">
        <f t="shared" si="79"/>
        <v>1</v>
      </c>
      <c r="D394" s="649"/>
      <c r="E394" s="75">
        <f t="shared" si="80"/>
        <v>0</v>
      </c>
      <c r="F394" s="649"/>
      <c r="G394" s="75">
        <f t="shared" si="81"/>
        <v>1</v>
      </c>
      <c r="H394" s="649"/>
      <c r="I394" s="75">
        <f t="shared" si="82"/>
        <v>1</v>
      </c>
      <c r="J394" s="649"/>
      <c r="K394" s="75">
        <f t="shared" si="83"/>
        <v>0</v>
      </c>
      <c r="L394" s="649"/>
      <c r="M394" s="75">
        <f t="shared" si="84"/>
        <v>1</v>
      </c>
      <c r="N394" s="649"/>
      <c r="O394" s="75">
        <f t="shared" si="85"/>
        <v>1</v>
      </c>
      <c r="P394" s="649"/>
      <c r="Q394" s="75">
        <f t="shared" si="86"/>
        <v>0</v>
      </c>
      <c r="R394" s="75">
        <f t="shared" si="87"/>
        <v>0</v>
      </c>
      <c r="S394" s="49">
        <f t="shared" si="88"/>
        <v>0</v>
      </c>
    </row>
    <row r="395" spans="1:19">
      <c r="A395" s="652"/>
      <c r="B395" s="648"/>
      <c r="C395" s="75">
        <f t="shared" si="79"/>
        <v>1</v>
      </c>
      <c r="D395" s="649"/>
      <c r="E395" s="75">
        <f t="shared" si="80"/>
        <v>0</v>
      </c>
      <c r="F395" s="649"/>
      <c r="G395" s="75">
        <f t="shared" si="81"/>
        <v>1</v>
      </c>
      <c r="H395" s="649"/>
      <c r="I395" s="75">
        <f t="shared" si="82"/>
        <v>1</v>
      </c>
      <c r="J395" s="649"/>
      <c r="K395" s="75">
        <f t="shared" si="83"/>
        <v>0</v>
      </c>
      <c r="L395" s="649"/>
      <c r="M395" s="75">
        <f t="shared" si="84"/>
        <v>1</v>
      </c>
      <c r="N395" s="649"/>
      <c r="O395" s="75">
        <f t="shared" si="85"/>
        <v>1</v>
      </c>
      <c r="P395" s="649"/>
      <c r="Q395" s="75">
        <f t="shared" si="86"/>
        <v>0</v>
      </c>
      <c r="R395" s="75">
        <f t="shared" si="87"/>
        <v>0</v>
      </c>
      <c r="S395" s="49">
        <f t="shared" si="88"/>
        <v>0</v>
      </c>
    </row>
    <row r="396" spans="1:19">
      <c r="A396" s="652"/>
      <c r="B396" s="648"/>
      <c r="C396" s="75">
        <f t="shared" si="79"/>
        <v>1</v>
      </c>
      <c r="D396" s="649"/>
      <c r="E396" s="75">
        <f t="shared" si="80"/>
        <v>0</v>
      </c>
      <c r="F396" s="649"/>
      <c r="G396" s="75">
        <f t="shared" si="81"/>
        <v>1</v>
      </c>
      <c r="H396" s="649"/>
      <c r="I396" s="75">
        <f t="shared" si="82"/>
        <v>1</v>
      </c>
      <c r="J396" s="649"/>
      <c r="K396" s="75">
        <f t="shared" si="83"/>
        <v>0</v>
      </c>
      <c r="L396" s="649"/>
      <c r="M396" s="75">
        <f t="shared" si="84"/>
        <v>1</v>
      </c>
      <c r="N396" s="649"/>
      <c r="O396" s="75">
        <f t="shared" si="85"/>
        <v>1</v>
      </c>
      <c r="P396" s="649"/>
      <c r="Q396" s="75">
        <f t="shared" si="86"/>
        <v>0</v>
      </c>
      <c r="R396" s="75">
        <f t="shared" si="87"/>
        <v>0</v>
      </c>
      <c r="S396" s="49">
        <f t="shared" si="88"/>
        <v>0</v>
      </c>
    </row>
    <row r="397" spans="1:19">
      <c r="A397" s="652"/>
      <c r="B397" s="648"/>
      <c r="C397" s="75">
        <f t="shared" si="79"/>
        <v>1</v>
      </c>
      <c r="D397" s="649"/>
      <c r="E397" s="75">
        <f t="shared" si="80"/>
        <v>0</v>
      </c>
      <c r="F397" s="649"/>
      <c r="G397" s="75">
        <f t="shared" si="81"/>
        <v>1</v>
      </c>
      <c r="H397" s="649"/>
      <c r="I397" s="75">
        <f t="shared" si="82"/>
        <v>1</v>
      </c>
      <c r="J397" s="649"/>
      <c r="K397" s="75">
        <f t="shared" si="83"/>
        <v>0</v>
      </c>
      <c r="L397" s="649"/>
      <c r="M397" s="75">
        <f t="shared" si="84"/>
        <v>1</v>
      </c>
      <c r="N397" s="649"/>
      <c r="O397" s="75">
        <f t="shared" si="85"/>
        <v>1</v>
      </c>
      <c r="P397" s="649"/>
      <c r="Q397" s="75">
        <f t="shared" si="86"/>
        <v>0</v>
      </c>
      <c r="R397" s="75">
        <f t="shared" si="87"/>
        <v>0</v>
      </c>
      <c r="S397" s="49">
        <f t="shared" si="88"/>
        <v>0</v>
      </c>
    </row>
    <row r="398" spans="1:19">
      <c r="A398" s="652"/>
      <c r="B398" s="648"/>
      <c r="C398" s="75">
        <f t="shared" si="79"/>
        <v>1</v>
      </c>
      <c r="D398" s="649"/>
      <c r="E398" s="75">
        <f t="shared" si="80"/>
        <v>0</v>
      </c>
      <c r="F398" s="649"/>
      <c r="G398" s="75">
        <f t="shared" si="81"/>
        <v>1</v>
      </c>
      <c r="H398" s="649"/>
      <c r="I398" s="75">
        <f t="shared" si="82"/>
        <v>1</v>
      </c>
      <c r="J398" s="649"/>
      <c r="K398" s="75">
        <f t="shared" si="83"/>
        <v>0</v>
      </c>
      <c r="L398" s="649"/>
      <c r="M398" s="75">
        <f t="shared" si="84"/>
        <v>1</v>
      </c>
      <c r="N398" s="649"/>
      <c r="O398" s="75">
        <f t="shared" si="85"/>
        <v>1</v>
      </c>
      <c r="P398" s="649"/>
      <c r="Q398" s="75">
        <f t="shared" si="86"/>
        <v>0</v>
      </c>
      <c r="R398" s="75">
        <f t="shared" si="87"/>
        <v>0</v>
      </c>
      <c r="S398" s="49">
        <f t="shared" si="88"/>
        <v>0</v>
      </c>
    </row>
    <row r="399" spans="1:19">
      <c r="A399" s="652"/>
      <c r="B399" s="648"/>
      <c r="C399" s="75">
        <f t="shared" si="79"/>
        <v>1</v>
      </c>
      <c r="D399" s="649"/>
      <c r="E399" s="75">
        <f t="shared" si="80"/>
        <v>0</v>
      </c>
      <c r="F399" s="649"/>
      <c r="G399" s="75">
        <f t="shared" si="81"/>
        <v>1</v>
      </c>
      <c r="H399" s="649"/>
      <c r="I399" s="75">
        <f t="shared" si="82"/>
        <v>1</v>
      </c>
      <c r="J399" s="649"/>
      <c r="K399" s="75">
        <f t="shared" si="83"/>
        <v>0</v>
      </c>
      <c r="L399" s="649"/>
      <c r="M399" s="75">
        <f t="shared" si="84"/>
        <v>1</v>
      </c>
      <c r="N399" s="649"/>
      <c r="O399" s="75">
        <f t="shared" si="85"/>
        <v>1</v>
      </c>
      <c r="P399" s="649"/>
      <c r="Q399" s="75">
        <f t="shared" si="86"/>
        <v>0</v>
      </c>
      <c r="R399" s="75">
        <f t="shared" si="87"/>
        <v>0</v>
      </c>
      <c r="S399" s="49">
        <f t="shared" si="88"/>
        <v>0</v>
      </c>
    </row>
    <row r="400" spans="1:19">
      <c r="A400" s="652"/>
      <c r="B400" s="648"/>
      <c r="C400" s="75">
        <f t="shared" si="79"/>
        <v>1</v>
      </c>
      <c r="D400" s="649"/>
      <c r="E400" s="75">
        <f t="shared" si="80"/>
        <v>0</v>
      </c>
      <c r="F400" s="649"/>
      <c r="G400" s="75">
        <f t="shared" si="81"/>
        <v>1</v>
      </c>
      <c r="H400" s="649"/>
      <c r="I400" s="75">
        <f t="shared" si="82"/>
        <v>1</v>
      </c>
      <c r="J400" s="649"/>
      <c r="K400" s="75">
        <f t="shared" si="83"/>
        <v>0</v>
      </c>
      <c r="L400" s="649"/>
      <c r="M400" s="75">
        <f t="shared" si="84"/>
        <v>1</v>
      </c>
      <c r="N400" s="649"/>
      <c r="O400" s="75">
        <f t="shared" si="85"/>
        <v>1</v>
      </c>
      <c r="P400" s="649"/>
      <c r="Q400" s="75">
        <f t="shared" si="86"/>
        <v>0</v>
      </c>
      <c r="R400" s="75">
        <f t="shared" si="87"/>
        <v>0</v>
      </c>
      <c r="S400" s="49">
        <f t="shared" si="88"/>
        <v>0</v>
      </c>
    </row>
    <row r="401" spans="1:19">
      <c r="A401" s="652"/>
      <c r="B401" s="648"/>
      <c r="C401" s="75">
        <f t="shared" si="79"/>
        <v>1</v>
      </c>
      <c r="D401" s="649"/>
      <c r="E401" s="75">
        <f t="shared" si="80"/>
        <v>0</v>
      </c>
      <c r="F401" s="649"/>
      <c r="G401" s="75">
        <f t="shared" si="81"/>
        <v>1</v>
      </c>
      <c r="H401" s="649"/>
      <c r="I401" s="75">
        <f t="shared" si="82"/>
        <v>1</v>
      </c>
      <c r="J401" s="649"/>
      <c r="K401" s="75">
        <f t="shared" si="83"/>
        <v>0</v>
      </c>
      <c r="L401" s="649"/>
      <c r="M401" s="75">
        <f t="shared" si="84"/>
        <v>1</v>
      </c>
      <c r="N401" s="649"/>
      <c r="O401" s="75">
        <f t="shared" si="85"/>
        <v>1</v>
      </c>
      <c r="P401" s="649"/>
      <c r="Q401" s="75">
        <f t="shared" si="86"/>
        <v>0</v>
      </c>
      <c r="R401" s="75">
        <f t="shared" si="87"/>
        <v>0</v>
      </c>
      <c r="S401" s="49">
        <f t="shared" si="88"/>
        <v>0</v>
      </c>
    </row>
    <row r="402" spans="1:19">
      <c r="A402" s="652"/>
      <c r="B402" s="648"/>
      <c r="C402" s="75">
        <f t="shared" si="79"/>
        <v>1</v>
      </c>
      <c r="D402" s="649"/>
      <c r="E402" s="75">
        <f t="shared" si="80"/>
        <v>0</v>
      </c>
      <c r="F402" s="649"/>
      <c r="G402" s="75">
        <f t="shared" si="81"/>
        <v>1</v>
      </c>
      <c r="H402" s="649"/>
      <c r="I402" s="75">
        <f t="shared" si="82"/>
        <v>1</v>
      </c>
      <c r="J402" s="649"/>
      <c r="K402" s="75">
        <f t="shared" si="83"/>
        <v>0</v>
      </c>
      <c r="L402" s="649"/>
      <c r="M402" s="75">
        <f t="shared" si="84"/>
        <v>1</v>
      </c>
      <c r="N402" s="649"/>
      <c r="O402" s="75">
        <f t="shared" si="85"/>
        <v>1</v>
      </c>
      <c r="P402" s="649"/>
      <c r="Q402" s="75">
        <f t="shared" si="86"/>
        <v>0</v>
      </c>
      <c r="R402" s="75">
        <f t="shared" si="87"/>
        <v>0</v>
      </c>
      <c r="S402" s="49">
        <f t="shared" si="88"/>
        <v>0</v>
      </c>
    </row>
    <row r="403" spans="1:19">
      <c r="A403" s="652"/>
      <c r="B403" s="648"/>
      <c r="C403" s="75">
        <f t="shared" si="79"/>
        <v>1</v>
      </c>
      <c r="D403" s="649"/>
      <c r="E403" s="75">
        <f t="shared" si="80"/>
        <v>0</v>
      </c>
      <c r="F403" s="649"/>
      <c r="G403" s="75">
        <f t="shared" si="81"/>
        <v>1</v>
      </c>
      <c r="H403" s="649"/>
      <c r="I403" s="75">
        <f t="shared" si="82"/>
        <v>1</v>
      </c>
      <c r="J403" s="649"/>
      <c r="K403" s="75">
        <f t="shared" si="83"/>
        <v>0</v>
      </c>
      <c r="L403" s="649"/>
      <c r="M403" s="75">
        <f t="shared" si="84"/>
        <v>1</v>
      </c>
      <c r="N403" s="649"/>
      <c r="O403" s="75">
        <f t="shared" si="85"/>
        <v>1</v>
      </c>
      <c r="P403" s="649"/>
      <c r="Q403" s="75">
        <f t="shared" si="86"/>
        <v>0</v>
      </c>
      <c r="R403" s="75">
        <f t="shared" si="87"/>
        <v>0</v>
      </c>
      <c r="S403" s="49">
        <f t="shared" si="88"/>
        <v>0</v>
      </c>
    </row>
    <row r="404" spans="1:19">
      <c r="A404" s="652"/>
      <c r="B404" s="648"/>
      <c r="C404" s="75">
        <f t="shared" si="79"/>
        <v>1</v>
      </c>
      <c r="D404" s="649"/>
      <c r="E404" s="75">
        <f t="shared" si="80"/>
        <v>0</v>
      </c>
      <c r="F404" s="649"/>
      <c r="G404" s="75">
        <f t="shared" si="81"/>
        <v>1</v>
      </c>
      <c r="H404" s="649"/>
      <c r="I404" s="75">
        <f t="shared" si="82"/>
        <v>1</v>
      </c>
      <c r="J404" s="649"/>
      <c r="K404" s="75">
        <f t="shared" si="83"/>
        <v>0</v>
      </c>
      <c r="L404" s="649"/>
      <c r="M404" s="75">
        <f t="shared" si="84"/>
        <v>1</v>
      </c>
      <c r="N404" s="649"/>
      <c r="O404" s="75">
        <f t="shared" si="85"/>
        <v>1</v>
      </c>
      <c r="P404" s="649"/>
      <c r="Q404" s="75">
        <f t="shared" si="86"/>
        <v>0</v>
      </c>
      <c r="R404" s="75">
        <f t="shared" si="87"/>
        <v>0</v>
      </c>
      <c r="S404" s="49">
        <f t="shared" si="88"/>
        <v>0</v>
      </c>
    </row>
    <row r="405" spans="1:19">
      <c r="A405" s="652"/>
      <c r="B405" s="648"/>
      <c r="C405" s="75">
        <f t="shared" si="79"/>
        <v>1</v>
      </c>
      <c r="D405" s="649"/>
      <c r="E405" s="75">
        <f t="shared" si="80"/>
        <v>0</v>
      </c>
      <c r="F405" s="649"/>
      <c r="G405" s="75">
        <f t="shared" si="81"/>
        <v>1</v>
      </c>
      <c r="H405" s="649"/>
      <c r="I405" s="75">
        <f t="shared" si="82"/>
        <v>1</v>
      </c>
      <c r="J405" s="649"/>
      <c r="K405" s="75">
        <f t="shared" si="83"/>
        <v>0</v>
      </c>
      <c r="L405" s="649"/>
      <c r="M405" s="75">
        <f t="shared" si="84"/>
        <v>1</v>
      </c>
      <c r="N405" s="649"/>
      <c r="O405" s="75">
        <f t="shared" si="85"/>
        <v>1</v>
      </c>
      <c r="P405" s="649"/>
      <c r="Q405" s="75">
        <f t="shared" si="86"/>
        <v>0</v>
      </c>
      <c r="R405" s="75">
        <f t="shared" si="87"/>
        <v>0</v>
      </c>
      <c r="S405" s="49">
        <f t="shared" si="88"/>
        <v>0</v>
      </c>
    </row>
    <row r="406" spans="1:19">
      <c r="A406" s="652"/>
      <c r="B406" s="648"/>
      <c r="C406" s="75">
        <f t="shared" si="79"/>
        <v>1</v>
      </c>
      <c r="D406" s="649"/>
      <c r="E406" s="75">
        <f t="shared" si="80"/>
        <v>0</v>
      </c>
      <c r="F406" s="649"/>
      <c r="G406" s="75">
        <f t="shared" si="81"/>
        <v>1</v>
      </c>
      <c r="H406" s="649"/>
      <c r="I406" s="75">
        <f t="shared" si="82"/>
        <v>1</v>
      </c>
      <c r="J406" s="649"/>
      <c r="K406" s="75">
        <f t="shared" si="83"/>
        <v>0</v>
      </c>
      <c r="L406" s="649"/>
      <c r="M406" s="75">
        <f t="shared" si="84"/>
        <v>1</v>
      </c>
      <c r="N406" s="649"/>
      <c r="O406" s="75">
        <f t="shared" si="85"/>
        <v>1</v>
      </c>
      <c r="P406" s="649"/>
      <c r="Q406" s="75">
        <f t="shared" si="86"/>
        <v>0</v>
      </c>
      <c r="R406" s="75">
        <f t="shared" si="87"/>
        <v>0</v>
      </c>
      <c r="S406" s="49">
        <f t="shared" si="88"/>
        <v>0</v>
      </c>
    </row>
    <row r="407" spans="1:19">
      <c r="A407" s="652"/>
      <c r="B407" s="648"/>
      <c r="C407" s="75">
        <f t="shared" si="79"/>
        <v>1</v>
      </c>
      <c r="D407" s="649"/>
      <c r="E407" s="75">
        <f t="shared" si="80"/>
        <v>0</v>
      </c>
      <c r="F407" s="649"/>
      <c r="G407" s="75">
        <f t="shared" si="81"/>
        <v>1</v>
      </c>
      <c r="H407" s="649"/>
      <c r="I407" s="75">
        <f t="shared" si="82"/>
        <v>1</v>
      </c>
      <c r="J407" s="649"/>
      <c r="K407" s="75">
        <f t="shared" si="83"/>
        <v>0</v>
      </c>
      <c r="L407" s="649"/>
      <c r="M407" s="75">
        <f t="shared" si="84"/>
        <v>1</v>
      </c>
      <c r="N407" s="649"/>
      <c r="O407" s="75">
        <f t="shared" si="85"/>
        <v>1</v>
      </c>
      <c r="P407" s="649"/>
      <c r="Q407" s="75">
        <f t="shared" si="86"/>
        <v>0</v>
      </c>
      <c r="R407" s="75">
        <f t="shared" si="87"/>
        <v>0</v>
      </c>
      <c r="S407" s="49">
        <f t="shared" si="88"/>
        <v>0</v>
      </c>
    </row>
    <row r="408" spans="1:19">
      <c r="A408" s="652"/>
      <c r="B408" s="648"/>
      <c r="C408" s="75">
        <f t="shared" si="79"/>
        <v>1</v>
      </c>
      <c r="D408" s="649"/>
      <c r="E408" s="75">
        <f t="shared" si="80"/>
        <v>0</v>
      </c>
      <c r="F408" s="649"/>
      <c r="G408" s="75">
        <f t="shared" si="81"/>
        <v>1</v>
      </c>
      <c r="H408" s="649"/>
      <c r="I408" s="75">
        <f t="shared" si="82"/>
        <v>1</v>
      </c>
      <c r="J408" s="649"/>
      <c r="K408" s="75">
        <f t="shared" si="83"/>
        <v>0</v>
      </c>
      <c r="L408" s="649"/>
      <c r="M408" s="75">
        <f t="shared" si="84"/>
        <v>1</v>
      </c>
      <c r="N408" s="649"/>
      <c r="O408" s="75">
        <f t="shared" si="85"/>
        <v>1</v>
      </c>
      <c r="P408" s="649"/>
      <c r="Q408" s="75">
        <f t="shared" si="86"/>
        <v>0</v>
      </c>
      <c r="R408" s="75">
        <f t="shared" si="87"/>
        <v>0</v>
      </c>
      <c r="S408" s="49">
        <f t="shared" si="88"/>
        <v>0</v>
      </c>
    </row>
    <row r="409" spans="1:19">
      <c r="A409" s="652"/>
      <c r="B409" s="648"/>
      <c r="C409" s="75">
        <f t="shared" si="79"/>
        <v>1</v>
      </c>
      <c r="D409" s="649"/>
      <c r="E409" s="75">
        <f t="shared" si="80"/>
        <v>0</v>
      </c>
      <c r="F409" s="649"/>
      <c r="G409" s="75">
        <f t="shared" si="81"/>
        <v>1</v>
      </c>
      <c r="H409" s="649"/>
      <c r="I409" s="75">
        <f t="shared" si="82"/>
        <v>1</v>
      </c>
      <c r="J409" s="649"/>
      <c r="K409" s="75">
        <f t="shared" si="83"/>
        <v>0</v>
      </c>
      <c r="L409" s="649"/>
      <c r="M409" s="75">
        <f t="shared" si="84"/>
        <v>1</v>
      </c>
      <c r="N409" s="649"/>
      <c r="O409" s="75">
        <f t="shared" si="85"/>
        <v>1</v>
      </c>
      <c r="P409" s="649"/>
      <c r="Q409" s="75">
        <f t="shared" si="86"/>
        <v>0</v>
      </c>
      <c r="R409" s="75">
        <f t="shared" si="87"/>
        <v>0</v>
      </c>
      <c r="S409" s="49">
        <f t="shared" si="88"/>
        <v>0</v>
      </c>
    </row>
    <row r="410" spans="1:19">
      <c r="A410" s="652"/>
      <c r="B410" s="648"/>
      <c r="C410" s="75">
        <f t="shared" ref="C410:C473" si="89">IF(B410="",1,(LOOKUP(B410,$3:$3,$4:$4)-LOOKUP($B$24,$3:$3,$4:$4)+100)/100)</f>
        <v>1</v>
      </c>
      <c r="D410" s="649"/>
      <c r="E410" s="75">
        <f t="shared" ref="E410:E473" si="90">(SUMIF($5:$5,D410,$6:$6)-SUMIF($5:$5,$D$24,$6:$6)+100)/100</f>
        <v>0</v>
      </c>
      <c r="F410" s="649"/>
      <c r="G410" s="75">
        <f t="shared" ref="G410:G473" si="91">(SUMIF($7:$7,F410,$8:$8)-SUMIF($7:$7,$F$24,$8:$8)+100)/100</f>
        <v>1</v>
      </c>
      <c r="H410" s="649"/>
      <c r="I410" s="75">
        <f t="shared" ref="I410:I473" si="92">(SUMIF($9:$9,H410,$10:$10)-SUMIF($9:$9,$H$24,$10:$10)+100)/100</f>
        <v>1</v>
      </c>
      <c r="J410" s="649"/>
      <c r="K410" s="75">
        <f t="shared" ref="K410:K473" si="93">(SUMIF($11:$11,J410,$12:$12)-SUMIF($11:$11,$J$24,$12:$12)+100)/100</f>
        <v>0</v>
      </c>
      <c r="L410" s="649"/>
      <c r="M410" s="75">
        <f t="shared" ref="M410:M473" si="94">(SUMIF($13:$13,L410,$14:$14)-SUMIF($13:$13,$L$24,$14:$14)+100)/100</f>
        <v>1</v>
      </c>
      <c r="N410" s="649"/>
      <c r="O410" s="75">
        <f t="shared" ref="O410:O473" si="95">(SUMIF($15:$15,N410,$16:$16)-SUMIF($15:$15,$N$24,$16:$16)+100)/100</f>
        <v>1</v>
      </c>
      <c r="P410" s="649"/>
      <c r="Q410" s="75">
        <f t="shared" ref="Q410:Q473" si="96">(SUMIF($17:$17,P410,$18:$18)-SUMIF($17:$17,$P$24,$18:$18)+100)/100</f>
        <v>0</v>
      </c>
      <c r="R410" s="75">
        <f t="shared" ref="R410:R473" si="97">IF(B410="",0,ROUND($R$24*C410*E410*G410*I410*K410*M410*O410*Q410,0))</f>
        <v>0</v>
      </c>
      <c r="S410" s="49">
        <f t="shared" si="88"/>
        <v>0</v>
      </c>
    </row>
    <row r="411" spans="1:19">
      <c r="A411" s="652"/>
      <c r="B411" s="648"/>
      <c r="C411" s="75">
        <f t="shared" si="89"/>
        <v>1</v>
      </c>
      <c r="D411" s="649"/>
      <c r="E411" s="75">
        <f t="shared" si="90"/>
        <v>0</v>
      </c>
      <c r="F411" s="649"/>
      <c r="G411" s="75">
        <f t="shared" si="91"/>
        <v>1</v>
      </c>
      <c r="H411" s="649"/>
      <c r="I411" s="75">
        <f t="shared" si="92"/>
        <v>1</v>
      </c>
      <c r="J411" s="649"/>
      <c r="K411" s="75">
        <f t="shared" si="93"/>
        <v>0</v>
      </c>
      <c r="L411" s="649"/>
      <c r="M411" s="75">
        <f t="shared" si="94"/>
        <v>1</v>
      </c>
      <c r="N411" s="649"/>
      <c r="O411" s="75">
        <f t="shared" si="95"/>
        <v>1</v>
      </c>
      <c r="P411" s="649"/>
      <c r="Q411" s="75">
        <f t="shared" si="96"/>
        <v>0</v>
      </c>
      <c r="R411" s="75">
        <f t="shared" si="97"/>
        <v>0</v>
      </c>
      <c r="S411" s="49">
        <f t="shared" si="88"/>
        <v>0</v>
      </c>
    </row>
    <row r="412" spans="1:19">
      <c r="A412" s="652"/>
      <c r="B412" s="648"/>
      <c r="C412" s="75">
        <f t="shared" si="89"/>
        <v>1</v>
      </c>
      <c r="D412" s="649"/>
      <c r="E412" s="75">
        <f t="shared" si="90"/>
        <v>0</v>
      </c>
      <c r="F412" s="649"/>
      <c r="G412" s="75">
        <f t="shared" si="91"/>
        <v>1</v>
      </c>
      <c r="H412" s="649"/>
      <c r="I412" s="75">
        <f t="shared" si="92"/>
        <v>1</v>
      </c>
      <c r="J412" s="649"/>
      <c r="K412" s="75">
        <f t="shared" si="93"/>
        <v>0</v>
      </c>
      <c r="L412" s="649"/>
      <c r="M412" s="75">
        <f t="shared" si="94"/>
        <v>1</v>
      </c>
      <c r="N412" s="649"/>
      <c r="O412" s="75">
        <f t="shared" si="95"/>
        <v>1</v>
      </c>
      <c r="P412" s="649"/>
      <c r="Q412" s="75">
        <f t="shared" si="96"/>
        <v>0</v>
      </c>
      <c r="R412" s="75">
        <f t="shared" si="97"/>
        <v>0</v>
      </c>
      <c r="S412" s="49">
        <f t="shared" si="88"/>
        <v>0</v>
      </c>
    </row>
    <row r="413" spans="1:19">
      <c r="A413" s="652"/>
      <c r="B413" s="648"/>
      <c r="C413" s="75">
        <f t="shared" si="89"/>
        <v>1</v>
      </c>
      <c r="D413" s="649"/>
      <c r="E413" s="75">
        <f t="shared" si="90"/>
        <v>0</v>
      </c>
      <c r="F413" s="649"/>
      <c r="G413" s="75">
        <f t="shared" si="91"/>
        <v>1</v>
      </c>
      <c r="H413" s="649"/>
      <c r="I413" s="75">
        <f t="shared" si="92"/>
        <v>1</v>
      </c>
      <c r="J413" s="649"/>
      <c r="K413" s="75">
        <f t="shared" si="93"/>
        <v>0</v>
      </c>
      <c r="L413" s="649"/>
      <c r="M413" s="75">
        <f t="shared" si="94"/>
        <v>1</v>
      </c>
      <c r="N413" s="649"/>
      <c r="O413" s="75">
        <f t="shared" si="95"/>
        <v>1</v>
      </c>
      <c r="P413" s="649"/>
      <c r="Q413" s="75">
        <f t="shared" si="96"/>
        <v>0</v>
      </c>
      <c r="R413" s="75">
        <f t="shared" si="97"/>
        <v>0</v>
      </c>
      <c r="S413" s="49">
        <f t="shared" si="88"/>
        <v>0</v>
      </c>
    </row>
    <row r="414" spans="1:19">
      <c r="A414" s="652"/>
      <c r="B414" s="648"/>
      <c r="C414" s="75">
        <f t="shared" si="89"/>
        <v>1</v>
      </c>
      <c r="D414" s="649"/>
      <c r="E414" s="75">
        <f t="shared" si="90"/>
        <v>0</v>
      </c>
      <c r="F414" s="649"/>
      <c r="G414" s="75">
        <f t="shared" si="91"/>
        <v>1</v>
      </c>
      <c r="H414" s="649"/>
      <c r="I414" s="75">
        <f t="shared" si="92"/>
        <v>1</v>
      </c>
      <c r="J414" s="649"/>
      <c r="K414" s="75">
        <f t="shared" si="93"/>
        <v>0</v>
      </c>
      <c r="L414" s="649"/>
      <c r="M414" s="75">
        <f t="shared" si="94"/>
        <v>1</v>
      </c>
      <c r="N414" s="649"/>
      <c r="O414" s="75">
        <f t="shared" si="95"/>
        <v>1</v>
      </c>
      <c r="P414" s="649"/>
      <c r="Q414" s="75">
        <f t="shared" si="96"/>
        <v>0</v>
      </c>
      <c r="R414" s="75">
        <f t="shared" si="97"/>
        <v>0</v>
      </c>
      <c r="S414" s="49">
        <f t="shared" si="88"/>
        <v>0</v>
      </c>
    </row>
    <row r="415" spans="1:19">
      <c r="A415" s="652"/>
      <c r="B415" s="648"/>
      <c r="C415" s="75">
        <f t="shared" si="89"/>
        <v>1</v>
      </c>
      <c r="D415" s="649"/>
      <c r="E415" s="75">
        <f t="shared" si="90"/>
        <v>0</v>
      </c>
      <c r="F415" s="649"/>
      <c r="G415" s="75">
        <f t="shared" si="91"/>
        <v>1</v>
      </c>
      <c r="H415" s="649"/>
      <c r="I415" s="75">
        <f t="shared" si="92"/>
        <v>1</v>
      </c>
      <c r="J415" s="649"/>
      <c r="K415" s="75">
        <f t="shared" si="93"/>
        <v>0</v>
      </c>
      <c r="L415" s="649"/>
      <c r="M415" s="75">
        <f t="shared" si="94"/>
        <v>1</v>
      </c>
      <c r="N415" s="649"/>
      <c r="O415" s="75">
        <f t="shared" si="95"/>
        <v>1</v>
      </c>
      <c r="P415" s="649"/>
      <c r="Q415" s="75">
        <f t="shared" si="96"/>
        <v>0</v>
      </c>
      <c r="R415" s="75">
        <f t="shared" si="97"/>
        <v>0</v>
      </c>
      <c r="S415" s="49">
        <f t="shared" si="88"/>
        <v>0</v>
      </c>
    </row>
    <row r="416" spans="1:19">
      <c r="A416" s="652"/>
      <c r="B416" s="648"/>
      <c r="C416" s="75">
        <f t="shared" si="89"/>
        <v>1</v>
      </c>
      <c r="D416" s="649"/>
      <c r="E416" s="75">
        <f t="shared" si="90"/>
        <v>0</v>
      </c>
      <c r="F416" s="649"/>
      <c r="G416" s="75">
        <f t="shared" si="91"/>
        <v>1</v>
      </c>
      <c r="H416" s="649"/>
      <c r="I416" s="75">
        <f t="shared" si="92"/>
        <v>1</v>
      </c>
      <c r="J416" s="649"/>
      <c r="K416" s="75">
        <f t="shared" si="93"/>
        <v>0</v>
      </c>
      <c r="L416" s="649"/>
      <c r="M416" s="75">
        <f t="shared" si="94"/>
        <v>1</v>
      </c>
      <c r="N416" s="649"/>
      <c r="O416" s="75">
        <f t="shared" si="95"/>
        <v>1</v>
      </c>
      <c r="P416" s="649"/>
      <c r="Q416" s="75">
        <f t="shared" si="96"/>
        <v>0</v>
      </c>
      <c r="R416" s="75">
        <f t="shared" si="97"/>
        <v>0</v>
      </c>
      <c r="S416" s="49">
        <f t="shared" si="88"/>
        <v>0</v>
      </c>
    </row>
    <row r="417" spans="1:19">
      <c r="A417" s="652"/>
      <c r="B417" s="648"/>
      <c r="C417" s="75">
        <f t="shared" si="89"/>
        <v>1</v>
      </c>
      <c r="D417" s="649"/>
      <c r="E417" s="75">
        <f t="shared" si="90"/>
        <v>0</v>
      </c>
      <c r="F417" s="649"/>
      <c r="G417" s="75">
        <f t="shared" si="91"/>
        <v>1</v>
      </c>
      <c r="H417" s="649"/>
      <c r="I417" s="75">
        <f t="shared" si="92"/>
        <v>1</v>
      </c>
      <c r="J417" s="649"/>
      <c r="K417" s="75">
        <f t="shared" si="93"/>
        <v>0</v>
      </c>
      <c r="L417" s="649"/>
      <c r="M417" s="75">
        <f t="shared" si="94"/>
        <v>1</v>
      </c>
      <c r="N417" s="649"/>
      <c r="O417" s="75">
        <f t="shared" si="95"/>
        <v>1</v>
      </c>
      <c r="P417" s="649"/>
      <c r="Q417" s="75">
        <f t="shared" si="96"/>
        <v>0</v>
      </c>
      <c r="R417" s="75">
        <f t="shared" si="97"/>
        <v>0</v>
      </c>
      <c r="S417" s="49">
        <f t="shared" si="88"/>
        <v>0</v>
      </c>
    </row>
    <row r="418" spans="1:19">
      <c r="A418" s="652"/>
      <c r="B418" s="648"/>
      <c r="C418" s="75">
        <f t="shared" si="89"/>
        <v>1</v>
      </c>
      <c r="D418" s="649"/>
      <c r="E418" s="75">
        <f t="shared" si="90"/>
        <v>0</v>
      </c>
      <c r="F418" s="649"/>
      <c r="G418" s="75">
        <f t="shared" si="91"/>
        <v>1</v>
      </c>
      <c r="H418" s="649"/>
      <c r="I418" s="75">
        <f t="shared" si="92"/>
        <v>1</v>
      </c>
      <c r="J418" s="649"/>
      <c r="K418" s="75">
        <f t="shared" si="93"/>
        <v>0</v>
      </c>
      <c r="L418" s="649"/>
      <c r="M418" s="75">
        <f t="shared" si="94"/>
        <v>1</v>
      </c>
      <c r="N418" s="649"/>
      <c r="O418" s="75">
        <f t="shared" si="95"/>
        <v>1</v>
      </c>
      <c r="P418" s="649"/>
      <c r="Q418" s="75">
        <f t="shared" si="96"/>
        <v>0</v>
      </c>
      <c r="R418" s="75">
        <f t="shared" si="97"/>
        <v>0</v>
      </c>
      <c r="S418" s="49">
        <f t="shared" si="88"/>
        <v>0</v>
      </c>
    </row>
    <row r="419" spans="1:19">
      <c r="A419" s="652"/>
      <c r="B419" s="648"/>
      <c r="C419" s="75">
        <f t="shared" si="89"/>
        <v>1</v>
      </c>
      <c r="D419" s="649"/>
      <c r="E419" s="75">
        <f t="shared" si="90"/>
        <v>0</v>
      </c>
      <c r="F419" s="649"/>
      <c r="G419" s="75">
        <f t="shared" si="91"/>
        <v>1</v>
      </c>
      <c r="H419" s="649"/>
      <c r="I419" s="75">
        <f t="shared" si="92"/>
        <v>1</v>
      </c>
      <c r="J419" s="649"/>
      <c r="K419" s="75">
        <f t="shared" si="93"/>
        <v>0</v>
      </c>
      <c r="L419" s="649"/>
      <c r="M419" s="75">
        <f t="shared" si="94"/>
        <v>1</v>
      </c>
      <c r="N419" s="649"/>
      <c r="O419" s="75">
        <f t="shared" si="95"/>
        <v>1</v>
      </c>
      <c r="P419" s="649"/>
      <c r="Q419" s="75">
        <f t="shared" si="96"/>
        <v>0</v>
      </c>
      <c r="R419" s="75">
        <f t="shared" si="97"/>
        <v>0</v>
      </c>
      <c r="S419" s="49">
        <f t="shared" si="88"/>
        <v>0</v>
      </c>
    </row>
    <row r="420" spans="1:19">
      <c r="A420" s="652"/>
      <c r="B420" s="648"/>
      <c r="C420" s="75">
        <f t="shared" si="89"/>
        <v>1</v>
      </c>
      <c r="D420" s="649"/>
      <c r="E420" s="75">
        <f t="shared" si="90"/>
        <v>0</v>
      </c>
      <c r="F420" s="649"/>
      <c r="G420" s="75">
        <f t="shared" si="91"/>
        <v>1</v>
      </c>
      <c r="H420" s="649"/>
      <c r="I420" s="75">
        <f t="shared" si="92"/>
        <v>1</v>
      </c>
      <c r="J420" s="649"/>
      <c r="K420" s="75">
        <f t="shared" si="93"/>
        <v>0</v>
      </c>
      <c r="L420" s="649"/>
      <c r="M420" s="75">
        <f t="shared" si="94"/>
        <v>1</v>
      </c>
      <c r="N420" s="649"/>
      <c r="O420" s="75">
        <f t="shared" si="95"/>
        <v>1</v>
      </c>
      <c r="P420" s="649"/>
      <c r="Q420" s="75">
        <f t="shared" si="96"/>
        <v>0</v>
      </c>
      <c r="R420" s="75">
        <f t="shared" si="97"/>
        <v>0</v>
      </c>
      <c r="S420" s="49">
        <f t="shared" si="88"/>
        <v>0</v>
      </c>
    </row>
    <row r="421" spans="1:19">
      <c r="A421" s="652"/>
      <c r="B421" s="648"/>
      <c r="C421" s="75">
        <f t="shared" si="89"/>
        <v>1</v>
      </c>
      <c r="D421" s="649"/>
      <c r="E421" s="75">
        <f t="shared" si="90"/>
        <v>0</v>
      </c>
      <c r="F421" s="649"/>
      <c r="G421" s="75">
        <f t="shared" si="91"/>
        <v>1</v>
      </c>
      <c r="H421" s="649"/>
      <c r="I421" s="75">
        <f t="shared" si="92"/>
        <v>1</v>
      </c>
      <c r="J421" s="649"/>
      <c r="K421" s="75">
        <f t="shared" si="93"/>
        <v>0</v>
      </c>
      <c r="L421" s="649"/>
      <c r="M421" s="75">
        <f t="shared" si="94"/>
        <v>1</v>
      </c>
      <c r="N421" s="649"/>
      <c r="O421" s="75">
        <f t="shared" si="95"/>
        <v>1</v>
      </c>
      <c r="P421" s="649"/>
      <c r="Q421" s="75">
        <f t="shared" si="96"/>
        <v>0</v>
      </c>
      <c r="R421" s="75">
        <f t="shared" si="97"/>
        <v>0</v>
      </c>
      <c r="S421" s="49">
        <f t="shared" si="88"/>
        <v>0</v>
      </c>
    </row>
    <row r="422" spans="1:19">
      <c r="A422" s="652"/>
      <c r="B422" s="648"/>
      <c r="C422" s="75">
        <f t="shared" si="89"/>
        <v>1</v>
      </c>
      <c r="D422" s="649"/>
      <c r="E422" s="75">
        <f t="shared" si="90"/>
        <v>0</v>
      </c>
      <c r="F422" s="649"/>
      <c r="G422" s="75">
        <f t="shared" si="91"/>
        <v>1</v>
      </c>
      <c r="H422" s="649"/>
      <c r="I422" s="75">
        <f t="shared" si="92"/>
        <v>1</v>
      </c>
      <c r="J422" s="649"/>
      <c r="K422" s="75">
        <f t="shared" si="93"/>
        <v>0</v>
      </c>
      <c r="L422" s="649"/>
      <c r="M422" s="75">
        <f t="shared" si="94"/>
        <v>1</v>
      </c>
      <c r="N422" s="649"/>
      <c r="O422" s="75">
        <f t="shared" si="95"/>
        <v>1</v>
      </c>
      <c r="P422" s="649"/>
      <c r="Q422" s="75">
        <f t="shared" si="96"/>
        <v>0</v>
      </c>
      <c r="R422" s="75">
        <f t="shared" si="97"/>
        <v>0</v>
      </c>
      <c r="S422" s="49">
        <f t="shared" si="88"/>
        <v>0</v>
      </c>
    </row>
    <row r="423" spans="1:19">
      <c r="A423" s="652"/>
      <c r="B423" s="648"/>
      <c r="C423" s="75">
        <f t="shared" si="89"/>
        <v>1</v>
      </c>
      <c r="D423" s="649"/>
      <c r="E423" s="75">
        <f t="shared" si="90"/>
        <v>0</v>
      </c>
      <c r="F423" s="649"/>
      <c r="G423" s="75">
        <f t="shared" si="91"/>
        <v>1</v>
      </c>
      <c r="H423" s="649"/>
      <c r="I423" s="75">
        <f t="shared" si="92"/>
        <v>1</v>
      </c>
      <c r="J423" s="649"/>
      <c r="K423" s="75">
        <f t="shared" si="93"/>
        <v>0</v>
      </c>
      <c r="L423" s="649"/>
      <c r="M423" s="75">
        <f t="shared" si="94"/>
        <v>1</v>
      </c>
      <c r="N423" s="649"/>
      <c r="O423" s="75">
        <f t="shared" si="95"/>
        <v>1</v>
      </c>
      <c r="P423" s="649"/>
      <c r="Q423" s="75">
        <f t="shared" si="96"/>
        <v>0</v>
      </c>
      <c r="R423" s="75">
        <f t="shared" si="97"/>
        <v>0</v>
      </c>
      <c r="S423" s="49">
        <f t="shared" ref="S423:S467" si="98">ROUND(R423*B423/10000,0)</f>
        <v>0</v>
      </c>
    </row>
    <row r="424" spans="1:19">
      <c r="A424" s="652"/>
      <c r="B424" s="648"/>
      <c r="C424" s="75">
        <f t="shared" si="89"/>
        <v>1</v>
      </c>
      <c r="D424" s="649"/>
      <c r="E424" s="75">
        <f t="shared" si="90"/>
        <v>0</v>
      </c>
      <c r="F424" s="649"/>
      <c r="G424" s="75">
        <f t="shared" si="91"/>
        <v>1</v>
      </c>
      <c r="H424" s="649"/>
      <c r="I424" s="75">
        <f t="shared" si="92"/>
        <v>1</v>
      </c>
      <c r="J424" s="649"/>
      <c r="K424" s="75">
        <f t="shared" si="93"/>
        <v>0</v>
      </c>
      <c r="L424" s="649"/>
      <c r="M424" s="75">
        <f t="shared" si="94"/>
        <v>1</v>
      </c>
      <c r="N424" s="649"/>
      <c r="O424" s="75">
        <f t="shared" si="95"/>
        <v>1</v>
      </c>
      <c r="P424" s="649"/>
      <c r="Q424" s="75">
        <f t="shared" si="96"/>
        <v>0</v>
      </c>
      <c r="R424" s="75">
        <f t="shared" si="97"/>
        <v>0</v>
      </c>
      <c r="S424" s="49">
        <f t="shared" si="98"/>
        <v>0</v>
      </c>
    </row>
    <row r="425" spans="1:19">
      <c r="A425" s="652"/>
      <c r="B425" s="648"/>
      <c r="C425" s="75">
        <f t="shared" si="89"/>
        <v>1</v>
      </c>
      <c r="D425" s="649"/>
      <c r="E425" s="75">
        <f t="shared" si="90"/>
        <v>0</v>
      </c>
      <c r="F425" s="649"/>
      <c r="G425" s="75">
        <f t="shared" si="91"/>
        <v>1</v>
      </c>
      <c r="H425" s="649"/>
      <c r="I425" s="75">
        <f t="shared" si="92"/>
        <v>1</v>
      </c>
      <c r="J425" s="649"/>
      <c r="K425" s="75">
        <f t="shared" si="93"/>
        <v>0</v>
      </c>
      <c r="L425" s="649"/>
      <c r="M425" s="75">
        <f t="shared" si="94"/>
        <v>1</v>
      </c>
      <c r="N425" s="649"/>
      <c r="O425" s="75">
        <f t="shared" si="95"/>
        <v>1</v>
      </c>
      <c r="P425" s="649"/>
      <c r="Q425" s="75">
        <f t="shared" si="96"/>
        <v>0</v>
      </c>
      <c r="R425" s="75">
        <f t="shared" si="97"/>
        <v>0</v>
      </c>
      <c r="S425" s="49">
        <f t="shared" si="98"/>
        <v>0</v>
      </c>
    </row>
    <row r="426" spans="1:19">
      <c r="A426" s="652"/>
      <c r="B426" s="648"/>
      <c r="C426" s="75">
        <f t="shared" si="89"/>
        <v>1</v>
      </c>
      <c r="D426" s="649"/>
      <c r="E426" s="75">
        <f t="shared" si="90"/>
        <v>0</v>
      </c>
      <c r="F426" s="649"/>
      <c r="G426" s="75">
        <f t="shared" si="91"/>
        <v>1</v>
      </c>
      <c r="H426" s="649"/>
      <c r="I426" s="75">
        <f t="shared" si="92"/>
        <v>1</v>
      </c>
      <c r="J426" s="649"/>
      <c r="K426" s="75">
        <f t="shared" si="93"/>
        <v>0</v>
      </c>
      <c r="L426" s="649"/>
      <c r="M426" s="75">
        <f t="shared" si="94"/>
        <v>1</v>
      </c>
      <c r="N426" s="649"/>
      <c r="O426" s="75">
        <f t="shared" si="95"/>
        <v>1</v>
      </c>
      <c r="P426" s="649"/>
      <c r="Q426" s="75">
        <f t="shared" si="96"/>
        <v>0</v>
      </c>
      <c r="R426" s="75">
        <f t="shared" si="97"/>
        <v>0</v>
      </c>
      <c r="S426" s="49">
        <f t="shared" si="98"/>
        <v>0</v>
      </c>
    </row>
    <row r="427" spans="1:19">
      <c r="A427" s="652"/>
      <c r="B427" s="648"/>
      <c r="C427" s="75">
        <f t="shared" si="89"/>
        <v>1</v>
      </c>
      <c r="D427" s="649"/>
      <c r="E427" s="75">
        <f t="shared" si="90"/>
        <v>0</v>
      </c>
      <c r="F427" s="649"/>
      <c r="G427" s="75">
        <f t="shared" si="91"/>
        <v>1</v>
      </c>
      <c r="H427" s="649"/>
      <c r="I427" s="75">
        <f t="shared" si="92"/>
        <v>1</v>
      </c>
      <c r="J427" s="649"/>
      <c r="K427" s="75">
        <f t="shared" si="93"/>
        <v>0</v>
      </c>
      <c r="L427" s="649"/>
      <c r="M427" s="75">
        <f t="shared" si="94"/>
        <v>1</v>
      </c>
      <c r="N427" s="649"/>
      <c r="O427" s="75">
        <f t="shared" si="95"/>
        <v>1</v>
      </c>
      <c r="P427" s="649"/>
      <c r="Q427" s="75">
        <f t="shared" si="96"/>
        <v>0</v>
      </c>
      <c r="R427" s="75">
        <f t="shared" si="97"/>
        <v>0</v>
      </c>
      <c r="S427" s="49">
        <f t="shared" si="98"/>
        <v>0</v>
      </c>
    </row>
    <row r="428" spans="1:19">
      <c r="A428" s="652"/>
      <c r="B428" s="648"/>
      <c r="C428" s="75">
        <f t="shared" si="89"/>
        <v>1</v>
      </c>
      <c r="D428" s="649"/>
      <c r="E428" s="75">
        <f t="shared" si="90"/>
        <v>0</v>
      </c>
      <c r="F428" s="649"/>
      <c r="G428" s="75">
        <f t="shared" si="91"/>
        <v>1</v>
      </c>
      <c r="H428" s="649"/>
      <c r="I428" s="75">
        <f t="shared" si="92"/>
        <v>1</v>
      </c>
      <c r="J428" s="649"/>
      <c r="K428" s="75">
        <f t="shared" si="93"/>
        <v>0</v>
      </c>
      <c r="L428" s="649"/>
      <c r="M428" s="75">
        <f t="shared" si="94"/>
        <v>1</v>
      </c>
      <c r="N428" s="649"/>
      <c r="O428" s="75">
        <f t="shared" si="95"/>
        <v>1</v>
      </c>
      <c r="P428" s="649"/>
      <c r="Q428" s="75">
        <f t="shared" si="96"/>
        <v>0</v>
      </c>
      <c r="R428" s="75">
        <f t="shared" si="97"/>
        <v>0</v>
      </c>
      <c r="S428" s="49">
        <f t="shared" si="98"/>
        <v>0</v>
      </c>
    </row>
    <row r="429" spans="1:19">
      <c r="A429" s="652"/>
      <c r="B429" s="648"/>
      <c r="C429" s="75">
        <f t="shared" si="89"/>
        <v>1</v>
      </c>
      <c r="D429" s="649"/>
      <c r="E429" s="75">
        <f t="shared" si="90"/>
        <v>0</v>
      </c>
      <c r="F429" s="649"/>
      <c r="G429" s="75">
        <f t="shared" si="91"/>
        <v>1</v>
      </c>
      <c r="H429" s="649"/>
      <c r="I429" s="75">
        <f t="shared" si="92"/>
        <v>1</v>
      </c>
      <c r="J429" s="649"/>
      <c r="K429" s="75">
        <f t="shared" si="93"/>
        <v>0</v>
      </c>
      <c r="L429" s="649"/>
      <c r="M429" s="75">
        <f t="shared" si="94"/>
        <v>1</v>
      </c>
      <c r="N429" s="649"/>
      <c r="O429" s="75">
        <f t="shared" si="95"/>
        <v>1</v>
      </c>
      <c r="P429" s="649"/>
      <c r="Q429" s="75">
        <f t="shared" si="96"/>
        <v>0</v>
      </c>
      <c r="R429" s="75">
        <f t="shared" si="97"/>
        <v>0</v>
      </c>
      <c r="S429" s="49">
        <f t="shared" si="98"/>
        <v>0</v>
      </c>
    </row>
    <row r="430" spans="1:19">
      <c r="A430" s="652"/>
      <c r="B430" s="648"/>
      <c r="C430" s="75">
        <f t="shared" si="89"/>
        <v>1</v>
      </c>
      <c r="D430" s="649"/>
      <c r="E430" s="75">
        <f t="shared" si="90"/>
        <v>0</v>
      </c>
      <c r="F430" s="649"/>
      <c r="G430" s="75">
        <f t="shared" si="91"/>
        <v>1</v>
      </c>
      <c r="H430" s="649"/>
      <c r="I430" s="75">
        <f t="shared" si="92"/>
        <v>1</v>
      </c>
      <c r="J430" s="649"/>
      <c r="K430" s="75">
        <f t="shared" si="93"/>
        <v>0</v>
      </c>
      <c r="L430" s="649"/>
      <c r="M430" s="75">
        <f t="shared" si="94"/>
        <v>1</v>
      </c>
      <c r="N430" s="649"/>
      <c r="O430" s="75">
        <f t="shared" si="95"/>
        <v>1</v>
      </c>
      <c r="P430" s="649"/>
      <c r="Q430" s="75">
        <f t="shared" si="96"/>
        <v>0</v>
      </c>
      <c r="R430" s="75">
        <f t="shared" si="97"/>
        <v>0</v>
      </c>
      <c r="S430" s="49">
        <f t="shared" si="98"/>
        <v>0</v>
      </c>
    </row>
    <row r="431" spans="1:19">
      <c r="A431" s="652"/>
      <c r="B431" s="648"/>
      <c r="C431" s="75">
        <f t="shared" si="89"/>
        <v>1</v>
      </c>
      <c r="D431" s="649"/>
      <c r="E431" s="75">
        <f t="shared" si="90"/>
        <v>0</v>
      </c>
      <c r="F431" s="649"/>
      <c r="G431" s="75">
        <f t="shared" si="91"/>
        <v>1</v>
      </c>
      <c r="H431" s="649"/>
      <c r="I431" s="75">
        <f t="shared" si="92"/>
        <v>1</v>
      </c>
      <c r="J431" s="649"/>
      <c r="K431" s="75">
        <f t="shared" si="93"/>
        <v>0</v>
      </c>
      <c r="L431" s="649"/>
      <c r="M431" s="75">
        <f t="shared" si="94"/>
        <v>1</v>
      </c>
      <c r="N431" s="649"/>
      <c r="O431" s="75">
        <f t="shared" si="95"/>
        <v>1</v>
      </c>
      <c r="P431" s="649"/>
      <c r="Q431" s="75">
        <f t="shared" si="96"/>
        <v>0</v>
      </c>
      <c r="R431" s="75">
        <f t="shared" si="97"/>
        <v>0</v>
      </c>
      <c r="S431" s="49">
        <f t="shared" si="98"/>
        <v>0</v>
      </c>
    </row>
    <row r="432" spans="1:19">
      <c r="A432" s="652"/>
      <c r="B432" s="648"/>
      <c r="C432" s="75">
        <f t="shared" si="89"/>
        <v>1</v>
      </c>
      <c r="D432" s="649"/>
      <c r="E432" s="75">
        <f t="shared" si="90"/>
        <v>0</v>
      </c>
      <c r="F432" s="649"/>
      <c r="G432" s="75">
        <f t="shared" si="91"/>
        <v>1</v>
      </c>
      <c r="H432" s="649"/>
      <c r="I432" s="75">
        <f t="shared" si="92"/>
        <v>1</v>
      </c>
      <c r="J432" s="649"/>
      <c r="K432" s="75">
        <f t="shared" si="93"/>
        <v>0</v>
      </c>
      <c r="L432" s="649"/>
      <c r="M432" s="75">
        <f t="shared" si="94"/>
        <v>1</v>
      </c>
      <c r="N432" s="649"/>
      <c r="O432" s="75">
        <f t="shared" si="95"/>
        <v>1</v>
      </c>
      <c r="P432" s="649"/>
      <c r="Q432" s="75">
        <f t="shared" si="96"/>
        <v>0</v>
      </c>
      <c r="R432" s="75">
        <f t="shared" si="97"/>
        <v>0</v>
      </c>
      <c r="S432" s="49">
        <f t="shared" si="98"/>
        <v>0</v>
      </c>
    </row>
    <row r="433" spans="1:19">
      <c r="A433" s="652"/>
      <c r="B433" s="648"/>
      <c r="C433" s="75">
        <f t="shared" si="89"/>
        <v>1</v>
      </c>
      <c r="D433" s="649"/>
      <c r="E433" s="75">
        <f t="shared" si="90"/>
        <v>0</v>
      </c>
      <c r="F433" s="649"/>
      <c r="G433" s="75">
        <f t="shared" si="91"/>
        <v>1</v>
      </c>
      <c r="H433" s="649"/>
      <c r="I433" s="75">
        <f t="shared" si="92"/>
        <v>1</v>
      </c>
      <c r="J433" s="649"/>
      <c r="K433" s="75">
        <f t="shared" si="93"/>
        <v>0</v>
      </c>
      <c r="L433" s="649"/>
      <c r="M433" s="75">
        <f t="shared" si="94"/>
        <v>1</v>
      </c>
      <c r="N433" s="649"/>
      <c r="O433" s="75">
        <f t="shared" si="95"/>
        <v>1</v>
      </c>
      <c r="P433" s="649"/>
      <c r="Q433" s="75">
        <f t="shared" si="96"/>
        <v>0</v>
      </c>
      <c r="R433" s="75">
        <f t="shared" si="97"/>
        <v>0</v>
      </c>
      <c r="S433" s="49">
        <f t="shared" si="98"/>
        <v>0</v>
      </c>
    </row>
    <row r="434" spans="1:19">
      <c r="A434" s="652"/>
      <c r="B434" s="648"/>
      <c r="C434" s="75">
        <f t="shared" si="89"/>
        <v>1</v>
      </c>
      <c r="D434" s="649"/>
      <c r="E434" s="75">
        <f t="shared" si="90"/>
        <v>0</v>
      </c>
      <c r="F434" s="649"/>
      <c r="G434" s="75">
        <f t="shared" si="91"/>
        <v>1</v>
      </c>
      <c r="H434" s="649"/>
      <c r="I434" s="75">
        <f t="shared" si="92"/>
        <v>1</v>
      </c>
      <c r="J434" s="649"/>
      <c r="K434" s="75">
        <f t="shared" si="93"/>
        <v>0</v>
      </c>
      <c r="L434" s="649"/>
      <c r="M434" s="75">
        <f t="shared" si="94"/>
        <v>1</v>
      </c>
      <c r="N434" s="649"/>
      <c r="O434" s="75">
        <f t="shared" si="95"/>
        <v>1</v>
      </c>
      <c r="P434" s="649"/>
      <c r="Q434" s="75">
        <f t="shared" si="96"/>
        <v>0</v>
      </c>
      <c r="R434" s="75">
        <f t="shared" si="97"/>
        <v>0</v>
      </c>
      <c r="S434" s="49">
        <f t="shared" si="98"/>
        <v>0</v>
      </c>
    </row>
    <row r="435" spans="1:19">
      <c r="A435" s="652"/>
      <c r="B435" s="648"/>
      <c r="C435" s="75">
        <f t="shared" si="89"/>
        <v>1</v>
      </c>
      <c r="D435" s="649"/>
      <c r="E435" s="75">
        <f t="shared" si="90"/>
        <v>0</v>
      </c>
      <c r="F435" s="649"/>
      <c r="G435" s="75">
        <f t="shared" si="91"/>
        <v>1</v>
      </c>
      <c r="H435" s="649"/>
      <c r="I435" s="75">
        <f t="shared" si="92"/>
        <v>1</v>
      </c>
      <c r="J435" s="649"/>
      <c r="K435" s="75">
        <f t="shared" si="93"/>
        <v>0</v>
      </c>
      <c r="L435" s="649"/>
      <c r="M435" s="75">
        <f t="shared" si="94"/>
        <v>1</v>
      </c>
      <c r="N435" s="649"/>
      <c r="O435" s="75">
        <f t="shared" si="95"/>
        <v>1</v>
      </c>
      <c r="P435" s="649"/>
      <c r="Q435" s="75">
        <f t="shared" si="96"/>
        <v>0</v>
      </c>
      <c r="R435" s="75">
        <f t="shared" si="97"/>
        <v>0</v>
      </c>
      <c r="S435" s="49">
        <f t="shared" si="98"/>
        <v>0</v>
      </c>
    </row>
    <row r="436" spans="1:19">
      <c r="A436" s="652"/>
      <c r="B436" s="648"/>
      <c r="C436" s="75">
        <f t="shared" si="89"/>
        <v>1</v>
      </c>
      <c r="D436" s="649"/>
      <c r="E436" s="75">
        <f t="shared" si="90"/>
        <v>0</v>
      </c>
      <c r="F436" s="649"/>
      <c r="G436" s="75">
        <f t="shared" si="91"/>
        <v>1</v>
      </c>
      <c r="H436" s="649"/>
      <c r="I436" s="75">
        <f t="shared" si="92"/>
        <v>1</v>
      </c>
      <c r="J436" s="649"/>
      <c r="K436" s="75">
        <f t="shared" si="93"/>
        <v>0</v>
      </c>
      <c r="L436" s="649"/>
      <c r="M436" s="75">
        <f t="shared" si="94"/>
        <v>1</v>
      </c>
      <c r="N436" s="649"/>
      <c r="O436" s="75">
        <f t="shared" si="95"/>
        <v>1</v>
      </c>
      <c r="P436" s="649"/>
      <c r="Q436" s="75">
        <f t="shared" si="96"/>
        <v>0</v>
      </c>
      <c r="R436" s="75">
        <f t="shared" si="97"/>
        <v>0</v>
      </c>
      <c r="S436" s="49">
        <f t="shared" si="98"/>
        <v>0</v>
      </c>
    </row>
    <row r="437" spans="1:19">
      <c r="A437" s="652"/>
      <c r="B437" s="648"/>
      <c r="C437" s="75">
        <f t="shared" si="89"/>
        <v>1</v>
      </c>
      <c r="D437" s="649"/>
      <c r="E437" s="75">
        <f t="shared" si="90"/>
        <v>0</v>
      </c>
      <c r="F437" s="649"/>
      <c r="G437" s="75">
        <f t="shared" si="91"/>
        <v>1</v>
      </c>
      <c r="H437" s="649"/>
      <c r="I437" s="75">
        <f t="shared" si="92"/>
        <v>1</v>
      </c>
      <c r="J437" s="649"/>
      <c r="K437" s="75">
        <f t="shared" si="93"/>
        <v>0</v>
      </c>
      <c r="L437" s="649"/>
      <c r="M437" s="75">
        <f t="shared" si="94"/>
        <v>1</v>
      </c>
      <c r="N437" s="649"/>
      <c r="O437" s="75">
        <f t="shared" si="95"/>
        <v>1</v>
      </c>
      <c r="P437" s="649"/>
      <c r="Q437" s="75">
        <f t="shared" si="96"/>
        <v>0</v>
      </c>
      <c r="R437" s="75">
        <f t="shared" si="97"/>
        <v>0</v>
      </c>
      <c r="S437" s="49">
        <f t="shared" si="98"/>
        <v>0</v>
      </c>
    </row>
    <row r="438" spans="1:19">
      <c r="A438" s="652"/>
      <c r="B438" s="648"/>
      <c r="C438" s="75">
        <f t="shared" si="89"/>
        <v>1</v>
      </c>
      <c r="D438" s="649"/>
      <c r="E438" s="75">
        <f t="shared" si="90"/>
        <v>0</v>
      </c>
      <c r="F438" s="649"/>
      <c r="G438" s="75">
        <f t="shared" si="91"/>
        <v>1</v>
      </c>
      <c r="H438" s="649"/>
      <c r="I438" s="75">
        <f t="shared" si="92"/>
        <v>1</v>
      </c>
      <c r="J438" s="649"/>
      <c r="K438" s="75">
        <f t="shared" si="93"/>
        <v>0</v>
      </c>
      <c r="L438" s="649"/>
      <c r="M438" s="75">
        <f t="shared" si="94"/>
        <v>1</v>
      </c>
      <c r="N438" s="649"/>
      <c r="O438" s="75">
        <f t="shared" si="95"/>
        <v>1</v>
      </c>
      <c r="P438" s="649"/>
      <c r="Q438" s="75">
        <f t="shared" si="96"/>
        <v>0</v>
      </c>
      <c r="R438" s="75">
        <f t="shared" si="97"/>
        <v>0</v>
      </c>
      <c r="S438" s="49">
        <f t="shared" si="98"/>
        <v>0</v>
      </c>
    </row>
    <row r="439" spans="1:19">
      <c r="A439" s="652"/>
      <c r="B439" s="648"/>
      <c r="C439" s="75">
        <f t="shared" si="89"/>
        <v>1</v>
      </c>
      <c r="D439" s="649"/>
      <c r="E439" s="75">
        <f t="shared" si="90"/>
        <v>0</v>
      </c>
      <c r="F439" s="649"/>
      <c r="G439" s="75">
        <f t="shared" si="91"/>
        <v>1</v>
      </c>
      <c r="H439" s="649"/>
      <c r="I439" s="75">
        <f t="shared" si="92"/>
        <v>1</v>
      </c>
      <c r="J439" s="649"/>
      <c r="K439" s="75">
        <f t="shared" si="93"/>
        <v>0</v>
      </c>
      <c r="L439" s="649"/>
      <c r="M439" s="75">
        <f t="shared" si="94"/>
        <v>1</v>
      </c>
      <c r="N439" s="649"/>
      <c r="O439" s="75">
        <f t="shared" si="95"/>
        <v>1</v>
      </c>
      <c r="P439" s="649"/>
      <c r="Q439" s="75">
        <f t="shared" si="96"/>
        <v>0</v>
      </c>
      <c r="R439" s="75">
        <f t="shared" si="97"/>
        <v>0</v>
      </c>
      <c r="S439" s="49">
        <f t="shared" si="98"/>
        <v>0</v>
      </c>
    </row>
    <row r="440" spans="1:19">
      <c r="A440" s="652"/>
      <c r="B440" s="648"/>
      <c r="C440" s="75">
        <f t="shared" si="89"/>
        <v>1</v>
      </c>
      <c r="D440" s="649"/>
      <c r="E440" s="75">
        <f t="shared" si="90"/>
        <v>0</v>
      </c>
      <c r="F440" s="649"/>
      <c r="G440" s="75">
        <f t="shared" si="91"/>
        <v>1</v>
      </c>
      <c r="H440" s="649"/>
      <c r="I440" s="75">
        <f t="shared" si="92"/>
        <v>1</v>
      </c>
      <c r="J440" s="649"/>
      <c r="K440" s="75">
        <f t="shared" si="93"/>
        <v>0</v>
      </c>
      <c r="L440" s="649"/>
      <c r="M440" s="75">
        <f t="shared" si="94"/>
        <v>1</v>
      </c>
      <c r="N440" s="649"/>
      <c r="O440" s="75">
        <f t="shared" si="95"/>
        <v>1</v>
      </c>
      <c r="P440" s="649"/>
      <c r="Q440" s="75">
        <f t="shared" si="96"/>
        <v>0</v>
      </c>
      <c r="R440" s="75">
        <f t="shared" si="97"/>
        <v>0</v>
      </c>
      <c r="S440" s="49">
        <f t="shared" si="98"/>
        <v>0</v>
      </c>
    </row>
    <row r="441" spans="1:19">
      <c r="A441" s="652"/>
      <c r="B441" s="648"/>
      <c r="C441" s="75">
        <f t="shared" si="89"/>
        <v>1</v>
      </c>
      <c r="D441" s="649"/>
      <c r="E441" s="75">
        <f t="shared" si="90"/>
        <v>0</v>
      </c>
      <c r="F441" s="649"/>
      <c r="G441" s="75">
        <f t="shared" si="91"/>
        <v>1</v>
      </c>
      <c r="H441" s="649"/>
      <c r="I441" s="75">
        <f t="shared" si="92"/>
        <v>1</v>
      </c>
      <c r="J441" s="649"/>
      <c r="K441" s="75">
        <f t="shared" si="93"/>
        <v>0</v>
      </c>
      <c r="L441" s="649"/>
      <c r="M441" s="75">
        <f t="shared" si="94"/>
        <v>1</v>
      </c>
      <c r="N441" s="649"/>
      <c r="O441" s="75">
        <f t="shared" si="95"/>
        <v>1</v>
      </c>
      <c r="P441" s="649"/>
      <c r="Q441" s="75">
        <f t="shared" si="96"/>
        <v>0</v>
      </c>
      <c r="R441" s="75">
        <f t="shared" si="97"/>
        <v>0</v>
      </c>
      <c r="S441" s="49">
        <f t="shared" si="98"/>
        <v>0</v>
      </c>
    </row>
    <row r="442" spans="1:19">
      <c r="A442" s="652"/>
      <c r="B442" s="648"/>
      <c r="C442" s="75">
        <f t="shared" si="89"/>
        <v>1</v>
      </c>
      <c r="D442" s="649"/>
      <c r="E442" s="75">
        <f t="shared" si="90"/>
        <v>0</v>
      </c>
      <c r="F442" s="649"/>
      <c r="G442" s="75">
        <f t="shared" si="91"/>
        <v>1</v>
      </c>
      <c r="H442" s="649"/>
      <c r="I442" s="75">
        <f t="shared" si="92"/>
        <v>1</v>
      </c>
      <c r="J442" s="649"/>
      <c r="K442" s="75">
        <f t="shared" si="93"/>
        <v>0</v>
      </c>
      <c r="L442" s="649"/>
      <c r="M442" s="75">
        <f t="shared" si="94"/>
        <v>1</v>
      </c>
      <c r="N442" s="649"/>
      <c r="O442" s="75">
        <f t="shared" si="95"/>
        <v>1</v>
      </c>
      <c r="P442" s="649"/>
      <c r="Q442" s="75">
        <f t="shared" si="96"/>
        <v>0</v>
      </c>
      <c r="R442" s="75">
        <f t="shared" si="97"/>
        <v>0</v>
      </c>
      <c r="S442" s="49">
        <f t="shared" si="98"/>
        <v>0</v>
      </c>
    </row>
    <row r="443" spans="1:19">
      <c r="A443" s="652"/>
      <c r="B443" s="648"/>
      <c r="C443" s="75">
        <f t="shared" si="89"/>
        <v>1</v>
      </c>
      <c r="D443" s="649"/>
      <c r="E443" s="75">
        <f t="shared" si="90"/>
        <v>0</v>
      </c>
      <c r="F443" s="649"/>
      <c r="G443" s="75">
        <f t="shared" si="91"/>
        <v>1</v>
      </c>
      <c r="H443" s="649"/>
      <c r="I443" s="75">
        <f t="shared" si="92"/>
        <v>1</v>
      </c>
      <c r="J443" s="649"/>
      <c r="K443" s="75">
        <f t="shared" si="93"/>
        <v>0</v>
      </c>
      <c r="L443" s="649"/>
      <c r="M443" s="75">
        <f t="shared" si="94"/>
        <v>1</v>
      </c>
      <c r="N443" s="649"/>
      <c r="O443" s="75">
        <f t="shared" si="95"/>
        <v>1</v>
      </c>
      <c r="P443" s="649"/>
      <c r="Q443" s="75">
        <f t="shared" si="96"/>
        <v>0</v>
      </c>
      <c r="R443" s="75">
        <f t="shared" si="97"/>
        <v>0</v>
      </c>
      <c r="S443" s="49">
        <f t="shared" si="98"/>
        <v>0</v>
      </c>
    </row>
    <row r="444" spans="1:19">
      <c r="A444" s="652"/>
      <c r="B444" s="648"/>
      <c r="C444" s="75">
        <f t="shared" si="89"/>
        <v>1</v>
      </c>
      <c r="D444" s="649"/>
      <c r="E444" s="75">
        <f t="shared" si="90"/>
        <v>0</v>
      </c>
      <c r="F444" s="649"/>
      <c r="G444" s="75">
        <f t="shared" si="91"/>
        <v>1</v>
      </c>
      <c r="H444" s="649"/>
      <c r="I444" s="75">
        <f t="shared" si="92"/>
        <v>1</v>
      </c>
      <c r="J444" s="649"/>
      <c r="K444" s="75">
        <f t="shared" si="93"/>
        <v>0</v>
      </c>
      <c r="L444" s="649"/>
      <c r="M444" s="75">
        <f t="shared" si="94"/>
        <v>1</v>
      </c>
      <c r="N444" s="649"/>
      <c r="O444" s="75">
        <f t="shared" si="95"/>
        <v>1</v>
      </c>
      <c r="P444" s="649"/>
      <c r="Q444" s="75">
        <f t="shared" si="96"/>
        <v>0</v>
      </c>
      <c r="R444" s="75">
        <f t="shared" si="97"/>
        <v>0</v>
      </c>
      <c r="S444" s="49">
        <f t="shared" si="98"/>
        <v>0</v>
      </c>
    </row>
    <row r="445" spans="1:19">
      <c r="A445" s="652"/>
      <c r="B445" s="648"/>
      <c r="C445" s="75">
        <f t="shared" si="89"/>
        <v>1</v>
      </c>
      <c r="D445" s="649"/>
      <c r="E445" s="75">
        <f t="shared" si="90"/>
        <v>0</v>
      </c>
      <c r="F445" s="649"/>
      <c r="G445" s="75">
        <f t="shared" si="91"/>
        <v>1</v>
      </c>
      <c r="H445" s="649"/>
      <c r="I445" s="75">
        <f t="shared" si="92"/>
        <v>1</v>
      </c>
      <c r="J445" s="649"/>
      <c r="K445" s="75">
        <f t="shared" si="93"/>
        <v>0</v>
      </c>
      <c r="L445" s="649"/>
      <c r="M445" s="75">
        <f t="shared" si="94"/>
        <v>1</v>
      </c>
      <c r="N445" s="649"/>
      <c r="O445" s="75">
        <f t="shared" si="95"/>
        <v>1</v>
      </c>
      <c r="P445" s="649"/>
      <c r="Q445" s="75">
        <f t="shared" si="96"/>
        <v>0</v>
      </c>
      <c r="R445" s="75">
        <f t="shared" si="97"/>
        <v>0</v>
      </c>
      <c r="S445" s="49">
        <f t="shared" si="98"/>
        <v>0</v>
      </c>
    </row>
    <row r="446" spans="1:19">
      <c r="A446" s="652"/>
      <c r="B446" s="648"/>
      <c r="C446" s="75">
        <f t="shared" si="89"/>
        <v>1</v>
      </c>
      <c r="D446" s="649"/>
      <c r="E446" s="75">
        <f t="shared" si="90"/>
        <v>0</v>
      </c>
      <c r="F446" s="649"/>
      <c r="G446" s="75">
        <f t="shared" si="91"/>
        <v>1</v>
      </c>
      <c r="H446" s="649"/>
      <c r="I446" s="75">
        <f t="shared" si="92"/>
        <v>1</v>
      </c>
      <c r="J446" s="649"/>
      <c r="K446" s="75">
        <f t="shared" si="93"/>
        <v>0</v>
      </c>
      <c r="L446" s="649"/>
      <c r="M446" s="75">
        <f t="shared" si="94"/>
        <v>1</v>
      </c>
      <c r="N446" s="649"/>
      <c r="O446" s="75">
        <f t="shared" si="95"/>
        <v>1</v>
      </c>
      <c r="P446" s="649"/>
      <c r="Q446" s="75">
        <f t="shared" si="96"/>
        <v>0</v>
      </c>
      <c r="R446" s="75">
        <f t="shared" si="97"/>
        <v>0</v>
      </c>
      <c r="S446" s="49">
        <f t="shared" si="98"/>
        <v>0</v>
      </c>
    </row>
    <row r="447" spans="1:19">
      <c r="A447" s="652"/>
      <c r="B447" s="648"/>
      <c r="C447" s="75">
        <f t="shared" si="89"/>
        <v>1</v>
      </c>
      <c r="D447" s="649"/>
      <c r="E447" s="75">
        <f t="shared" si="90"/>
        <v>0</v>
      </c>
      <c r="F447" s="649"/>
      <c r="G447" s="75">
        <f t="shared" si="91"/>
        <v>1</v>
      </c>
      <c r="H447" s="649"/>
      <c r="I447" s="75">
        <f t="shared" si="92"/>
        <v>1</v>
      </c>
      <c r="J447" s="649"/>
      <c r="K447" s="75">
        <f t="shared" si="93"/>
        <v>0</v>
      </c>
      <c r="L447" s="649"/>
      <c r="M447" s="75">
        <f t="shared" si="94"/>
        <v>1</v>
      </c>
      <c r="N447" s="649"/>
      <c r="O447" s="75">
        <f t="shared" si="95"/>
        <v>1</v>
      </c>
      <c r="P447" s="649"/>
      <c r="Q447" s="75">
        <f t="shared" si="96"/>
        <v>0</v>
      </c>
      <c r="R447" s="75">
        <f t="shared" si="97"/>
        <v>0</v>
      </c>
      <c r="S447" s="49">
        <f t="shared" si="98"/>
        <v>0</v>
      </c>
    </row>
    <row r="448" spans="1:19">
      <c r="A448" s="652"/>
      <c r="B448" s="648"/>
      <c r="C448" s="75">
        <f t="shared" si="89"/>
        <v>1</v>
      </c>
      <c r="D448" s="649"/>
      <c r="E448" s="75">
        <f t="shared" si="90"/>
        <v>0</v>
      </c>
      <c r="F448" s="649"/>
      <c r="G448" s="75">
        <f t="shared" si="91"/>
        <v>1</v>
      </c>
      <c r="H448" s="649"/>
      <c r="I448" s="75">
        <f t="shared" si="92"/>
        <v>1</v>
      </c>
      <c r="J448" s="649"/>
      <c r="K448" s="75">
        <f t="shared" si="93"/>
        <v>0</v>
      </c>
      <c r="L448" s="649"/>
      <c r="M448" s="75">
        <f t="shared" si="94"/>
        <v>1</v>
      </c>
      <c r="N448" s="649"/>
      <c r="O448" s="75">
        <f t="shared" si="95"/>
        <v>1</v>
      </c>
      <c r="P448" s="649"/>
      <c r="Q448" s="75">
        <f t="shared" si="96"/>
        <v>0</v>
      </c>
      <c r="R448" s="75">
        <f t="shared" si="97"/>
        <v>0</v>
      </c>
      <c r="S448" s="49">
        <f t="shared" si="98"/>
        <v>0</v>
      </c>
    </row>
    <row r="449" spans="1:19">
      <c r="A449" s="652"/>
      <c r="B449" s="648"/>
      <c r="C449" s="75">
        <f t="shared" si="89"/>
        <v>1</v>
      </c>
      <c r="D449" s="649"/>
      <c r="E449" s="75">
        <f t="shared" si="90"/>
        <v>0</v>
      </c>
      <c r="F449" s="649"/>
      <c r="G449" s="75">
        <f t="shared" si="91"/>
        <v>1</v>
      </c>
      <c r="H449" s="649"/>
      <c r="I449" s="75">
        <f t="shared" si="92"/>
        <v>1</v>
      </c>
      <c r="J449" s="649"/>
      <c r="K449" s="75">
        <f t="shared" si="93"/>
        <v>0</v>
      </c>
      <c r="L449" s="649"/>
      <c r="M449" s="75">
        <f t="shared" si="94"/>
        <v>1</v>
      </c>
      <c r="N449" s="649"/>
      <c r="O449" s="75">
        <f t="shared" si="95"/>
        <v>1</v>
      </c>
      <c r="P449" s="649"/>
      <c r="Q449" s="75">
        <f t="shared" si="96"/>
        <v>0</v>
      </c>
      <c r="R449" s="75">
        <f t="shared" si="97"/>
        <v>0</v>
      </c>
      <c r="S449" s="49">
        <f t="shared" si="98"/>
        <v>0</v>
      </c>
    </row>
    <row r="450" spans="1:19">
      <c r="A450" s="652"/>
      <c r="B450" s="648"/>
      <c r="C450" s="75">
        <f t="shared" si="89"/>
        <v>1</v>
      </c>
      <c r="D450" s="649"/>
      <c r="E450" s="75">
        <f t="shared" si="90"/>
        <v>0</v>
      </c>
      <c r="F450" s="649"/>
      <c r="G450" s="75">
        <f t="shared" si="91"/>
        <v>1</v>
      </c>
      <c r="H450" s="649"/>
      <c r="I450" s="75">
        <f t="shared" si="92"/>
        <v>1</v>
      </c>
      <c r="J450" s="649"/>
      <c r="K450" s="75">
        <f t="shared" si="93"/>
        <v>0</v>
      </c>
      <c r="L450" s="649"/>
      <c r="M450" s="75">
        <f t="shared" si="94"/>
        <v>1</v>
      </c>
      <c r="N450" s="649"/>
      <c r="O450" s="75">
        <f t="shared" si="95"/>
        <v>1</v>
      </c>
      <c r="P450" s="649"/>
      <c r="Q450" s="75">
        <f t="shared" si="96"/>
        <v>0</v>
      </c>
      <c r="R450" s="75">
        <f t="shared" si="97"/>
        <v>0</v>
      </c>
      <c r="S450" s="49">
        <f t="shared" si="98"/>
        <v>0</v>
      </c>
    </row>
    <row r="451" spans="1:19">
      <c r="A451" s="652"/>
      <c r="B451" s="648"/>
      <c r="C451" s="75">
        <f t="shared" si="89"/>
        <v>1</v>
      </c>
      <c r="D451" s="649"/>
      <c r="E451" s="75">
        <f t="shared" si="90"/>
        <v>0</v>
      </c>
      <c r="F451" s="649"/>
      <c r="G451" s="75">
        <f t="shared" si="91"/>
        <v>1</v>
      </c>
      <c r="H451" s="649"/>
      <c r="I451" s="75">
        <f t="shared" si="92"/>
        <v>1</v>
      </c>
      <c r="J451" s="649"/>
      <c r="K451" s="75">
        <f t="shared" si="93"/>
        <v>0</v>
      </c>
      <c r="L451" s="649"/>
      <c r="M451" s="75">
        <f t="shared" si="94"/>
        <v>1</v>
      </c>
      <c r="N451" s="649"/>
      <c r="O451" s="75">
        <f t="shared" si="95"/>
        <v>1</v>
      </c>
      <c r="P451" s="649"/>
      <c r="Q451" s="75">
        <f t="shared" si="96"/>
        <v>0</v>
      </c>
      <c r="R451" s="75">
        <f t="shared" si="97"/>
        <v>0</v>
      </c>
      <c r="S451" s="49">
        <f t="shared" si="98"/>
        <v>0</v>
      </c>
    </row>
    <row r="452" spans="1:19">
      <c r="A452" s="652"/>
      <c r="B452" s="648"/>
      <c r="C452" s="75">
        <f t="shared" si="89"/>
        <v>1</v>
      </c>
      <c r="D452" s="649"/>
      <c r="E452" s="75">
        <f t="shared" si="90"/>
        <v>0</v>
      </c>
      <c r="F452" s="649"/>
      <c r="G452" s="75">
        <f t="shared" si="91"/>
        <v>1</v>
      </c>
      <c r="H452" s="649"/>
      <c r="I452" s="75">
        <f t="shared" si="92"/>
        <v>1</v>
      </c>
      <c r="J452" s="649"/>
      <c r="K452" s="75">
        <f t="shared" si="93"/>
        <v>0</v>
      </c>
      <c r="L452" s="649"/>
      <c r="M452" s="75">
        <f t="shared" si="94"/>
        <v>1</v>
      </c>
      <c r="N452" s="649"/>
      <c r="O452" s="75">
        <f t="shared" si="95"/>
        <v>1</v>
      </c>
      <c r="P452" s="649"/>
      <c r="Q452" s="75">
        <f t="shared" si="96"/>
        <v>0</v>
      </c>
      <c r="R452" s="75">
        <f t="shared" si="97"/>
        <v>0</v>
      </c>
      <c r="S452" s="49">
        <f t="shared" si="98"/>
        <v>0</v>
      </c>
    </row>
    <row r="453" spans="1:19">
      <c r="A453" s="652"/>
      <c r="B453" s="648"/>
      <c r="C453" s="75">
        <f t="shared" si="89"/>
        <v>1</v>
      </c>
      <c r="D453" s="649"/>
      <c r="E453" s="75">
        <f t="shared" si="90"/>
        <v>0</v>
      </c>
      <c r="F453" s="649"/>
      <c r="G453" s="75">
        <f t="shared" si="91"/>
        <v>1</v>
      </c>
      <c r="H453" s="649"/>
      <c r="I453" s="75">
        <f t="shared" si="92"/>
        <v>1</v>
      </c>
      <c r="J453" s="649"/>
      <c r="K453" s="75">
        <f t="shared" si="93"/>
        <v>0</v>
      </c>
      <c r="L453" s="649"/>
      <c r="M453" s="75">
        <f t="shared" si="94"/>
        <v>1</v>
      </c>
      <c r="N453" s="649"/>
      <c r="O453" s="75">
        <f t="shared" si="95"/>
        <v>1</v>
      </c>
      <c r="P453" s="649"/>
      <c r="Q453" s="75">
        <f t="shared" si="96"/>
        <v>0</v>
      </c>
      <c r="R453" s="75">
        <f t="shared" si="97"/>
        <v>0</v>
      </c>
      <c r="S453" s="49">
        <f t="shared" si="98"/>
        <v>0</v>
      </c>
    </row>
    <row r="454" spans="1:19">
      <c r="A454" s="652"/>
      <c r="B454" s="648"/>
      <c r="C454" s="75">
        <f t="shared" si="89"/>
        <v>1</v>
      </c>
      <c r="D454" s="649"/>
      <c r="E454" s="75">
        <f t="shared" si="90"/>
        <v>0</v>
      </c>
      <c r="F454" s="649"/>
      <c r="G454" s="75">
        <f t="shared" si="91"/>
        <v>1</v>
      </c>
      <c r="H454" s="649"/>
      <c r="I454" s="75">
        <f t="shared" si="92"/>
        <v>1</v>
      </c>
      <c r="J454" s="649"/>
      <c r="K454" s="75">
        <f t="shared" si="93"/>
        <v>0</v>
      </c>
      <c r="L454" s="649"/>
      <c r="M454" s="75">
        <f t="shared" si="94"/>
        <v>1</v>
      </c>
      <c r="N454" s="649"/>
      <c r="O454" s="75">
        <f t="shared" si="95"/>
        <v>1</v>
      </c>
      <c r="P454" s="649"/>
      <c r="Q454" s="75">
        <f t="shared" si="96"/>
        <v>0</v>
      </c>
      <c r="R454" s="75">
        <f t="shared" si="97"/>
        <v>0</v>
      </c>
      <c r="S454" s="49">
        <f t="shared" si="98"/>
        <v>0</v>
      </c>
    </row>
    <row r="455" spans="1:19">
      <c r="A455" s="652"/>
      <c r="B455" s="648"/>
      <c r="C455" s="75">
        <f t="shared" si="89"/>
        <v>1</v>
      </c>
      <c r="D455" s="649"/>
      <c r="E455" s="75">
        <f t="shared" si="90"/>
        <v>0</v>
      </c>
      <c r="F455" s="649"/>
      <c r="G455" s="75">
        <f t="shared" si="91"/>
        <v>1</v>
      </c>
      <c r="H455" s="649"/>
      <c r="I455" s="75">
        <f t="shared" si="92"/>
        <v>1</v>
      </c>
      <c r="J455" s="649"/>
      <c r="K455" s="75">
        <f t="shared" si="93"/>
        <v>0</v>
      </c>
      <c r="L455" s="649"/>
      <c r="M455" s="75">
        <f t="shared" si="94"/>
        <v>1</v>
      </c>
      <c r="N455" s="649"/>
      <c r="O455" s="75">
        <f t="shared" si="95"/>
        <v>1</v>
      </c>
      <c r="P455" s="649"/>
      <c r="Q455" s="75">
        <f t="shared" si="96"/>
        <v>0</v>
      </c>
      <c r="R455" s="75">
        <f t="shared" si="97"/>
        <v>0</v>
      </c>
      <c r="S455" s="49">
        <f t="shared" si="98"/>
        <v>0</v>
      </c>
    </row>
    <row r="456" spans="1:19">
      <c r="A456" s="652"/>
      <c r="B456" s="648"/>
      <c r="C456" s="75">
        <f t="shared" si="89"/>
        <v>1</v>
      </c>
      <c r="D456" s="649"/>
      <c r="E456" s="75">
        <f t="shared" si="90"/>
        <v>0</v>
      </c>
      <c r="F456" s="649"/>
      <c r="G456" s="75">
        <f t="shared" si="91"/>
        <v>1</v>
      </c>
      <c r="H456" s="649"/>
      <c r="I456" s="75">
        <f t="shared" si="92"/>
        <v>1</v>
      </c>
      <c r="J456" s="649"/>
      <c r="K456" s="75">
        <f t="shared" si="93"/>
        <v>0</v>
      </c>
      <c r="L456" s="649"/>
      <c r="M456" s="75">
        <f t="shared" si="94"/>
        <v>1</v>
      </c>
      <c r="N456" s="649"/>
      <c r="O456" s="75">
        <f t="shared" si="95"/>
        <v>1</v>
      </c>
      <c r="P456" s="649"/>
      <c r="Q456" s="75">
        <f t="shared" si="96"/>
        <v>0</v>
      </c>
      <c r="R456" s="75">
        <f t="shared" si="97"/>
        <v>0</v>
      </c>
      <c r="S456" s="49">
        <f t="shared" si="98"/>
        <v>0</v>
      </c>
    </row>
    <row r="457" spans="1:19">
      <c r="A457" s="652"/>
      <c r="B457" s="648"/>
      <c r="C457" s="75">
        <f t="shared" si="89"/>
        <v>1</v>
      </c>
      <c r="D457" s="649"/>
      <c r="E457" s="75">
        <f t="shared" si="90"/>
        <v>0</v>
      </c>
      <c r="F457" s="649"/>
      <c r="G457" s="75">
        <f t="shared" si="91"/>
        <v>1</v>
      </c>
      <c r="H457" s="649"/>
      <c r="I457" s="75">
        <f t="shared" si="92"/>
        <v>1</v>
      </c>
      <c r="J457" s="649"/>
      <c r="K457" s="75">
        <f t="shared" si="93"/>
        <v>0</v>
      </c>
      <c r="L457" s="649"/>
      <c r="M457" s="75">
        <f t="shared" si="94"/>
        <v>1</v>
      </c>
      <c r="N457" s="649"/>
      <c r="O457" s="75">
        <f t="shared" si="95"/>
        <v>1</v>
      </c>
      <c r="P457" s="649"/>
      <c r="Q457" s="75">
        <f t="shared" si="96"/>
        <v>0</v>
      </c>
      <c r="R457" s="75">
        <f t="shared" si="97"/>
        <v>0</v>
      </c>
      <c r="S457" s="49">
        <f t="shared" si="98"/>
        <v>0</v>
      </c>
    </row>
    <row r="458" spans="1:19">
      <c r="A458" s="652"/>
      <c r="B458" s="648"/>
      <c r="C458" s="75">
        <f t="shared" si="89"/>
        <v>1</v>
      </c>
      <c r="D458" s="649"/>
      <c r="E458" s="75">
        <f t="shared" si="90"/>
        <v>0</v>
      </c>
      <c r="F458" s="649"/>
      <c r="G458" s="75">
        <f t="shared" si="91"/>
        <v>1</v>
      </c>
      <c r="H458" s="649"/>
      <c r="I458" s="75">
        <f t="shared" si="92"/>
        <v>1</v>
      </c>
      <c r="J458" s="649"/>
      <c r="K458" s="75">
        <f t="shared" si="93"/>
        <v>0</v>
      </c>
      <c r="L458" s="649"/>
      <c r="M458" s="75">
        <f t="shared" si="94"/>
        <v>1</v>
      </c>
      <c r="N458" s="649"/>
      <c r="O458" s="75">
        <f t="shared" si="95"/>
        <v>1</v>
      </c>
      <c r="P458" s="649"/>
      <c r="Q458" s="75">
        <f t="shared" si="96"/>
        <v>0</v>
      </c>
      <c r="R458" s="75">
        <f t="shared" si="97"/>
        <v>0</v>
      </c>
      <c r="S458" s="49">
        <f t="shared" si="98"/>
        <v>0</v>
      </c>
    </row>
    <row r="459" spans="1:19">
      <c r="A459" s="652"/>
      <c r="B459" s="648"/>
      <c r="C459" s="75">
        <f t="shared" si="89"/>
        <v>1</v>
      </c>
      <c r="D459" s="649"/>
      <c r="E459" s="75">
        <f t="shared" si="90"/>
        <v>0</v>
      </c>
      <c r="F459" s="649"/>
      <c r="G459" s="75">
        <f t="shared" si="91"/>
        <v>1</v>
      </c>
      <c r="H459" s="649"/>
      <c r="I459" s="75">
        <f t="shared" si="92"/>
        <v>1</v>
      </c>
      <c r="J459" s="649"/>
      <c r="K459" s="75">
        <f t="shared" si="93"/>
        <v>0</v>
      </c>
      <c r="L459" s="649"/>
      <c r="M459" s="75">
        <f t="shared" si="94"/>
        <v>1</v>
      </c>
      <c r="N459" s="649"/>
      <c r="O459" s="75">
        <f t="shared" si="95"/>
        <v>1</v>
      </c>
      <c r="P459" s="649"/>
      <c r="Q459" s="75">
        <f t="shared" si="96"/>
        <v>0</v>
      </c>
      <c r="R459" s="75">
        <f t="shared" si="97"/>
        <v>0</v>
      </c>
      <c r="S459" s="49">
        <f t="shared" si="98"/>
        <v>0</v>
      </c>
    </row>
    <row r="460" spans="1:19">
      <c r="A460" s="652"/>
      <c r="B460" s="648"/>
      <c r="C460" s="75">
        <f t="shared" si="89"/>
        <v>1</v>
      </c>
      <c r="D460" s="649"/>
      <c r="E460" s="75">
        <f t="shared" si="90"/>
        <v>0</v>
      </c>
      <c r="F460" s="649"/>
      <c r="G460" s="75">
        <f t="shared" si="91"/>
        <v>1</v>
      </c>
      <c r="H460" s="649"/>
      <c r="I460" s="75">
        <f t="shared" si="92"/>
        <v>1</v>
      </c>
      <c r="J460" s="649"/>
      <c r="K460" s="75">
        <f t="shared" si="93"/>
        <v>0</v>
      </c>
      <c r="L460" s="649"/>
      <c r="M460" s="75">
        <f t="shared" si="94"/>
        <v>1</v>
      </c>
      <c r="N460" s="649"/>
      <c r="O460" s="75">
        <f t="shared" si="95"/>
        <v>1</v>
      </c>
      <c r="P460" s="649"/>
      <c r="Q460" s="75">
        <f t="shared" si="96"/>
        <v>0</v>
      </c>
      <c r="R460" s="75">
        <f t="shared" si="97"/>
        <v>0</v>
      </c>
      <c r="S460" s="49">
        <f t="shared" si="98"/>
        <v>0</v>
      </c>
    </row>
    <row r="461" spans="1:19">
      <c r="A461" s="652"/>
      <c r="B461" s="648"/>
      <c r="C461" s="75">
        <f t="shared" si="89"/>
        <v>1</v>
      </c>
      <c r="D461" s="649"/>
      <c r="E461" s="75">
        <f t="shared" si="90"/>
        <v>0</v>
      </c>
      <c r="F461" s="649"/>
      <c r="G461" s="75">
        <f t="shared" si="91"/>
        <v>1</v>
      </c>
      <c r="H461" s="649"/>
      <c r="I461" s="75">
        <f t="shared" si="92"/>
        <v>1</v>
      </c>
      <c r="J461" s="649"/>
      <c r="K461" s="75">
        <f t="shared" si="93"/>
        <v>0</v>
      </c>
      <c r="L461" s="649"/>
      <c r="M461" s="75">
        <f t="shared" si="94"/>
        <v>1</v>
      </c>
      <c r="N461" s="649"/>
      <c r="O461" s="75">
        <f t="shared" si="95"/>
        <v>1</v>
      </c>
      <c r="P461" s="649"/>
      <c r="Q461" s="75">
        <f t="shared" si="96"/>
        <v>0</v>
      </c>
      <c r="R461" s="75">
        <f t="shared" si="97"/>
        <v>0</v>
      </c>
      <c r="S461" s="49">
        <f t="shared" si="98"/>
        <v>0</v>
      </c>
    </row>
    <row r="462" spans="1:19">
      <c r="A462" s="652"/>
      <c r="B462" s="648"/>
      <c r="C462" s="75">
        <f t="shared" si="89"/>
        <v>1</v>
      </c>
      <c r="D462" s="649"/>
      <c r="E462" s="75">
        <f t="shared" si="90"/>
        <v>0</v>
      </c>
      <c r="F462" s="649"/>
      <c r="G462" s="75">
        <f t="shared" si="91"/>
        <v>1</v>
      </c>
      <c r="H462" s="649"/>
      <c r="I462" s="75">
        <f t="shared" si="92"/>
        <v>1</v>
      </c>
      <c r="J462" s="649"/>
      <c r="K462" s="75">
        <f t="shared" si="93"/>
        <v>0</v>
      </c>
      <c r="L462" s="649"/>
      <c r="M462" s="75">
        <f t="shared" si="94"/>
        <v>1</v>
      </c>
      <c r="N462" s="649"/>
      <c r="O462" s="75">
        <f t="shared" si="95"/>
        <v>1</v>
      </c>
      <c r="P462" s="649"/>
      <c r="Q462" s="75">
        <f t="shared" si="96"/>
        <v>0</v>
      </c>
      <c r="R462" s="75">
        <f t="shared" si="97"/>
        <v>0</v>
      </c>
      <c r="S462" s="49">
        <f t="shared" si="98"/>
        <v>0</v>
      </c>
    </row>
    <row r="463" spans="1:19">
      <c r="A463" s="652"/>
      <c r="B463" s="648"/>
      <c r="C463" s="75">
        <f t="shared" si="89"/>
        <v>1</v>
      </c>
      <c r="D463" s="649"/>
      <c r="E463" s="75">
        <f t="shared" si="90"/>
        <v>0</v>
      </c>
      <c r="F463" s="649"/>
      <c r="G463" s="75">
        <f t="shared" si="91"/>
        <v>1</v>
      </c>
      <c r="H463" s="649"/>
      <c r="I463" s="75">
        <f t="shared" si="92"/>
        <v>1</v>
      </c>
      <c r="J463" s="649"/>
      <c r="K463" s="75">
        <f t="shared" si="93"/>
        <v>0</v>
      </c>
      <c r="L463" s="649"/>
      <c r="M463" s="75">
        <f t="shared" si="94"/>
        <v>1</v>
      </c>
      <c r="N463" s="649"/>
      <c r="O463" s="75">
        <f t="shared" si="95"/>
        <v>1</v>
      </c>
      <c r="P463" s="649"/>
      <c r="Q463" s="75">
        <f t="shared" si="96"/>
        <v>0</v>
      </c>
      <c r="R463" s="75">
        <f t="shared" si="97"/>
        <v>0</v>
      </c>
      <c r="S463" s="49">
        <f t="shared" si="98"/>
        <v>0</v>
      </c>
    </row>
    <row r="464" spans="1:19">
      <c r="A464" s="652"/>
      <c r="B464" s="648"/>
      <c r="C464" s="75">
        <f t="shared" si="89"/>
        <v>1</v>
      </c>
      <c r="D464" s="649"/>
      <c r="E464" s="75">
        <f t="shared" si="90"/>
        <v>0</v>
      </c>
      <c r="F464" s="649"/>
      <c r="G464" s="75">
        <f t="shared" si="91"/>
        <v>1</v>
      </c>
      <c r="H464" s="649"/>
      <c r="I464" s="75">
        <f t="shared" si="92"/>
        <v>1</v>
      </c>
      <c r="J464" s="649"/>
      <c r="K464" s="75">
        <f t="shared" si="93"/>
        <v>0</v>
      </c>
      <c r="L464" s="649"/>
      <c r="M464" s="75">
        <f t="shared" si="94"/>
        <v>1</v>
      </c>
      <c r="N464" s="649"/>
      <c r="O464" s="75">
        <f t="shared" si="95"/>
        <v>1</v>
      </c>
      <c r="P464" s="649"/>
      <c r="Q464" s="75">
        <f t="shared" si="96"/>
        <v>0</v>
      </c>
      <c r="R464" s="75">
        <f t="shared" si="97"/>
        <v>0</v>
      </c>
      <c r="S464" s="49">
        <f t="shared" si="98"/>
        <v>0</v>
      </c>
    </row>
    <row r="465" spans="1:19">
      <c r="A465" s="652"/>
      <c r="B465" s="648"/>
      <c r="C465" s="75">
        <f t="shared" si="89"/>
        <v>1</v>
      </c>
      <c r="D465" s="649"/>
      <c r="E465" s="75">
        <f t="shared" si="90"/>
        <v>0</v>
      </c>
      <c r="F465" s="649"/>
      <c r="G465" s="75">
        <f t="shared" si="91"/>
        <v>1</v>
      </c>
      <c r="H465" s="649"/>
      <c r="I465" s="75">
        <f t="shared" si="92"/>
        <v>1</v>
      </c>
      <c r="J465" s="649"/>
      <c r="K465" s="75">
        <f t="shared" si="93"/>
        <v>0</v>
      </c>
      <c r="L465" s="649"/>
      <c r="M465" s="75">
        <f t="shared" si="94"/>
        <v>1</v>
      </c>
      <c r="N465" s="649"/>
      <c r="O465" s="75">
        <f t="shared" si="95"/>
        <v>1</v>
      </c>
      <c r="P465" s="649"/>
      <c r="Q465" s="75">
        <f t="shared" si="96"/>
        <v>0</v>
      </c>
      <c r="R465" s="75">
        <f t="shared" si="97"/>
        <v>0</v>
      </c>
      <c r="S465" s="49">
        <f t="shared" si="98"/>
        <v>0</v>
      </c>
    </row>
    <row r="466" spans="1:19">
      <c r="A466" s="652"/>
      <c r="B466" s="648"/>
      <c r="C466" s="75">
        <f t="shared" si="89"/>
        <v>1</v>
      </c>
      <c r="D466" s="649"/>
      <c r="E466" s="75">
        <f t="shared" si="90"/>
        <v>0</v>
      </c>
      <c r="F466" s="649"/>
      <c r="G466" s="75">
        <f t="shared" si="91"/>
        <v>1</v>
      </c>
      <c r="H466" s="649"/>
      <c r="I466" s="75">
        <f t="shared" si="92"/>
        <v>1</v>
      </c>
      <c r="J466" s="649"/>
      <c r="K466" s="75">
        <f t="shared" si="93"/>
        <v>0</v>
      </c>
      <c r="L466" s="649"/>
      <c r="M466" s="75">
        <f t="shared" si="94"/>
        <v>1</v>
      </c>
      <c r="N466" s="649"/>
      <c r="O466" s="75">
        <f t="shared" si="95"/>
        <v>1</v>
      </c>
      <c r="P466" s="649"/>
      <c r="Q466" s="75">
        <f t="shared" si="96"/>
        <v>0</v>
      </c>
      <c r="R466" s="75">
        <f t="shared" si="97"/>
        <v>0</v>
      </c>
      <c r="S466" s="49">
        <f t="shared" si="98"/>
        <v>0</v>
      </c>
    </row>
    <row r="467" spans="1:19">
      <c r="A467" s="652"/>
      <c r="B467" s="648"/>
      <c r="C467" s="75">
        <f t="shared" si="89"/>
        <v>1</v>
      </c>
      <c r="D467" s="649"/>
      <c r="E467" s="75">
        <f t="shared" si="90"/>
        <v>0</v>
      </c>
      <c r="F467" s="649"/>
      <c r="G467" s="75">
        <f t="shared" si="91"/>
        <v>1</v>
      </c>
      <c r="H467" s="649"/>
      <c r="I467" s="75">
        <f t="shared" si="92"/>
        <v>1</v>
      </c>
      <c r="J467" s="649"/>
      <c r="K467" s="75">
        <f t="shared" si="93"/>
        <v>0</v>
      </c>
      <c r="L467" s="649"/>
      <c r="M467" s="75">
        <f t="shared" si="94"/>
        <v>1</v>
      </c>
      <c r="N467" s="649"/>
      <c r="O467" s="75">
        <f t="shared" si="95"/>
        <v>1</v>
      </c>
      <c r="P467" s="649"/>
      <c r="Q467" s="75">
        <f t="shared" si="96"/>
        <v>0</v>
      </c>
      <c r="R467" s="75">
        <f t="shared" si="97"/>
        <v>0</v>
      </c>
      <c r="S467" s="49">
        <f t="shared" si="98"/>
        <v>0</v>
      </c>
    </row>
    <row r="468" spans="1:19">
      <c r="A468" s="652"/>
      <c r="B468" s="648"/>
      <c r="C468" s="75">
        <f t="shared" si="89"/>
        <v>1</v>
      </c>
      <c r="D468" s="649"/>
      <c r="E468" s="75">
        <f t="shared" si="90"/>
        <v>0</v>
      </c>
      <c r="F468" s="649"/>
      <c r="G468" s="75">
        <f t="shared" si="91"/>
        <v>1</v>
      </c>
      <c r="H468" s="649"/>
      <c r="I468" s="75">
        <f t="shared" si="92"/>
        <v>1</v>
      </c>
      <c r="J468" s="649"/>
      <c r="K468" s="75">
        <f t="shared" si="93"/>
        <v>0</v>
      </c>
      <c r="L468" s="649"/>
      <c r="M468" s="75">
        <f t="shared" si="94"/>
        <v>1</v>
      </c>
      <c r="N468" s="649"/>
      <c r="O468" s="75">
        <f t="shared" si="95"/>
        <v>1</v>
      </c>
      <c r="P468" s="649"/>
      <c r="Q468" s="75">
        <f t="shared" si="96"/>
        <v>0</v>
      </c>
      <c r="R468" s="75">
        <f t="shared" si="97"/>
        <v>0</v>
      </c>
      <c r="S468" s="49">
        <f t="shared" ref="S468:S497" si="99">ROUND(R468*B468/10000,0)</f>
        <v>0</v>
      </c>
    </row>
    <row r="469" spans="1:19">
      <c r="A469" s="652"/>
      <c r="B469" s="648"/>
      <c r="C469" s="75">
        <f t="shared" si="89"/>
        <v>1</v>
      </c>
      <c r="D469" s="649"/>
      <c r="E469" s="75">
        <f t="shared" si="90"/>
        <v>0</v>
      </c>
      <c r="F469" s="649"/>
      <c r="G469" s="75">
        <f t="shared" si="91"/>
        <v>1</v>
      </c>
      <c r="H469" s="649"/>
      <c r="I469" s="75">
        <f t="shared" si="92"/>
        <v>1</v>
      </c>
      <c r="J469" s="649"/>
      <c r="K469" s="75">
        <f t="shared" si="93"/>
        <v>0</v>
      </c>
      <c r="L469" s="649"/>
      <c r="M469" s="75">
        <f t="shared" si="94"/>
        <v>1</v>
      </c>
      <c r="N469" s="649"/>
      <c r="O469" s="75">
        <f t="shared" si="95"/>
        <v>1</v>
      </c>
      <c r="P469" s="649"/>
      <c r="Q469" s="75">
        <f t="shared" si="96"/>
        <v>0</v>
      </c>
      <c r="R469" s="75">
        <f t="shared" si="97"/>
        <v>0</v>
      </c>
      <c r="S469" s="49">
        <f t="shared" si="99"/>
        <v>0</v>
      </c>
    </row>
    <row r="470" spans="1:19">
      <c r="A470" s="652"/>
      <c r="B470" s="648"/>
      <c r="C470" s="75">
        <f t="shared" si="89"/>
        <v>1</v>
      </c>
      <c r="D470" s="649"/>
      <c r="E470" s="75">
        <f t="shared" si="90"/>
        <v>0</v>
      </c>
      <c r="F470" s="649"/>
      <c r="G470" s="75">
        <f t="shared" si="91"/>
        <v>1</v>
      </c>
      <c r="H470" s="649"/>
      <c r="I470" s="75">
        <f t="shared" si="92"/>
        <v>1</v>
      </c>
      <c r="J470" s="649"/>
      <c r="K470" s="75">
        <f t="shared" si="93"/>
        <v>0</v>
      </c>
      <c r="L470" s="649"/>
      <c r="M470" s="75">
        <f t="shared" si="94"/>
        <v>1</v>
      </c>
      <c r="N470" s="649"/>
      <c r="O470" s="75">
        <f t="shared" si="95"/>
        <v>1</v>
      </c>
      <c r="P470" s="649"/>
      <c r="Q470" s="75">
        <f t="shared" si="96"/>
        <v>0</v>
      </c>
      <c r="R470" s="75">
        <f t="shared" si="97"/>
        <v>0</v>
      </c>
      <c r="S470" s="49">
        <f t="shared" si="99"/>
        <v>0</v>
      </c>
    </row>
    <row r="471" spans="1:19">
      <c r="A471" s="652"/>
      <c r="B471" s="648"/>
      <c r="C471" s="75">
        <f t="shared" si="89"/>
        <v>1</v>
      </c>
      <c r="D471" s="649"/>
      <c r="E471" s="75">
        <f t="shared" si="90"/>
        <v>0</v>
      </c>
      <c r="F471" s="649"/>
      <c r="G471" s="75">
        <f t="shared" si="91"/>
        <v>1</v>
      </c>
      <c r="H471" s="649"/>
      <c r="I471" s="75">
        <f t="shared" si="92"/>
        <v>1</v>
      </c>
      <c r="J471" s="649"/>
      <c r="K471" s="75">
        <f t="shared" si="93"/>
        <v>0</v>
      </c>
      <c r="L471" s="649"/>
      <c r="M471" s="75">
        <f t="shared" si="94"/>
        <v>1</v>
      </c>
      <c r="N471" s="649"/>
      <c r="O471" s="75">
        <f t="shared" si="95"/>
        <v>1</v>
      </c>
      <c r="P471" s="649"/>
      <c r="Q471" s="75">
        <f t="shared" si="96"/>
        <v>0</v>
      </c>
      <c r="R471" s="75">
        <f t="shared" si="97"/>
        <v>0</v>
      </c>
      <c r="S471" s="49">
        <f t="shared" si="99"/>
        <v>0</v>
      </c>
    </row>
    <row r="472" spans="1:19">
      <c r="A472" s="652"/>
      <c r="B472" s="648"/>
      <c r="C472" s="75">
        <f t="shared" si="89"/>
        <v>1</v>
      </c>
      <c r="D472" s="649"/>
      <c r="E472" s="75">
        <f t="shared" si="90"/>
        <v>0</v>
      </c>
      <c r="F472" s="649"/>
      <c r="G472" s="75">
        <f t="shared" si="91"/>
        <v>1</v>
      </c>
      <c r="H472" s="649"/>
      <c r="I472" s="75">
        <f t="shared" si="92"/>
        <v>1</v>
      </c>
      <c r="J472" s="649"/>
      <c r="K472" s="75">
        <f t="shared" si="93"/>
        <v>0</v>
      </c>
      <c r="L472" s="649"/>
      <c r="M472" s="75">
        <f t="shared" si="94"/>
        <v>1</v>
      </c>
      <c r="N472" s="649"/>
      <c r="O472" s="75">
        <f t="shared" si="95"/>
        <v>1</v>
      </c>
      <c r="P472" s="649"/>
      <c r="Q472" s="75">
        <f t="shared" si="96"/>
        <v>0</v>
      </c>
      <c r="R472" s="75">
        <f t="shared" si="97"/>
        <v>0</v>
      </c>
      <c r="S472" s="49">
        <f t="shared" si="99"/>
        <v>0</v>
      </c>
    </row>
    <row r="473" spans="1:19">
      <c r="A473" s="652"/>
      <c r="B473" s="648"/>
      <c r="C473" s="75">
        <f t="shared" si="89"/>
        <v>1</v>
      </c>
      <c r="D473" s="649"/>
      <c r="E473" s="75">
        <f t="shared" si="90"/>
        <v>0</v>
      </c>
      <c r="F473" s="649"/>
      <c r="G473" s="75">
        <f t="shared" si="91"/>
        <v>1</v>
      </c>
      <c r="H473" s="649"/>
      <c r="I473" s="75">
        <f t="shared" si="92"/>
        <v>1</v>
      </c>
      <c r="J473" s="649"/>
      <c r="K473" s="75">
        <f t="shared" si="93"/>
        <v>0</v>
      </c>
      <c r="L473" s="649"/>
      <c r="M473" s="75">
        <f t="shared" si="94"/>
        <v>1</v>
      </c>
      <c r="N473" s="649"/>
      <c r="O473" s="75">
        <f t="shared" si="95"/>
        <v>1</v>
      </c>
      <c r="P473" s="649"/>
      <c r="Q473" s="75">
        <f t="shared" si="96"/>
        <v>0</v>
      </c>
      <c r="R473" s="75">
        <f t="shared" si="97"/>
        <v>0</v>
      </c>
      <c r="S473" s="49">
        <f t="shared" si="99"/>
        <v>0</v>
      </c>
    </row>
    <row r="474" spans="1:19">
      <c r="A474" s="652"/>
      <c r="B474" s="648"/>
      <c r="C474" s="75">
        <f t="shared" ref="C474:C524" si="100">IF(B474="",1,(LOOKUP(B474,$3:$3,$4:$4)-LOOKUP($B$24,$3:$3,$4:$4)+100)/100)</f>
        <v>1</v>
      </c>
      <c r="D474" s="649"/>
      <c r="E474" s="75">
        <f t="shared" ref="E474:E524" si="101">(SUMIF($5:$5,D474,$6:$6)-SUMIF($5:$5,$D$24,$6:$6)+100)/100</f>
        <v>0</v>
      </c>
      <c r="F474" s="649"/>
      <c r="G474" s="75">
        <f t="shared" ref="G474:G524" si="102">(SUMIF($7:$7,F474,$8:$8)-SUMIF($7:$7,$F$24,$8:$8)+100)/100</f>
        <v>1</v>
      </c>
      <c r="H474" s="649"/>
      <c r="I474" s="75">
        <f t="shared" ref="I474:I524" si="103">(SUMIF($9:$9,H474,$10:$10)-SUMIF($9:$9,$H$24,$10:$10)+100)/100</f>
        <v>1</v>
      </c>
      <c r="J474" s="649"/>
      <c r="K474" s="75">
        <f t="shared" ref="K474:K524" si="104">(SUMIF($11:$11,J474,$12:$12)-SUMIF($11:$11,$J$24,$12:$12)+100)/100</f>
        <v>0</v>
      </c>
      <c r="L474" s="649"/>
      <c r="M474" s="75">
        <f t="shared" ref="M474:M524" si="105">(SUMIF($13:$13,L474,$14:$14)-SUMIF($13:$13,$L$24,$14:$14)+100)/100</f>
        <v>1</v>
      </c>
      <c r="N474" s="649"/>
      <c r="O474" s="75">
        <f t="shared" ref="O474:O524" si="106">(SUMIF($15:$15,N474,$16:$16)-SUMIF($15:$15,$N$24,$16:$16)+100)/100</f>
        <v>1</v>
      </c>
      <c r="P474" s="649"/>
      <c r="Q474" s="75">
        <f t="shared" ref="Q474:Q524" si="107">(SUMIF($17:$17,P474,$18:$18)-SUMIF($17:$17,$P$24,$18:$18)+100)/100</f>
        <v>0</v>
      </c>
      <c r="R474" s="75">
        <f t="shared" ref="R474:R524" si="108">IF(B474="",0,ROUND($R$24*C474*E474*G474*I474*K474*M474*O474*Q474,0))</f>
        <v>0</v>
      </c>
      <c r="S474" s="49">
        <f t="shared" si="99"/>
        <v>0</v>
      </c>
    </row>
    <row r="475" spans="1:19">
      <c r="A475" s="652"/>
      <c r="B475" s="648"/>
      <c r="C475" s="75">
        <f t="shared" si="100"/>
        <v>1</v>
      </c>
      <c r="D475" s="649"/>
      <c r="E475" s="75">
        <f t="shared" si="101"/>
        <v>0</v>
      </c>
      <c r="F475" s="649"/>
      <c r="G475" s="75">
        <f t="shared" si="102"/>
        <v>1</v>
      </c>
      <c r="H475" s="649"/>
      <c r="I475" s="75">
        <f t="shared" si="103"/>
        <v>1</v>
      </c>
      <c r="J475" s="649"/>
      <c r="K475" s="75">
        <f t="shared" si="104"/>
        <v>0</v>
      </c>
      <c r="L475" s="649"/>
      <c r="M475" s="75">
        <f t="shared" si="105"/>
        <v>1</v>
      </c>
      <c r="N475" s="649"/>
      <c r="O475" s="75">
        <f t="shared" si="106"/>
        <v>1</v>
      </c>
      <c r="P475" s="649"/>
      <c r="Q475" s="75">
        <f t="shared" si="107"/>
        <v>0</v>
      </c>
      <c r="R475" s="75">
        <f t="shared" si="108"/>
        <v>0</v>
      </c>
      <c r="S475" s="49">
        <f t="shared" si="99"/>
        <v>0</v>
      </c>
    </row>
    <row r="476" spans="1:19">
      <c r="A476" s="652"/>
      <c r="B476" s="648"/>
      <c r="C476" s="75">
        <f t="shared" si="100"/>
        <v>1</v>
      </c>
      <c r="D476" s="649"/>
      <c r="E476" s="75">
        <f t="shared" si="101"/>
        <v>0</v>
      </c>
      <c r="F476" s="649"/>
      <c r="G476" s="75">
        <f t="shared" si="102"/>
        <v>1</v>
      </c>
      <c r="H476" s="649"/>
      <c r="I476" s="75">
        <f t="shared" si="103"/>
        <v>1</v>
      </c>
      <c r="J476" s="649"/>
      <c r="K476" s="75">
        <f t="shared" si="104"/>
        <v>0</v>
      </c>
      <c r="L476" s="649"/>
      <c r="M476" s="75">
        <f t="shared" si="105"/>
        <v>1</v>
      </c>
      <c r="N476" s="649"/>
      <c r="O476" s="75">
        <f t="shared" si="106"/>
        <v>1</v>
      </c>
      <c r="P476" s="649"/>
      <c r="Q476" s="75">
        <f t="shared" si="107"/>
        <v>0</v>
      </c>
      <c r="R476" s="75">
        <f t="shared" si="108"/>
        <v>0</v>
      </c>
      <c r="S476" s="49">
        <f t="shared" si="99"/>
        <v>0</v>
      </c>
    </row>
    <row r="477" spans="1:19">
      <c r="A477" s="652"/>
      <c r="B477" s="648"/>
      <c r="C477" s="75">
        <f t="shared" si="100"/>
        <v>1</v>
      </c>
      <c r="D477" s="649"/>
      <c r="E477" s="75">
        <f t="shared" si="101"/>
        <v>0</v>
      </c>
      <c r="F477" s="649"/>
      <c r="G477" s="75">
        <f t="shared" si="102"/>
        <v>1</v>
      </c>
      <c r="H477" s="649"/>
      <c r="I477" s="75">
        <f t="shared" si="103"/>
        <v>1</v>
      </c>
      <c r="J477" s="649"/>
      <c r="K477" s="75">
        <f t="shared" si="104"/>
        <v>0</v>
      </c>
      <c r="L477" s="649"/>
      <c r="M477" s="75">
        <f t="shared" si="105"/>
        <v>1</v>
      </c>
      <c r="N477" s="649"/>
      <c r="O477" s="75">
        <f t="shared" si="106"/>
        <v>1</v>
      </c>
      <c r="P477" s="649"/>
      <c r="Q477" s="75">
        <f t="shared" si="107"/>
        <v>0</v>
      </c>
      <c r="R477" s="75">
        <f t="shared" si="108"/>
        <v>0</v>
      </c>
      <c r="S477" s="49">
        <f t="shared" si="99"/>
        <v>0</v>
      </c>
    </row>
    <row r="478" spans="1:19">
      <c r="A478" s="652"/>
      <c r="B478" s="648"/>
      <c r="C478" s="75">
        <f t="shared" si="100"/>
        <v>1</v>
      </c>
      <c r="D478" s="649"/>
      <c r="E478" s="75">
        <f t="shared" si="101"/>
        <v>0</v>
      </c>
      <c r="F478" s="649"/>
      <c r="G478" s="75">
        <f t="shared" si="102"/>
        <v>1</v>
      </c>
      <c r="H478" s="649"/>
      <c r="I478" s="75">
        <f t="shared" si="103"/>
        <v>1</v>
      </c>
      <c r="J478" s="649"/>
      <c r="K478" s="75">
        <f t="shared" si="104"/>
        <v>0</v>
      </c>
      <c r="L478" s="649"/>
      <c r="M478" s="75">
        <f t="shared" si="105"/>
        <v>1</v>
      </c>
      <c r="N478" s="649"/>
      <c r="O478" s="75">
        <f t="shared" si="106"/>
        <v>1</v>
      </c>
      <c r="P478" s="649"/>
      <c r="Q478" s="75">
        <f t="shared" si="107"/>
        <v>0</v>
      </c>
      <c r="R478" s="75">
        <f t="shared" si="108"/>
        <v>0</v>
      </c>
      <c r="S478" s="49">
        <f t="shared" si="99"/>
        <v>0</v>
      </c>
    </row>
    <row r="479" spans="1:19">
      <c r="A479" s="652"/>
      <c r="B479" s="648"/>
      <c r="C479" s="75">
        <f t="shared" si="100"/>
        <v>1</v>
      </c>
      <c r="D479" s="649"/>
      <c r="E479" s="75">
        <f t="shared" si="101"/>
        <v>0</v>
      </c>
      <c r="F479" s="649"/>
      <c r="G479" s="75">
        <f t="shared" si="102"/>
        <v>1</v>
      </c>
      <c r="H479" s="649"/>
      <c r="I479" s="75">
        <f t="shared" si="103"/>
        <v>1</v>
      </c>
      <c r="J479" s="649"/>
      <c r="K479" s="75">
        <f t="shared" si="104"/>
        <v>0</v>
      </c>
      <c r="L479" s="649"/>
      <c r="M479" s="75">
        <f t="shared" si="105"/>
        <v>1</v>
      </c>
      <c r="N479" s="649"/>
      <c r="O479" s="75">
        <f t="shared" si="106"/>
        <v>1</v>
      </c>
      <c r="P479" s="649"/>
      <c r="Q479" s="75">
        <f t="shared" si="107"/>
        <v>0</v>
      </c>
      <c r="R479" s="75">
        <f t="shared" si="108"/>
        <v>0</v>
      </c>
      <c r="S479" s="49">
        <f t="shared" si="99"/>
        <v>0</v>
      </c>
    </row>
    <row r="480" spans="1:19">
      <c r="A480" s="652"/>
      <c r="B480" s="648"/>
      <c r="C480" s="75">
        <f t="shared" si="100"/>
        <v>1</v>
      </c>
      <c r="D480" s="649"/>
      <c r="E480" s="75">
        <f t="shared" si="101"/>
        <v>0</v>
      </c>
      <c r="F480" s="649"/>
      <c r="G480" s="75">
        <f t="shared" si="102"/>
        <v>1</v>
      </c>
      <c r="H480" s="649"/>
      <c r="I480" s="75">
        <f t="shared" si="103"/>
        <v>1</v>
      </c>
      <c r="J480" s="649"/>
      <c r="K480" s="75">
        <f t="shared" si="104"/>
        <v>0</v>
      </c>
      <c r="L480" s="649"/>
      <c r="M480" s="75">
        <f t="shared" si="105"/>
        <v>1</v>
      </c>
      <c r="N480" s="649"/>
      <c r="O480" s="75">
        <f t="shared" si="106"/>
        <v>1</v>
      </c>
      <c r="P480" s="649"/>
      <c r="Q480" s="75">
        <f t="shared" si="107"/>
        <v>0</v>
      </c>
      <c r="R480" s="75">
        <f t="shared" si="108"/>
        <v>0</v>
      </c>
      <c r="S480" s="49">
        <f t="shared" si="99"/>
        <v>0</v>
      </c>
    </row>
    <row r="481" spans="1:19">
      <c r="A481" s="652"/>
      <c r="B481" s="648"/>
      <c r="C481" s="75">
        <f t="shared" si="100"/>
        <v>1</v>
      </c>
      <c r="D481" s="649"/>
      <c r="E481" s="75">
        <f t="shared" si="101"/>
        <v>0</v>
      </c>
      <c r="F481" s="649"/>
      <c r="G481" s="75">
        <f t="shared" si="102"/>
        <v>1</v>
      </c>
      <c r="H481" s="649"/>
      <c r="I481" s="75">
        <f t="shared" si="103"/>
        <v>1</v>
      </c>
      <c r="J481" s="649"/>
      <c r="K481" s="75">
        <f t="shared" si="104"/>
        <v>0</v>
      </c>
      <c r="L481" s="649"/>
      <c r="M481" s="75">
        <f t="shared" si="105"/>
        <v>1</v>
      </c>
      <c r="N481" s="649"/>
      <c r="O481" s="75">
        <f t="shared" si="106"/>
        <v>1</v>
      </c>
      <c r="P481" s="649"/>
      <c r="Q481" s="75">
        <f t="shared" si="107"/>
        <v>0</v>
      </c>
      <c r="R481" s="75">
        <f t="shared" si="108"/>
        <v>0</v>
      </c>
      <c r="S481" s="49">
        <f t="shared" si="99"/>
        <v>0</v>
      </c>
    </row>
    <row r="482" spans="1:19">
      <c r="A482" s="652"/>
      <c r="B482" s="648"/>
      <c r="C482" s="75">
        <f t="shared" si="100"/>
        <v>1</v>
      </c>
      <c r="D482" s="649"/>
      <c r="E482" s="75">
        <f t="shared" si="101"/>
        <v>0</v>
      </c>
      <c r="F482" s="649"/>
      <c r="G482" s="75">
        <f t="shared" si="102"/>
        <v>1</v>
      </c>
      <c r="H482" s="649"/>
      <c r="I482" s="75">
        <f t="shared" si="103"/>
        <v>1</v>
      </c>
      <c r="J482" s="649"/>
      <c r="K482" s="75">
        <f t="shared" si="104"/>
        <v>0</v>
      </c>
      <c r="L482" s="649"/>
      <c r="M482" s="75">
        <f t="shared" si="105"/>
        <v>1</v>
      </c>
      <c r="N482" s="649"/>
      <c r="O482" s="75">
        <f t="shared" si="106"/>
        <v>1</v>
      </c>
      <c r="P482" s="649"/>
      <c r="Q482" s="75">
        <f t="shared" si="107"/>
        <v>0</v>
      </c>
      <c r="R482" s="75">
        <f t="shared" si="108"/>
        <v>0</v>
      </c>
      <c r="S482" s="49">
        <f t="shared" si="99"/>
        <v>0</v>
      </c>
    </row>
    <row r="483" spans="1:19">
      <c r="A483" s="652"/>
      <c r="B483" s="648"/>
      <c r="C483" s="75">
        <f t="shared" si="100"/>
        <v>1</v>
      </c>
      <c r="D483" s="649"/>
      <c r="E483" s="75">
        <f t="shared" si="101"/>
        <v>0</v>
      </c>
      <c r="F483" s="649"/>
      <c r="G483" s="75">
        <f t="shared" si="102"/>
        <v>1</v>
      </c>
      <c r="H483" s="649"/>
      <c r="I483" s="75">
        <f t="shared" si="103"/>
        <v>1</v>
      </c>
      <c r="J483" s="649"/>
      <c r="K483" s="75">
        <f t="shared" si="104"/>
        <v>0</v>
      </c>
      <c r="L483" s="649"/>
      <c r="M483" s="75">
        <f t="shared" si="105"/>
        <v>1</v>
      </c>
      <c r="N483" s="649"/>
      <c r="O483" s="75">
        <f t="shared" si="106"/>
        <v>1</v>
      </c>
      <c r="P483" s="649"/>
      <c r="Q483" s="75">
        <f t="shared" si="107"/>
        <v>0</v>
      </c>
      <c r="R483" s="75">
        <f t="shared" si="108"/>
        <v>0</v>
      </c>
      <c r="S483" s="49">
        <f t="shared" si="99"/>
        <v>0</v>
      </c>
    </row>
    <row r="484" spans="1:19">
      <c r="A484" s="652"/>
      <c r="B484" s="648"/>
      <c r="C484" s="75">
        <f t="shared" si="100"/>
        <v>1</v>
      </c>
      <c r="D484" s="649"/>
      <c r="E484" s="75">
        <f t="shared" si="101"/>
        <v>0</v>
      </c>
      <c r="F484" s="649"/>
      <c r="G484" s="75">
        <f t="shared" si="102"/>
        <v>1</v>
      </c>
      <c r="H484" s="649"/>
      <c r="I484" s="75">
        <f t="shared" si="103"/>
        <v>1</v>
      </c>
      <c r="J484" s="649"/>
      <c r="K484" s="75">
        <f t="shared" si="104"/>
        <v>0</v>
      </c>
      <c r="L484" s="649"/>
      <c r="M484" s="75">
        <f t="shared" si="105"/>
        <v>1</v>
      </c>
      <c r="N484" s="649"/>
      <c r="O484" s="75">
        <f t="shared" si="106"/>
        <v>1</v>
      </c>
      <c r="P484" s="649"/>
      <c r="Q484" s="75">
        <f t="shared" si="107"/>
        <v>0</v>
      </c>
      <c r="R484" s="75">
        <f t="shared" si="108"/>
        <v>0</v>
      </c>
      <c r="S484" s="49">
        <f t="shared" si="99"/>
        <v>0</v>
      </c>
    </row>
    <row r="485" spans="1:19">
      <c r="A485" s="652"/>
      <c r="B485" s="648"/>
      <c r="C485" s="75">
        <f t="shared" si="100"/>
        <v>1</v>
      </c>
      <c r="D485" s="649"/>
      <c r="E485" s="75">
        <f t="shared" si="101"/>
        <v>0</v>
      </c>
      <c r="F485" s="649"/>
      <c r="G485" s="75">
        <f t="shared" si="102"/>
        <v>1</v>
      </c>
      <c r="H485" s="649"/>
      <c r="I485" s="75">
        <f t="shared" si="103"/>
        <v>1</v>
      </c>
      <c r="J485" s="649"/>
      <c r="K485" s="75">
        <f t="shared" si="104"/>
        <v>0</v>
      </c>
      <c r="L485" s="649"/>
      <c r="M485" s="75">
        <f t="shared" si="105"/>
        <v>1</v>
      </c>
      <c r="N485" s="649"/>
      <c r="O485" s="75">
        <f t="shared" si="106"/>
        <v>1</v>
      </c>
      <c r="P485" s="649"/>
      <c r="Q485" s="75">
        <f t="shared" si="107"/>
        <v>0</v>
      </c>
      <c r="R485" s="75">
        <f t="shared" si="108"/>
        <v>0</v>
      </c>
      <c r="S485" s="49">
        <f t="shared" si="99"/>
        <v>0</v>
      </c>
    </row>
    <row r="486" spans="1:19">
      <c r="A486" s="652"/>
      <c r="B486" s="648"/>
      <c r="C486" s="75">
        <f t="shared" si="100"/>
        <v>1</v>
      </c>
      <c r="D486" s="649"/>
      <c r="E486" s="75">
        <f t="shared" si="101"/>
        <v>0</v>
      </c>
      <c r="F486" s="649"/>
      <c r="G486" s="75">
        <f t="shared" si="102"/>
        <v>1</v>
      </c>
      <c r="H486" s="649"/>
      <c r="I486" s="75">
        <f t="shared" si="103"/>
        <v>1</v>
      </c>
      <c r="J486" s="649"/>
      <c r="K486" s="75">
        <f t="shared" si="104"/>
        <v>0</v>
      </c>
      <c r="L486" s="649"/>
      <c r="M486" s="75">
        <f t="shared" si="105"/>
        <v>1</v>
      </c>
      <c r="N486" s="649"/>
      <c r="O486" s="75">
        <f t="shared" si="106"/>
        <v>1</v>
      </c>
      <c r="P486" s="649"/>
      <c r="Q486" s="75">
        <f t="shared" si="107"/>
        <v>0</v>
      </c>
      <c r="R486" s="75">
        <f t="shared" si="108"/>
        <v>0</v>
      </c>
      <c r="S486" s="49">
        <f t="shared" si="99"/>
        <v>0</v>
      </c>
    </row>
    <row r="487" spans="1:19">
      <c r="A487" s="652"/>
      <c r="B487" s="648"/>
      <c r="C487" s="75">
        <f t="shared" si="100"/>
        <v>1</v>
      </c>
      <c r="D487" s="649"/>
      <c r="E487" s="75">
        <f t="shared" si="101"/>
        <v>0</v>
      </c>
      <c r="F487" s="649"/>
      <c r="G487" s="75">
        <f t="shared" si="102"/>
        <v>1</v>
      </c>
      <c r="H487" s="649"/>
      <c r="I487" s="75">
        <f t="shared" si="103"/>
        <v>1</v>
      </c>
      <c r="J487" s="649"/>
      <c r="K487" s="75">
        <f t="shared" si="104"/>
        <v>0</v>
      </c>
      <c r="L487" s="649"/>
      <c r="M487" s="75">
        <f t="shared" si="105"/>
        <v>1</v>
      </c>
      <c r="N487" s="649"/>
      <c r="O487" s="75">
        <f t="shared" si="106"/>
        <v>1</v>
      </c>
      <c r="P487" s="649"/>
      <c r="Q487" s="75">
        <f t="shared" si="107"/>
        <v>0</v>
      </c>
      <c r="R487" s="75">
        <f t="shared" si="108"/>
        <v>0</v>
      </c>
      <c r="S487" s="49">
        <f t="shared" si="99"/>
        <v>0</v>
      </c>
    </row>
    <row r="488" spans="1:19">
      <c r="A488" s="652"/>
      <c r="B488" s="648"/>
      <c r="C488" s="75">
        <f t="shared" si="100"/>
        <v>1</v>
      </c>
      <c r="D488" s="649"/>
      <c r="E488" s="75">
        <f t="shared" si="101"/>
        <v>0</v>
      </c>
      <c r="F488" s="649"/>
      <c r="G488" s="75">
        <f t="shared" si="102"/>
        <v>1</v>
      </c>
      <c r="H488" s="649"/>
      <c r="I488" s="75">
        <f t="shared" si="103"/>
        <v>1</v>
      </c>
      <c r="J488" s="649"/>
      <c r="K488" s="75">
        <f t="shared" si="104"/>
        <v>0</v>
      </c>
      <c r="L488" s="649"/>
      <c r="M488" s="75">
        <f t="shared" si="105"/>
        <v>1</v>
      </c>
      <c r="N488" s="649"/>
      <c r="O488" s="75">
        <f t="shared" si="106"/>
        <v>1</v>
      </c>
      <c r="P488" s="649"/>
      <c r="Q488" s="75">
        <f t="shared" si="107"/>
        <v>0</v>
      </c>
      <c r="R488" s="75">
        <f t="shared" si="108"/>
        <v>0</v>
      </c>
      <c r="S488" s="49">
        <f t="shared" si="99"/>
        <v>0</v>
      </c>
    </row>
    <row r="489" spans="1:19">
      <c r="A489" s="652"/>
      <c r="B489" s="648"/>
      <c r="C489" s="75">
        <f t="shared" si="100"/>
        <v>1</v>
      </c>
      <c r="D489" s="649"/>
      <c r="E489" s="75">
        <f t="shared" si="101"/>
        <v>0</v>
      </c>
      <c r="F489" s="649"/>
      <c r="G489" s="75">
        <f t="shared" si="102"/>
        <v>1</v>
      </c>
      <c r="H489" s="649"/>
      <c r="I489" s="75">
        <f t="shared" si="103"/>
        <v>1</v>
      </c>
      <c r="J489" s="649"/>
      <c r="K489" s="75">
        <f t="shared" si="104"/>
        <v>0</v>
      </c>
      <c r="L489" s="649"/>
      <c r="M489" s="75">
        <f t="shared" si="105"/>
        <v>1</v>
      </c>
      <c r="N489" s="649"/>
      <c r="O489" s="75">
        <f t="shared" si="106"/>
        <v>1</v>
      </c>
      <c r="P489" s="649"/>
      <c r="Q489" s="75">
        <f t="shared" si="107"/>
        <v>0</v>
      </c>
      <c r="R489" s="75">
        <f t="shared" si="108"/>
        <v>0</v>
      </c>
      <c r="S489" s="49">
        <f t="shared" si="99"/>
        <v>0</v>
      </c>
    </row>
    <row r="490" spans="1:19">
      <c r="A490" s="652"/>
      <c r="B490" s="648"/>
      <c r="C490" s="75">
        <f t="shared" si="100"/>
        <v>1</v>
      </c>
      <c r="D490" s="649"/>
      <c r="E490" s="75">
        <f t="shared" si="101"/>
        <v>0</v>
      </c>
      <c r="F490" s="649"/>
      <c r="G490" s="75">
        <f t="shared" si="102"/>
        <v>1</v>
      </c>
      <c r="H490" s="649"/>
      <c r="I490" s="75">
        <f t="shared" si="103"/>
        <v>1</v>
      </c>
      <c r="J490" s="649"/>
      <c r="K490" s="75">
        <f t="shared" si="104"/>
        <v>0</v>
      </c>
      <c r="L490" s="649"/>
      <c r="M490" s="75">
        <f t="shared" si="105"/>
        <v>1</v>
      </c>
      <c r="N490" s="649"/>
      <c r="O490" s="75">
        <f t="shared" si="106"/>
        <v>1</v>
      </c>
      <c r="P490" s="649"/>
      <c r="Q490" s="75">
        <f t="shared" si="107"/>
        <v>0</v>
      </c>
      <c r="R490" s="75">
        <f t="shared" si="108"/>
        <v>0</v>
      </c>
      <c r="S490" s="49">
        <f t="shared" si="99"/>
        <v>0</v>
      </c>
    </row>
    <row r="491" spans="1:19">
      <c r="A491" s="652"/>
      <c r="B491" s="648"/>
      <c r="C491" s="75">
        <f t="shared" si="100"/>
        <v>1</v>
      </c>
      <c r="D491" s="649"/>
      <c r="E491" s="75">
        <f t="shared" si="101"/>
        <v>0</v>
      </c>
      <c r="F491" s="649"/>
      <c r="G491" s="75">
        <f t="shared" si="102"/>
        <v>1</v>
      </c>
      <c r="H491" s="649"/>
      <c r="I491" s="75">
        <f t="shared" si="103"/>
        <v>1</v>
      </c>
      <c r="J491" s="649"/>
      <c r="K491" s="75">
        <f t="shared" si="104"/>
        <v>0</v>
      </c>
      <c r="L491" s="649"/>
      <c r="M491" s="75">
        <f t="shared" si="105"/>
        <v>1</v>
      </c>
      <c r="N491" s="649"/>
      <c r="O491" s="75">
        <f t="shared" si="106"/>
        <v>1</v>
      </c>
      <c r="P491" s="649"/>
      <c r="Q491" s="75">
        <f t="shared" si="107"/>
        <v>0</v>
      </c>
      <c r="R491" s="75">
        <f t="shared" si="108"/>
        <v>0</v>
      </c>
      <c r="S491" s="49">
        <f t="shared" si="99"/>
        <v>0</v>
      </c>
    </row>
    <row r="492" spans="1:19">
      <c r="A492" s="652"/>
      <c r="B492" s="648"/>
      <c r="C492" s="75">
        <f t="shared" si="100"/>
        <v>1</v>
      </c>
      <c r="D492" s="649"/>
      <c r="E492" s="75">
        <f t="shared" si="101"/>
        <v>0</v>
      </c>
      <c r="F492" s="649"/>
      <c r="G492" s="75">
        <f t="shared" si="102"/>
        <v>1</v>
      </c>
      <c r="H492" s="649"/>
      <c r="I492" s="75">
        <f t="shared" si="103"/>
        <v>1</v>
      </c>
      <c r="J492" s="649"/>
      <c r="K492" s="75">
        <f t="shared" si="104"/>
        <v>0</v>
      </c>
      <c r="L492" s="649"/>
      <c r="M492" s="75">
        <f t="shared" si="105"/>
        <v>1</v>
      </c>
      <c r="N492" s="649"/>
      <c r="O492" s="75">
        <f t="shared" si="106"/>
        <v>1</v>
      </c>
      <c r="P492" s="649"/>
      <c r="Q492" s="75">
        <f t="shared" si="107"/>
        <v>0</v>
      </c>
      <c r="R492" s="75">
        <f t="shared" si="108"/>
        <v>0</v>
      </c>
      <c r="S492" s="49">
        <f t="shared" si="99"/>
        <v>0</v>
      </c>
    </row>
    <row r="493" spans="1:19">
      <c r="A493" s="652"/>
      <c r="B493" s="648"/>
      <c r="C493" s="75">
        <f t="shared" si="100"/>
        <v>1</v>
      </c>
      <c r="D493" s="649"/>
      <c r="E493" s="75">
        <f t="shared" si="101"/>
        <v>0</v>
      </c>
      <c r="F493" s="649"/>
      <c r="G493" s="75">
        <f t="shared" si="102"/>
        <v>1</v>
      </c>
      <c r="H493" s="649"/>
      <c r="I493" s="75">
        <f t="shared" si="103"/>
        <v>1</v>
      </c>
      <c r="J493" s="649"/>
      <c r="K493" s="75">
        <f t="shared" si="104"/>
        <v>0</v>
      </c>
      <c r="L493" s="649"/>
      <c r="M493" s="75">
        <f t="shared" si="105"/>
        <v>1</v>
      </c>
      <c r="N493" s="649"/>
      <c r="O493" s="75">
        <f t="shared" si="106"/>
        <v>1</v>
      </c>
      <c r="P493" s="649"/>
      <c r="Q493" s="75">
        <f t="shared" si="107"/>
        <v>0</v>
      </c>
      <c r="R493" s="75">
        <f t="shared" si="108"/>
        <v>0</v>
      </c>
      <c r="S493" s="49">
        <f t="shared" si="99"/>
        <v>0</v>
      </c>
    </row>
    <row r="494" spans="1:19">
      <c r="A494" s="652"/>
      <c r="B494" s="648"/>
      <c r="C494" s="75">
        <f t="shared" si="100"/>
        <v>1</v>
      </c>
      <c r="D494" s="649"/>
      <c r="E494" s="75">
        <f t="shared" si="101"/>
        <v>0</v>
      </c>
      <c r="F494" s="649"/>
      <c r="G494" s="75">
        <f t="shared" si="102"/>
        <v>1</v>
      </c>
      <c r="H494" s="649"/>
      <c r="I494" s="75">
        <f t="shared" si="103"/>
        <v>1</v>
      </c>
      <c r="J494" s="649"/>
      <c r="K494" s="75">
        <f t="shared" si="104"/>
        <v>0</v>
      </c>
      <c r="L494" s="649"/>
      <c r="M494" s="75">
        <f t="shared" si="105"/>
        <v>1</v>
      </c>
      <c r="N494" s="649"/>
      <c r="O494" s="75">
        <f t="shared" si="106"/>
        <v>1</v>
      </c>
      <c r="P494" s="649"/>
      <c r="Q494" s="75">
        <f t="shared" si="107"/>
        <v>0</v>
      </c>
      <c r="R494" s="75">
        <f t="shared" si="108"/>
        <v>0</v>
      </c>
      <c r="S494" s="49">
        <f t="shared" si="99"/>
        <v>0</v>
      </c>
    </row>
    <row r="495" spans="1:19">
      <c r="A495" s="652"/>
      <c r="B495" s="648"/>
      <c r="C495" s="75">
        <f t="shared" si="100"/>
        <v>1</v>
      </c>
      <c r="D495" s="649"/>
      <c r="E495" s="75">
        <f t="shared" si="101"/>
        <v>0</v>
      </c>
      <c r="F495" s="649"/>
      <c r="G495" s="75">
        <f t="shared" si="102"/>
        <v>1</v>
      </c>
      <c r="H495" s="649"/>
      <c r="I495" s="75">
        <f t="shared" si="103"/>
        <v>1</v>
      </c>
      <c r="J495" s="649"/>
      <c r="K495" s="75">
        <f t="shared" si="104"/>
        <v>0</v>
      </c>
      <c r="L495" s="649"/>
      <c r="M495" s="75">
        <f t="shared" si="105"/>
        <v>1</v>
      </c>
      <c r="N495" s="649"/>
      <c r="O495" s="75">
        <f t="shared" si="106"/>
        <v>1</v>
      </c>
      <c r="P495" s="649"/>
      <c r="Q495" s="75">
        <f t="shared" si="107"/>
        <v>0</v>
      </c>
      <c r="R495" s="75">
        <f t="shared" si="108"/>
        <v>0</v>
      </c>
      <c r="S495" s="49">
        <f t="shared" si="99"/>
        <v>0</v>
      </c>
    </row>
    <row r="496" spans="1:19">
      <c r="A496" s="652"/>
      <c r="B496" s="648"/>
      <c r="C496" s="75">
        <f t="shared" si="100"/>
        <v>1</v>
      </c>
      <c r="D496" s="649"/>
      <c r="E496" s="75">
        <f t="shared" si="101"/>
        <v>0</v>
      </c>
      <c r="F496" s="649"/>
      <c r="G496" s="75">
        <f t="shared" si="102"/>
        <v>1</v>
      </c>
      <c r="H496" s="649"/>
      <c r="I496" s="75">
        <f t="shared" si="103"/>
        <v>1</v>
      </c>
      <c r="J496" s="649"/>
      <c r="K496" s="75">
        <f t="shared" si="104"/>
        <v>0</v>
      </c>
      <c r="L496" s="649"/>
      <c r="M496" s="75">
        <f t="shared" si="105"/>
        <v>1</v>
      </c>
      <c r="N496" s="649"/>
      <c r="O496" s="75">
        <f t="shared" si="106"/>
        <v>1</v>
      </c>
      <c r="P496" s="649"/>
      <c r="Q496" s="75">
        <f t="shared" si="107"/>
        <v>0</v>
      </c>
      <c r="R496" s="75">
        <f t="shared" si="108"/>
        <v>0</v>
      </c>
      <c r="S496" s="49">
        <f t="shared" si="99"/>
        <v>0</v>
      </c>
    </row>
    <row r="497" spans="1:19">
      <c r="A497" s="652"/>
      <c r="B497" s="648"/>
      <c r="C497" s="75">
        <f t="shared" si="100"/>
        <v>1</v>
      </c>
      <c r="D497" s="649"/>
      <c r="E497" s="75">
        <f t="shared" si="101"/>
        <v>0</v>
      </c>
      <c r="F497" s="649"/>
      <c r="G497" s="75">
        <f t="shared" si="102"/>
        <v>1</v>
      </c>
      <c r="H497" s="649"/>
      <c r="I497" s="75">
        <f t="shared" si="103"/>
        <v>1</v>
      </c>
      <c r="J497" s="649"/>
      <c r="K497" s="75">
        <f t="shared" si="104"/>
        <v>0</v>
      </c>
      <c r="L497" s="649"/>
      <c r="M497" s="75">
        <f t="shared" si="105"/>
        <v>1</v>
      </c>
      <c r="N497" s="649"/>
      <c r="O497" s="75">
        <f t="shared" si="106"/>
        <v>1</v>
      </c>
      <c r="P497" s="649"/>
      <c r="Q497" s="75">
        <f t="shared" si="107"/>
        <v>0</v>
      </c>
      <c r="R497" s="75">
        <f t="shared" si="108"/>
        <v>0</v>
      </c>
      <c r="S497" s="49">
        <f t="shared" si="99"/>
        <v>0</v>
      </c>
    </row>
    <row r="498" spans="1:19">
      <c r="A498" s="652"/>
      <c r="B498" s="648"/>
      <c r="C498" s="75">
        <f t="shared" si="100"/>
        <v>1</v>
      </c>
      <c r="D498" s="649"/>
      <c r="E498" s="75">
        <f t="shared" si="101"/>
        <v>0</v>
      </c>
      <c r="F498" s="649"/>
      <c r="G498" s="75">
        <f t="shared" si="102"/>
        <v>1</v>
      </c>
      <c r="H498" s="649"/>
      <c r="I498" s="75">
        <f t="shared" si="103"/>
        <v>1</v>
      </c>
      <c r="J498" s="649"/>
      <c r="K498" s="75">
        <f t="shared" si="104"/>
        <v>0</v>
      </c>
      <c r="L498" s="649"/>
      <c r="M498" s="75">
        <f t="shared" si="105"/>
        <v>1</v>
      </c>
      <c r="N498" s="649"/>
      <c r="O498" s="75">
        <f t="shared" si="106"/>
        <v>1</v>
      </c>
      <c r="P498" s="649"/>
      <c r="Q498" s="75">
        <f t="shared" si="107"/>
        <v>0</v>
      </c>
      <c r="R498" s="75">
        <f t="shared" si="108"/>
        <v>0</v>
      </c>
      <c r="S498" s="49">
        <f t="shared" ref="S498:S524" si="109">ROUND(R498*B498/10000,0)</f>
        <v>0</v>
      </c>
    </row>
    <row r="499" spans="1:19">
      <c r="A499" s="652"/>
      <c r="B499" s="648"/>
      <c r="C499" s="75">
        <f t="shared" si="100"/>
        <v>1</v>
      </c>
      <c r="D499" s="649"/>
      <c r="E499" s="75">
        <f t="shared" si="101"/>
        <v>0</v>
      </c>
      <c r="F499" s="649"/>
      <c r="G499" s="75">
        <f t="shared" si="102"/>
        <v>1</v>
      </c>
      <c r="H499" s="649"/>
      <c r="I499" s="75">
        <f t="shared" si="103"/>
        <v>1</v>
      </c>
      <c r="J499" s="649"/>
      <c r="K499" s="75">
        <f t="shared" si="104"/>
        <v>0</v>
      </c>
      <c r="L499" s="649"/>
      <c r="M499" s="75">
        <f t="shared" si="105"/>
        <v>1</v>
      </c>
      <c r="N499" s="649"/>
      <c r="O499" s="75">
        <f t="shared" si="106"/>
        <v>1</v>
      </c>
      <c r="P499" s="649"/>
      <c r="Q499" s="75">
        <f t="shared" si="107"/>
        <v>0</v>
      </c>
      <c r="R499" s="75">
        <f t="shared" si="108"/>
        <v>0</v>
      </c>
      <c r="S499" s="49">
        <f t="shared" si="109"/>
        <v>0</v>
      </c>
    </row>
    <row r="500" spans="1:19">
      <c r="A500" s="652"/>
      <c r="B500" s="648"/>
      <c r="C500" s="75">
        <f t="shared" si="100"/>
        <v>1</v>
      </c>
      <c r="D500" s="649"/>
      <c r="E500" s="75">
        <f t="shared" si="101"/>
        <v>0</v>
      </c>
      <c r="F500" s="649"/>
      <c r="G500" s="75">
        <f t="shared" si="102"/>
        <v>1</v>
      </c>
      <c r="H500" s="649"/>
      <c r="I500" s="75">
        <f t="shared" si="103"/>
        <v>1</v>
      </c>
      <c r="J500" s="649"/>
      <c r="K500" s="75">
        <f t="shared" si="104"/>
        <v>0</v>
      </c>
      <c r="L500" s="649"/>
      <c r="M500" s="75">
        <f t="shared" si="105"/>
        <v>1</v>
      </c>
      <c r="N500" s="649"/>
      <c r="O500" s="75">
        <f t="shared" si="106"/>
        <v>1</v>
      </c>
      <c r="P500" s="649"/>
      <c r="Q500" s="75">
        <f t="shared" si="107"/>
        <v>0</v>
      </c>
      <c r="R500" s="75">
        <f t="shared" si="108"/>
        <v>0</v>
      </c>
      <c r="S500" s="49">
        <f t="shared" si="109"/>
        <v>0</v>
      </c>
    </row>
    <row r="501" spans="1:19">
      <c r="A501" s="652"/>
      <c r="B501" s="648"/>
      <c r="C501" s="75">
        <f t="shared" si="100"/>
        <v>1</v>
      </c>
      <c r="D501" s="649"/>
      <c r="E501" s="75">
        <f t="shared" si="101"/>
        <v>0</v>
      </c>
      <c r="F501" s="649"/>
      <c r="G501" s="75">
        <f t="shared" si="102"/>
        <v>1</v>
      </c>
      <c r="H501" s="649"/>
      <c r="I501" s="75">
        <f t="shared" si="103"/>
        <v>1</v>
      </c>
      <c r="J501" s="649"/>
      <c r="K501" s="75">
        <f t="shared" si="104"/>
        <v>0</v>
      </c>
      <c r="L501" s="649"/>
      <c r="M501" s="75">
        <f t="shared" si="105"/>
        <v>1</v>
      </c>
      <c r="N501" s="649"/>
      <c r="O501" s="75">
        <f t="shared" si="106"/>
        <v>1</v>
      </c>
      <c r="P501" s="649"/>
      <c r="Q501" s="75">
        <f t="shared" si="107"/>
        <v>0</v>
      </c>
      <c r="R501" s="75">
        <f t="shared" si="108"/>
        <v>0</v>
      </c>
      <c r="S501" s="49">
        <f t="shared" si="109"/>
        <v>0</v>
      </c>
    </row>
    <row r="502" spans="1:19">
      <c r="A502" s="652"/>
      <c r="B502" s="648"/>
      <c r="C502" s="75">
        <f t="shared" si="100"/>
        <v>1</v>
      </c>
      <c r="D502" s="649"/>
      <c r="E502" s="75">
        <f t="shared" si="101"/>
        <v>0</v>
      </c>
      <c r="F502" s="649"/>
      <c r="G502" s="75">
        <f t="shared" si="102"/>
        <v>1</v>
      </c>
      <c r="H502" s="649"/>
      <c r="I502" s="75">
        <f t="shared" si="103"/>
        <v>1</v>
      </c>
      <c r="J502" s="649"/>
      <c r="K502" s="75">
        <f t="shared" si="104"/>
        <v>0</v>
      </c>
      <c r="L502" s="649"/>
      <c r="M502" s="75">
        <f t="shared" si="105"/>
        <v>1</v>
      </c>
      <c r="N502" s="649"/>
      <c r="O502" s="75">
        <f t="shared" si="106"/>
        <v>1</v>
      </c>
      <c r="P502" s="649"/>
      <c r="Q502" s="75">
        <f t="shared" si="107"/>
        <v>0</v>
      </c>
      <c r="R502" s="75">
        <f t="shared" si="108"/>
        <v>0</v>
      </c>
      <c r="S502" s="49">
        <f t="shared" si="109"/>
        <v>0</v>
      </c>
    </row>
    <row r="503" spans="1:19">
      <c r="A503" s="652"/>
      <c r="B503" s="648"/>
      <c r="C503" s="75">
        <f t="shared" si="100"/>
        <v>1</v>
      </c>
      <c r="D503" s="649"/>
      <c r="E503" s="75">
        <f t="shared" si="101"/>
        <v>0</v>
      </c>
      <c r="F503" s="649"/>
      <c r="G503" s="75">
        <f t="shared" si="102"/>
        <v>1</v>
      </c>
      <c r="H503" s="649"/>
      <c r="I503" s="75">
        <f t="shared" si="103"/>
        <v>1</v>
      </c>
      <c r="J503" s="649"/>
      <c r="K503" s="75">
        <f t="shared" si="104"/>
        <v>0</v>
      </c>
      <c r="L503" s="649"/>
      <c r="M503" s="75">
        <f t="shared" si="105"/>
        <v>1</v>
      </c>
      <c r="N503" s="649"/>
      <c r="O503" s="75">
        <f t="shared" si="106"/>
        <v>1</v>
      </c>
      <c r="P503" s="649"/>
      <c r="Q503" s="75">
        <f t="shared" si="107"/>
        <v>0</v>
      </c>
      <c r="R503" s="75">
        <f t="shared" si="108"/>
        <v>0</v>
      </c>
      <c r="S503" s="49">
        <f t="shared" si="109"/>
        <v>0</v>
      </c>
    </row>
    <row r="504" spans="1:19">
      <c r="A504" s="652"/>
      <c r="B504" s="648"/>
      <c r="C504" s="75">
        <f t="shared" si="100"/>
        <v>1</v>
      </c>
      <c r="D504" s="649"/>
      <c r="E504" s="75">
        <f t="shared" si="101"/>
        <v>0</v>
      </c>
      <c r="F504" s="649"/>
      <c r="G504" s="75">
        <f t="shared" si="102"/>
        <v>1</v>
      </c>
      <c r="H504" s="649"/>
      <c r="I504" s="75">
        <f t="shared" si="103"/>
        <v>1</v>
      </c>
      <c r="J504" s="649"/>
      <c r="K504" s="75">
        <f t="shared" si="104"/>
        <v>0</v>
      </c>
      <c r="L504" s="649"/>
      <c r="M504" s="75">
        <f t="shared" si="105"/>
        <v>1</v>
      </c>
      <c r="N504" s="649"/>
      <c r="O504" s="75">
        <f t="shared" si="106"/>
        <v>1</v>
      </c>
      <c r="P504" s="649"/>
      <c r="Q504" s="75">
        <f t="shared" si="107"/>
        <v>0</v>
      </c>
      <c r="R504" s="75">
        <f t="shared" si="108"/>
        <v>0</v>
      </c>
      <c r="S504" s="49">
        <f t="shared" si="109"/>
        <v>0</v>
      </c>
    </row>
    <row r="505" spans="1:19">
      <c r="A505" s="652"/>
      <c r="B505" s="648"/>
      <c r="C505" s="75">
        <f t="shared" si="100"/>
        <v>1</v>
      </c>
      <c r="D505" s="649"/>
      <c r="E505" s="75">
        <f t="shared" si="101"/>
        <v>0</v>
      </c>
      <c r="F505" s="649"/>
      <c r="G505" s="75">
        <f t="shared" si="102"/>
        <v>1</v>
      </c>
      <c r="H505" s="649"/>
      <c r="I505" s="75">
        <f t="shared" si="103"/>
        <v>1</v>
      </c>
      <c r="J505" s="649"/>
      <c r="K505" s="75">
        <f t="shared" si="104"/>
        <v>0</v>
      </c>
      <c r="L505" s="649"/>
      <c r="M505" s="75">
        <f t="shared" si="105"/>
        <v>1</v>
      </c>
      <c r="N505" s="649"/>
      <c r="O505" s="75">
        <f t="shared" si="106"/>
        <v>1</v>
      </c>
      <c r="P505" s="649"/>
      <c r="Q505" s="75">
        <f t="shared" si="107"/>
        <v>0</v>
      </c>
      <c r="R505" s="75">
        <f t="shared" si="108"/>
        <v>0</v>
      </c>
      <c r="S505" s="49">
        <f t="shared" si="109"/>
        <v>0</v>
      </c>
    </row>
    <row r="506" spans="1:19">
      <c r="A506" s="652"/>
      <c r="B506" s="648"/>
      <c r="C506" s="75">
        <f t="shared" si="100"/>
        <v>1</v>
      </c>
      <c r="D506" s="649"/>
      <c r="E506" s="75">
        <f t="shared" si="101"/>
        <v>0</v>
      </c>
      <c r="F506" s="649"/>
      <c r="G506" s="75">
        <f t="shared" si="102"/>
        <v>1</v>
      </c>
      <c r="H506" s="649"/>
      <c r="I506" s="75">
        <f t="shared" si="103"/>
        <v>1</v>
      </c>
      <c r="J506" s="649"/>
      <c r="K506" s="75">
        <f t="shared" si="104"/>
        <v>0</v>
      </c>
      <c r="L506" s="649"/>
      <c r="M506" s="75">
        <f t="shared" si="105"/>
        <v>1</v>
      </c>
      <c r="N506" s="649"/>
      <c r="O506" s="75">
        <f t="shared" si="106"/>
        <v>1</v>
      </c>
      <c r="P506" s="649"/>
      <c r="Q506" s="75">
        <f t="shared" si="107"/>
        <v>0</v>
      </c>
      <c r="R506" s="75">
        <f t="shared" si="108"/>
        <v>0</v>
      </c>
      <c r="S506" s="49">
        <f t="shared" si="109"/>
        <v>0</v>
      </c>
    </row>
    <row r="507" spans="1:19">
      <c r="A507" s="652"/>
      <c r="B507" s="648"/>
      <c r="C507" s="75">
        <f t="shared" si="100"/>
        <v>1</v>
      </c>
      <c r="D507" s="649"/>
      <c r="E507" s="75">
        <f t="shared" si="101"/>
        <v>0</v>
      </c>
      <c r="F507" s="649"/>
      <c r="G507" s="75">
        <f t="shared" si="102"/>
        <v>1</v>
      </c>
      <c r="H507" s="649"/>
      <c r="I507" s="75">
        <f t="shared" si="103"/>
        <v>1</v>
      </c>
      <c r="J507" s="649"/>
      <c r="K507" s="75">
        <f t="shared" si="104"/>
        <v>0</v>
      </c>
      <c r="L507" s="649"/>
      <c r="M507" s="75">
        <f t="shared" si="105"/>
        <v>1</v>
      </c>
      <c r="N507" s="649"/>
      <c r="O507" s="75">
        <f t="shared" si="106"/>
        <v>1</v>
      </c>
      <c r="P507" s="649"/>
      <c r="Q507" s="75">
        <f t="shared" si="107"/>
        <v>0</v>
      </c>
      <c r="R507" s="75">
        <f t="shared" si="108"/>
        <v>0</v>
      </c>
      <c r="S507" s="49">
        <f t="shared" si="109"/>
        <v>0</v>
      </c>
    </row>
    <row r="508" spans="1:19">
      <c r="A508" s="652"/>
      <c r="B508" s="648"/>
      <c r="C508" s="75">
        <f t="shared" si="100"/>
        <v>1</v>
      </c>
      <c r="D508" s="649"/>
      <c r="E508" s="75">
        <f t="shared" si="101"/>
        <v>0</v>
      </c>
      <c r="F508" s="649"/>
      <c r="G508" s="75">
        <f t="shared" si="102"/>
        <v>1</v>
      </c>
      <c r="H508" s="649"/>
      <c r="I508" s="75">
        <f t="shared" si="103"/>
        <v>1</v>
      </c>
      <c r="J508" s="649"/>
      <c r="K508" s="75">
        <f t="shared" si="104"/>
        <v>0</v>
      </c>
      <c r="L508" s="649"/>
      <c r="M508" s="75">
        <f t="shared" si="105"/>
        <v>1</v>
      </c>
      <c r="N508" s="649"/>
      <c r="O508" s="75">
        <f t="shared" si="106"/>
        <v>1</v>
      </c>
      <c r="P508" s="649"/>
      <c r="Q508" s="75">
        <f t="shared" si="107"/>
        <v>0</v>
      </c>
      <c r="R508" s="75">
        <f t="shared" si="108"/>
        <v>0</v>
      </c>
      <c r="S508" s="49">
        <f t="shared" si="109"/>
        <v>0</v>
      </c>
    </row>
    <row r="509" spans="1:19">
      <c r="A509" s="652"/>
      <c r="B509" s="648"/>
      <c r="C509" s="75">
        <f t="shared" si="100"/>
        <v>1</v>
      </c>
      <c r="D509" s="649"/>
      <c r="E509" s="75">
        <f t="shared" si="101"/>
        <v>0</v>
      </c>
      <c r="F509" s="649"/>
      <c r="G509" s="75">
        <f t="shared" si="102"/>
        <v>1</v>
      </c>
      <c r="H509" s="649"/>
      <c r="I509" s="75">
        <f t="shared" si="103"/>
        <v>1</v>
      </c>
      <c r="J509" s="649"/>
      <c r="K509" s="75">
        <f t="shared" si="104"/>
        <v>0</v>
      </c>
      <c r="L509" s="649"/>
      <c r="M509" s="75">
        <f t="shared" si="105"/>
        <v>1</v>
      </c>
      <c r="N509" s="649"/>
      <c r="O509" s="75">
        <f t="shared" si="106"/>
        <v>1</v>
      </c>
      <c r="P509" s="649"/>
      <c r="Q509" s="75">
        <f t="shared" si="107"/>
        <v>0</v>
      </c>
      <c r="R509" s="75">
        <f t="shared" si="108"/>
        <v>0</v>
      </c>
      <c r="S509" s="49">
        <f t="shared" si="109"/>
        <v>0</v>
      </c>
    </row>
    <row r="510" spans="1:19">
      <c r="A510" s="652"/>
      <c r="B510" s="648"/>
      <c r="C510" s="75">
        <f t="shared" si="100"/>
        <v>1</v>
      </c>
      <c r="D510" s="649"/>
      <c r="E510" s="75">
        <f t="shared" si="101"/>
        <v>0</v>
      </c>
      <c r="F510" s="649"/>
      <c r="G510" s="75">
        <f t="shared" si="102"/>
        <v>1</v>
      </c>
      <c r="H510" s="649"/>
      <c r="I510" s="75">
        <f t="shared" si="103"/>
        <v>1</v>
      </c>
      <c r="J510" s="649"/>
      <c r="K510" s="75">
        <f t="shared" si="104"/>
        <v>0</v>
      </c>
      <c r="L510" s="649"/>
      <c r="M510" s="75">
        <f t="shared" si="105"/>
        <v>1</v>
      </c>
      <c r="N510" s="649"/>
      <c r="O510" s="75">
        <f t="shared" si="106"/>
        <v>1</v>
      </c>
      <c r="P510" s="649"/>
      <c r="Q510" s="75">
        <f t="shared" si="107"/>
        <v>0</v>
      </c>
      <c r="R510" s="75">
        <f t="shared" si="108"/>
        <v>0</v>
      </c>
      <c r="S510" s="49">
        <f t="shared" si="109"/>
        <v>0</v>
      </c>
    </row>
    <row r="511" spans="1:19">
      <c r="A511" s="652"/>
      <c r="B511" s="648"/>
      <c r="C511" s="75">
        <f t="shared" si="100"/>
        <v>1</v>
      </c>
      <c r="D511" s="649"/>
      <c r="E511" s="75">
        <f t="shared" si="101"/>
        <v>0</v>
      </c>
      <c r="F511" s="649"/>
      <c r="G511" s="75">
        <f t="shared" si="102"/>
        <v>1</v>
      </c>
      <c r="H511" s="649"/>
      <c r="I511" s="75">
        <f t="shared" si="103"/>
        <v>1</v>
      </c>
      <c r="J511" s="649"/>
      <c r="K511" s="75">
        <f t="shared" si="104"/>
        <v>0</v>
      </c>
      <c r="L511" s="649"/>
      <c r="M511" s="75">
        <f t="shared" si="105"/>
        <v>1</v>
      </c>
      <c r="N511" s="649"/>
      <c r="O511" s="75">
        <f t="shared" si="106"/>
        <v>1</v>
      </c>
      <c r="P511" s="649"/>
      <c r="Q511" s="75">
        <f t="shared" si="107"/>
        <v>0</v>
      </c>
      <c r="R511" s="75">
        <f t="shared" si="108"/>
        <v>0</v>
      </c>
      <c r="S511" s="49">
        <f t="shared" si="109"/>
        <v>0</v>
      </c>
    </row>
    <row r="512" spans="1:19">
      <c r="A512" s="652"/>
      <c r="B512" s="648"/>
      <c r="C512" s="75">
        <f t="shared" si="100"/>
        <v>1</v>
      </c>
      <c r="D512" s="649"/>
      <c r="E512" s="75">
        <f t="shared" si="101"/>
        <v>0</v>
      </c>
      <c r="F512" s="649"/>
      <c r="G512" s="75">
        <f t="shared" si="102"/>
        <v>1</v>
      </c>
      <c r="H512" s="649"/>
      <c r="I512" s="75">
        <f t="shared" si="103"/>
        <v>1</v>
      </c>
      <c r="J512" s="649"/>
      <c r="K512" s="75">
        <f t="shared" si="104"/>
        <v>0</v>
      </c>
      <c r="L512" s="649"/>
      <c r="M512" s="75">
        <f t="shared" si="105"/>
        <v>1</v>
      </c>
      <c r="N512" s="649"/>
      <c r="O512" s="75">
        <f t="shared" si="106"/>
        <v>1</v>
      </c>
      <c r="P512" s="649"/>
      <c r="Q512" s="75">
        <f t="shared" si="107"/>
        <v>0</v>
      </c>
      <c r="R512" s="75">
        <f t="shared" si="108"/>
        <v>0</v>
      </c>
      <c r="S512" s="49">
        <f t="shared" si="109"/>
        <v>0</v>
      </c>
    </row>
    <row r="513" spans="1:19">
      <c r="A513" s="652"/>
      <c r="B513" s="648"/>
      <c r="C513" s="75">
        <f t="shared" si="100"/>
        <v>1</v>
      </c>
      <c r="D513" s="649"/>
      <c r="E513" s="75">
        <f t="shared" si="101"/>
        <v>0</v>
      </c>
      <c r="F513" s="649"/>
      <c r="G513" s="75">
        <f t="shared" si="102"/>
        <v>1</v>
      </c>
      <c r="H513" s="649"/>
      <c r="I513" s="75">
        <f t="shared" si="103"/>
        <v>1</v>
      </c>
      <c r="J513" s="649"/>
      <c r="K513" s="75">
        <f t="shared" si="104"/>
        <v>0</v>
      </c>
      <c r="L513" s="649"/>
      <c r="M513" s="75">
        <f t="shared" si="105"/>
        <v>1</v>
      </c>
      <c r="N513" s="649"/>
      <c r="O513" s="75">
        <f t="shared" si="106"/>
        <v>1</v>
      </c>
      <c r="P513" s="649"/>
      <c r="Q513" s="75">
        <f t="shared" si="107"/>
        <v>0</v>
      </c>
      <c r="R513" s="75">
        <f t="shared" si="108"/>
        <v>0</v>
      </c>
      <c r="S513" s="49">
        <f t="shared" si="109"/>
        <v>0</v>
      </c>
    </row>
    <row r="514" spans="1:19">
      <c r="A514" s="652"/>
      <c r="B514" s="648"/>
      <c r="C514" s="75">
        <f t="shared" si="100"/>
        <v>1</v>
      </c>
      <c r="D514" s="649"/>
      <c r="E514" s="75">
        <f t="shared" si="101"/>
        <v>0</v>
      </c>
      <c r="F514" s="649"/>
      <c r="G514" s="75">
        <f t="shared" si="102"/>
        <v>1</v>
      </c>
      <c r="H514" s="649"/>
      <c r="I514" s="75">
        <f t="shared" si="103"/>
        <v>1</v>
      </c>
      <c r="J514" s="649"/>
      <c r="K514" s="75">
        <f t="shared" si="104"/>
        <v>0</v>
      </c>
      <c r="L514" s="649"/>
      <c r="M514" s="75">
        <f t="shared" si="105"/>
        <v>1</v>
      </c>
      <c r="N514" s="649"/>
      <c r="O514" s="75">
        <f t="shared" si="106"/>
        <v>1</v>
      </c>
      <c r="P514" s="649"/>
      <c r="Q514" s="75">
        <f t="shared" si="107"/>
        <v>0</v>
      </c>
      <c r="R514" s="75">
        <f t="shared" si="108"/>
        <v>0</v>
      </c>
      <c r="S514" s="49">
        <f t="shared" si="109"/>
        <v>0</v>
      </c>
    </row>
    <row r="515" spans="1:19">
      <c r="A515" s="652"/>
      <c r="B515" s="648"/>
      <c r="C515" s="75">
        <f t="shared" si="100"/>
        <v>1</v>
      </c>
      <c r="D515" s="649"/>
      <c r="E515" s="75">
        <f t="shared" si="101"/>
        <v>0</v>
      </c>
      <c r="F515" s="649"/>
      <c r="G515" s="75">
        <f t="shared" si="102"/>
        <v>1</v>
      </c>
      <c r="H515" s="649"/>
      <c r="I515" s="75">
        <f t="shared" si="103"/>
        <v>1</v>
      </c>
      <c r="J515" s="649"/>
      <c r="K515" s="75">
        <f t="shared" si="104"/>
        <v>0</v>
      </c>
      <c r="L515" s="649"/>
      <c r="M515" s="75">
        <f t="shared" si="105"/>
        <v>1</v>
      </c>
      <c r="N515" s="649"/>
      <c r="O515" s="75">
        <f t="shared" si="106"/>
        <v>1</v>
      </c>
      <c r="P515" s="649"/>
      <c r="Q515" s="75">
        <f t="shared" si="107"/>
        <v>0</v>
      </c>
      <c r="R515" s="75">
        <f t="shared" si="108"/>
        <v>0</v>
      </c>
      <c r="S515" s="49">
        <f t="shared" si="109"/>
        <v>0</v>
      </c>
    </row>
    <row r="516" spans="1:19">
      <c r="A516" s="652"/>
      <c r="B516" s="648"/>
      <c r="C516" s="75">
        <f t="shared" si="100"/>
        <v>1</v>
      </c>
      <c r="D516" s="649"/>
      <c r="E516" s="75">
        <f t="shared" si="101"/>
        <v>0</v>
      </c>
      <c r="F516" s="649"/>
      <c r="G516" s="75">
        <f t="shared" si="102"/>
        <v>1</v>
      </c>
      <c r="H516" s="649"/>
      <c r="I516" s="75">
        <f t="shared" si="103"/>
        <v>1</v>
      </c>
      <c r="J516" s="649"/>
      <c r="K516" s="75">
        <f t="shared" si="104"/>
        <v>0</v>
      </c>
      <c r="L516" s="649"/>
      <c r="M516" s="75">
        <f t="shared" si="105"/>
        <v>1</v>
      </c>
      <c r="N516" s="649"/>
      <c r="O516" s="75">
        <f t="shared" si="106"/>
        <v>1</v>
      </c>
      <c r="P516" s="649"/>
      <c r="Q516" s="75">
        <f t="shared" si="107"/>
        <v>0</v>
      </c>
      <c r="R516" s="75">
        <f t="shared" si="108"/>
        <v>0</v>
      </c>
      <c r="S516" s="49">
        <f t="shared" si="109"/>
        <v>0</v>
      </c>
    </row>
    <row r="517" spans="1:19">
      <c r="A517" s="652"/>
      <c r="B517" s="648"/>
      <c r="C517" s="75">
        <f t="shared" si="100"/>
        <v>1</v>
      </c>
      <c r="D517" s="649"/>
      <c r="E517" s="75">
        <f t="shared" si="101"/>
        <v>0</v>
      </c>
      <c r="F517" s="649"/>
      <c r="G517" s="75">
        <f t="shared" si="102"/>
        <v>1</v>
      </c>
      <c r="H517" s="649"/>
      <c r="I517" s="75">
        <f t="shared" si="103"/>
        <v>1</v>
      </c>
      <c r="J517" s="649"/>
      <c r="K517" s="75">
        <f t="shared" si="104"/>
        <v>0</v>
      </c>
      <c r="L517" s="649"/>
      <c r="M517" s="75">
        <f t="shared" si="105"/>
        <v>1</v>
      </c>
      <c r="N517" s="649"/>
      <c r="O517" s="75">
        <f t="shared" si="106"/>
        <v>1</v>
      </c>
      <c r="P517" s="649"/>
      <c r="Q517" s="75">
        <f t="shared" si="107"/>
        <v>0</v>
      </c>
      <c r="R517" s="75">
        <f t="shared" si="108"/>
        <v>0</v>
      </c>
      <c r="S517" s="49">
        <f t="shared" si="109"/>
        <v>0</v>
      </c>
    </row>
    <row r="518" spans="1:19">
      <c r="A518" s="652"/>
      <c r="B518" s="648"/>
      <c r="C518" s="75">
        <f t="shared" si="100"/>
        <v>1</v>
      </c>
      <c r="D518" s="649"/>
      <c r="E518" s="75">
        <f t="shared" si="101"/>
        <v>0</v>
      </c>
      <c r="F518" s="649"/>
      <c r="G518" s="75">
        <f t="shared" si="102"/>
        <v>1</v>
      </c>
      <c r="H518" s="649"/>
      <c r="I518" s="75">
        <f t="shared" si="103"/>
        <v>1</v>
      </c>
      <c r="J518" s="649"/>
      <c r="K518" s="75">
        <f t="shared" si="104"/>
        <v>0</v>
      </c>
      <c r="L518" s="649"/>
      <c r="M518" s="75">
        <f t="shared" si="105"/>
        <v>1</v>
      </c>
      <c r="N518" s="649"/>
      <c r="O518" s="75">
        <f t="shared" si="106"/>
        <v>1</v>
      </c>
      <c r="P518" s="649"/>
      <c r="Q518" s="75">
        <f t="shared" si="107"/>
        <v>0</v>
      </c>
      <c r="R518" s="75">
        <f t="shared" si="108"/>
        <v>0</v>
      </c>
      <c r="S518" s="49">
        <f t="shared" si="109"/>
        <v>0</v>
      </c>
    </row>
    <row r="519" spans="1:19">
      <c r="A519" s="652"/>
      <c r="B519" s="648"/>
      <c r="C519" s="75">
        <f t="shared" si="100"/>
        <v>1</v>
      </c>
      <c r="D519" s="649"/>
      <c r="E519" s="75">
        <f t="shared" si="101"/>
        <v>0</v>
      </c>
      <c r="F519" s="649"/>
      <c r="G519" s="75">
        <f t="shared" si="102"/>
        <v>1</v>
      </c>
      <c r="H519" s="649"/>
      <c r="I519" s="75">
        <f t="shared" si="103"/>
        <v>1</v>
      </c>
      <c r="J519" s="649"/>
      <c r="K519" s="75">
        <f t="shared" si="104"/>
        <v>0</v>
      </c>
      <c r="L519" s="649"/>
      <c r="M519" s="75">
        <f t="shared" si="105"/>
        <v>1</v>
      </c>
      <c r="N519" s="649"/>
      <c r="O519" s="75">
        <f t="shared" si="106"/>
        <v>1</v>
      </c>
      <c r="P519" s="649"/>
      <c r="Q519" s="75">
        <f t="shared" si="107"/>
        <v>0</v>
      </c>
      <c r="R519" s="75">
        <f t="shared" si="108"/>
        <v>0</v>
      </c>
      <c r="S519" s="49">
        <f t="shared" si="109"/>
        <v>0</v>
      </c>
    </row>
    <row r="520" spans="1:19">
      <c r="A520" s="652"/>
      <c r="B520" s="648"/>
      <c r="C520" s="75">
        <f t="shared" si="100"/>
        <v>1</v>
      </c>
      <c r="D520" s="649"/>
      <c r="E520" s="75">
        <f t="shared" si="101"/>
        <v>0</v>
      </c>
      <c r="F520" s="649"/>
      <c r="G520" s="75">
        <f t="shared" si="102"/>
        <v>1</v>
      </c>
      <c r="H520" s="649"/>
      <c r="I520" s="75">
        <f t="shared" si="103"/>
        <v>1</v>
      </c>
      <c r="J520" s="649"/>
      <c r="K520" s="75">
        <f t="shared" si="104"/>
        <v>0</v>
      </c>
      <c r="L520" s="649"/>
      <c r="M520" s="75">
        <f t="shared" si="105"/>
        <v>1</v>
      </c>
      <c r="N520" s="649"/>
      <c r="O520" s="75">
        <f t="shared" si="106"/>
        <v>1</v>
      </c>
      <c r="P520" s="649"/>
      <c r="Q520" s="75">
        <f t="shared" si="107"/>
        <v>0</v>
      </c>
      <c r="R520" s="75">
        <f t="shared" si="108"/>
        <v>0</v>
      </c>
      <c r="S520" s="49">
        <f t="shared" si="109"/>
        <v>0</v>
      </c>
    </row>
    <row r="521" spans="1:19">
      <c r="A521" s="652"/>
      <c r="B521" s="648"/>
      <c r="C521" s="75">
        <f t="shared" si="100"/>
        <v>1</v>
      </c>
      <c r="D521" s="649"/>
      <c r="E521" s="75">
        <f t="shared" si="101"/>
        <v>0</v>
      </c>
      <c r="F521" s="649"/>
      <c r="G521" s="75">
        <f t="shared" si="102"/>
        <v>1</v>
      </c>
      <c r="H521" s="649"/>
      <c r="I521" s="75">
        <f t="shared" si="103"/>
        <v>1</v>
      </c>
      <c r="J521" s="649"/>
      <c r="K521" s="75">
        <f t="shared" si="104"/>
        <v>0</v>
      </c>
      <c r="L521" s="649"/>
      <c r="M521" s="75">
        <f t="shared" si="105"/>
        <v>1</v>
      </c>
      <c r="N521" s="649"/>
      <c r="O521" s="75">
        <f t="shared" si="106"/>
        <v>1</v>
      </c>
      <c r="P521" s="649"/>
      <c r="Q521" s="75">
        <f t="shared" si="107"/>
        <v>0</v>
      </c>
      <c r="R521" s="75">
        <f t="shared" si="108"/>
        <v>0</v>
      </c>
      <c r="S521" s="49">
        <f t="shared" si="109"/>
        <v>0</v>
      </c>
    </row>
    <row r="522" spans="1:19">
      <c r="A522" s="652"/>
      <c r="B522" s="648"/>
      <c r="C522" s="75">
        <f t="shared" si="100"/>
        <v>1</v>
      </c>
      <c r="D522" s="649"/>
      <c r="E522" s="75">
        <f t="shared" si="101"/>
        <v>0</v>
      </c>
      <c r="F522" s="649"/>
      <c r="G522" s="75">
        <f t="shared" si="102"/>
        <v>1</v>
      </c>
      <c r="H522" s="649"/>
      <c r="I522" s="75">
        <f t="shared" si="103"/>
        <v>1</v>
      </c>
      <c r="J522" s="649"/>
      <c r="K522" s="75">
        <f t="shared" si="104"/>
        <v>0</v>
      </c>
      <c r="L522" s="649"/>
      <c r="M522" s="75">
        <f t="shared" si="105"/>
        <v>1</v>
      </c>
      <c r="N522" s="649"/>
      <c r="O522" s="75">
        <f t="shared" si="106"/>
        <v>1</v>
      </c>
      <c r="P522" s="649"/>
      <c r="Q522" s="75">
        <f t="shared" si="107"/>
        <v>0</v>
      </c>
      <c r="R522" s="75">
        <f t="shared" si="108"/>
        <v>0</v>
      </c>
      <c r="S522" s="49">
        <f t="shared" si="109"/>
        <v>0</v>
      </c>
    </row>
    <row r="523" spans="1:19">
      <c r="A523" s="652"/>
      <c r="B523" s="648"/>
      <c r="C523" s="75">
        <f t="shared" si="100"/>
        <v>1</v>
      </c>
      <c r="D523" s="649"/>
      <c r="E523" s="75">
        <f t="shared" si="101"/>
        <v>0</v>
      </c>
      <c r="F523" s="649"/>
      <c r="G523" s="75">
        <f t="shared" si="102"/>
        <v>1</v>
      </c>
      <c r="H523" s="649"/>
      <c r="I523" s="75">
        <f t="shared" si="103"/>
        <v>1</v>
      </c>
      <c r="J523" s="649"/>
      <c r="K523" s="75">
        <f t="shared" si="104"/>
        <v>0</v>
      </c>
      <c r="L523" s="649"/>
      <c r="M523" s="75">
        <f t="shared" si="105"/>
        <v>1</v>
      </c>
      <c r="N523" s="649"/>
      <c r="O523" s="75">
        <f t="shared" si="106"/>
        <v>1</v>
      </c>
      <c r="P523" s="649"/>
      <c r="Q523" s="75">
        <f t="shared" si="107"/>
        <v>0</v>
      </c>
      <c r="R523" s="75">
        <f t="shared" si="108"/>
        <v>0</v>
      </c>
      <c r="S523" s="49">
        <f t="shared" si="109"/>
        <v>0</v>
      </c>
    </row>
    <row r="524" spans="1:19">
      <c r="A524" s="652"/>
      <c r="B524" s="648"/>
      <c r="C524" s="75">
        <f t="shared" si="100"/>
        <v>1</v>
      </c>
      <c r="D524" s="649"/>
      <c r="E524" s="75">
        <f t="shared" si="101"/>
        <v>0</v>
      </c>
      <c r="F524" s="649"/>
      <c r="G524" s="75">
        <f t="shared" si="102"/>
        <v>1</v>
      </c>
      <c r="H524" s="649"/>
      <c r="I524" s="75">
        <f t="shared" si="103"/>
        <v>1</v>
      </c>
      <c r="J524" s="649"/>
      <c r="K524" s="75">
        <f t="shared" si="104"/>
        <v>0</v>
      </c>
      <c r="L524" s="649"/>
      <c r="M524" s="75">
        <f t="shared" si="105"/>
        <v>1</v>
      </c>
      <c r="N524" s="649"/>
      <c r="O524" s="75">
        <f t="shared" si="106"/>
        <v>1</v>
      </c>
      <c r="P524" s="649"/>
      <c r="Q524" s="75">
        <f t="shared" si="107"/>
        <v>0</v>
      </c>
      <c r="R524" s="75">
        <f t="shared" si="108"/>
        <v>0</v>
      </c>
      <c r="S524" s="49">
        <f t="shared" si="109"/>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M113"/>
  <sheetViews>
    <sheetView topLeftCell="A82" zoomScale="106" zoomScaleNormal="106" workbookViewId="0">
      <selection activeCell="H89" sqref="H89"/>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3" ht="24" thickBot="1">
      <c r="A1" s="2921" t="s">
        <v>1036</v>
      </c>
      <c r="B1" s="2922" t="s">
        <v>2812</v>
      </c>
      <c r="C1" s="2922" t="s">
        <v>2813</v>
      </c>
      <c r="D1" s="2922" t="s">
        <v>1044</v>
      </c>
      <c r="E1" s="2922" t="s">
        <v>2814</v>
      </c>
      <c r="F1" s="2922" t="s">
        <v>2815</v>
      </c>
      <c r="G1" s="2922" t="s">
        <v>2200</v>
      </c>
      <c r="H1" s="2922" t="s">
        <v>2816</v>
      </c>
      <c r="I1" s="2922" t="s">
        <v>2817</v>
      </c>
    </row>
    <row r="2" spans="1:13" ht="24" thickBot="1">
      <c r="A2" s="2923">
        <v>1</v>
      </c>
      <c r="B2" s="2924" t="s">
        <v>2827</v>
      </c>
      <c r="C2" s="2924" t="s">
        <v>2818</v>
      </c>
      <c r="D2" s="2925">
        <f>M15</f>
        <v>162</v>
      </c>
      <c r="E2" s="2965" t="s">
        <v>2893</v>
      </c>
      <c r="F2" s="2924" t="s">
        <v>1224</v>
      </c>
      <c r="G2" s="2924" t="s">
        <v>2820</v>
      </c>
      <c r="H2" s="2924" t="s">
        <v>2821</v>
      </c>
      <c r="I2" s="2925">
        <f>K15</f>
        <v>3.29</v>
      </c>
    </row>
    <row r="3" spans="1:13" ht="14.25" thickBot="1">
      <c r="A3" s="2923">
        <v>2</v>
      </c>
      <c r="B3" s="2924" t="str">
        <f>J33</f>
        <v>苹果社区</v>
      </c>
      <c r="C3" s="2924" t="s">
        <v>2818</v>
      </c>
      <c r="D3" s="2925">
        <f>M33</f>
        <v>150</v>
      </c>
      <c r="E3" s="2966" t="s">
        <v>2895</v>
      </c>
      <c r="F3" s="2924" t="s">
        <v>1224</v>
      </c>
      <c r="G3" s="2924" t="s">
        <v>2820</v>
      </c>
      <c r="H3" s="2924" t="s">
        <v>2823</v>
      </c>
      <c r="I3" s="2925">
        <f>K33</f>
        <v>3.11</v>
      </c>
    </row>
    <row r="4" spans="1:13" s="2974" customFormat="1" ht="24" thickBot="1">
      <c r="A4" s="2970">
        <v>3</v>
      </c>
      <c r="B4" s="2971" t="str">
        <f>J54</f>
        <v>沿海赛洛城</v>
      </c>
      <c r="C4" s="2971" t="s">
        <v>2822</v>
      </c>
      <c r="D4" s="2972">
        <f>M54</f>
        <v>600</v>
      </c>
      <c r="E4" s="2973" t="s">
        <v>2893</v>
      </c>
      <c r="F4" s="2971" t="s">
        <v>2894</v>
      </c>
      <c r="G4" s="2971" t="s">
        <v>2820</v>
      </c>
      <c r="H4" s="2971" t="s">
        <v>2821</v>
      </c>
      <c r="I4" s="2972">
        <f>K54</f>
        <v>3.06</v>
      </c>
    </row>
    <row r="5" spans="1:13" s="2974" customFormat="1" ht="14.25" thickBot="1">
      <c r="A5" s="2970">
        <v>4</v>
      </c>
      <c r="B5" s="2971" t="str">
        <f>J71</f>
        <v>首城国际</v>
      </c>
      <c r="C5" s="2971" t="s">
        <v>2818</v>
      </c>
      <c r="D5" s="2972">
        <f>M71</f>
        <v>1000</v>
      </c>
      <c r="E5" s="2968" t="s">
        <v>2895</v>
      </c>
      <c r="F5" s="2971" t="s">
        <v>1224</v>
      </c>
      <c r="G5" s="2971" t="s">
        <v>2820</v>
      </c>
      <c r="H5" s="2971" t="s">
        <v>2821</v>
      </c>
      <c r="I5" s="2972">
        <f>K71</f>
        <v>3</v>
      </c>
    </row>
    <row r="6" spans="1:13" ht="14.25" thickBot="1">
      <c r="A6" s="2923">
        <v>5</v>
      </c>
      <c r="B6" s="2924" t="str">
        <f>B3</f>
        <v>苹果社区</v>
      </c>
      <c r="C6" s="2924" t="s">
        <v>2818</v>
      </c>
      <c r="D6" s="2925">
        <v>252</v>
      </c>
      <c r="E6" s="2968" t="s">
        <v>2895</v>
      </c>
      <c r="F6" s="2924" t="s">
        <v>1224</v>
      </c>
      <c r="G6" s="2924" t="s">
        <v>2820</v>
      </c>
      <c r="H6" s="2924" t="s">
        <v>2821</v>
      </c>
      <c r="I6" s="2925">
        <v>3.11</v>
      </c>
    </row>
    <row r="7" spans="1:13" ht="14.25" thickBot="1">
      <c r="A7" s="2923">
        <v>6</v>
      </c>
      <c r="B7" s="2924" t="str">
        <f>B3</f>
        <v>苹果社区</v>
      </c>
      <c r="C7" s="2924" t="s">
        <v>2818</v>
      </c>
      <c r="D7" s="2925">
        <v>135</v>
      </c>
      <c r="E7" s="2968" t="s">
        <v>2895</v>
      </c>
      <c r="F7" s="2924" t="s">
        <v>1224</v>
      </c>
      <c r="G7" s="2924" t="s">
        <v>2820</v>
      </c>
      <c r="H7" s="2924" t="s">
        <v>2821</v>
      </c>
      <c r="I7" s="2925">
        <v>3.37</v>
      </c>
    </row>
    <row r="8" spans="1:13" ht="14.25" thickBot="1">
      <c r="A8" s="2923">
        <v>7</v>
      </c>
      <c r="B8" s="2924" t="str">
        <f>B3</f>
        <v>苹果社区</v>
      </c>
      <c r="C8" s="2924" t="s">
        <v>2818</v>
      </c>
      <c r="D8" s="2925">
        <v>393</v>
      </c>
      <c r="E8" s="2968" t="s">
        <v>2895</v>
      </c>
      <c r="F8" s="2924" t="s">
        <v>1224</v>
      </c>
      <c r="G8" s="2924" t="s">
        <v>2820</v>
      </c>
      <c r="H8" s="2924" t="s">
        <v>2821</v>
      </c>
      <c r="I8" s="2925">
        <v>3.6</v>
      </c>
    </row>
    <row r="9" spans="1:13" ht="24" thickBot="1">
      <c r="A9" s="2926">
        <v>8</v>
      </c>
      <c r="B9" s="2927" t="s">
        <v>2827</v>
      </c>
      <c r="C9" s="2927" t="s">
        <v>2818</v>
      </c>
      <c r="D9" s="2927">
        <v>985.93</v>
      </c>
      <c r="E9" s="2969" t="s">
        <v>2893</v>
      </c>
      <c r="F9" s="2927" t="s">
        <v>1224</v>
      </c>
      <c r="G9" s="2927" t="s">
        <v>2820</v>
      </c>
      <c r="H9" s="2927" t="s">
        <v>2821</v>
      </c>
      <c r="I9" s="2927">
        <v>3.73</v>
      </c>
    </row>
    <row r="10" spans="1:13" ht="14.25" thickBot="1">
      <c r="A10" s="2926">
        <v>9</v>
      </c>
      <c r="B10" s="2927" t="str">
        <f>J112</f>
        <v>苹果社区</v>
      </c>
      <c r="C10" s="2927" t="s">
        <v>2822</v>
      </c>
      <c r="D10" s="2927">
        <f>M112</f>
        <v>400</v>
      </c>
      <c r="E10" s="2967" t="s">
        <v>2895</v>
      </c>
      <c r="F10" s="2927" t="s">
        <v>1224</v>
      </c>
      <c r="G10" s="2927" t="s">
        <v>2820</v>
      </c>
      <c r="H10" s="2927" t="s">
        <v>2821</v>
      </c>
      <c r="I10" s="2927">
        <v>3</v>
      </c>
    </row>
    <row r="11" spans="1:13" ht="14.25" thickBot="1">
      <c r="A11" s="2923">
        <v>10</v>
      </c>
      <c r="B11" s="2924"/>
      <c r="C11" s="2924"/>
      <c r="D11" s="2924"/>
      <c r="E11" s="2924"/>
      <c r="F11" s="2924"/>
      <c r="G11" s="2924"/>
      <c r="H11" s="2924"/>
      <c r="I11" s="2924"/>
    </row>
    <row r="12" spans="1:13" ht="14.25" thickBot="1">
      <c r="A12" s="2923">
        <v>11</v>
      </c>
      <c r="B12" s="2924"/>
      <c r="C12" s="2924"/>
      <c r="D12" s="2924"/>
      <c r="E12" s="2924"/>
      <c r="F12" s="2924"/>
      <c r="G12" s="2924"/>
      <c r="H12" s="2924"/>
      <c r="I12" s="2924"/>
    </row>
    <row r="13" spans="1:13" ht="14.25" thickBot="1">
      <c r="A13" s="2923">
        <v>12</v>
      </c>
      <c r="B13" s="2924"/>
      <c r="C13" s="2924"/>
      <c r="D13" s="2924"/>
      <c r="E13" s="2924"/>
      <c r="F13" s="2924"/>
      <c r="G13" s="2924"/>
      <c r="H13" s="2924"/>
      <c r="I13" s="2924"/>
    </row>
    <row r="15" spans="1:13">
      <c r="J15" s="2916" t="s">
        <v>2827</v>
      </c>
      <c r="K15">
        <v>3.29</v>
      </c>
      <c r="L15" s="2916" t="s">
        <v>2889</v>
      </c>
      <c r="M15" s="2916">
        <v>162</v>
      </c>
    </row>
    <row r="16" spans="1:13">
      <c r="J16" s="2916" t="s">
        <v>2890</v>
      </c>
    </row>
    <row r="33" spans="10:13">
      <c r="J33" s="2916" t="s">
        <v>2843</v>
      </c>
      <c r="K33">
        <v>3.11</v>
      </c>
      <c r="L33">
        <v>-1</v>
      </c>
      <c r="M33" s="2916">
        <v>150</v>
      </c>
    </row>
    <row r="34" spans="10:13">
      <c r="J34" s="2964" t="s">
        <v>2891</v>
      </c>
    </row>
    <row r="54" spans="10:13">
      <c r="J54" s="2916" t="s">
        <v>2827</v>
      </c>
      <c r="K54">
        <v>3.06</v>
      </c>
      <c r="L54" s="2916" t="s">
        <v>2889</v>
      </c>
      <c r="M54" s="2916">
        <v>600</v>
      </c>
    </row>
    <row r="55" spans="10:13">
      <c r="J55" s="2964" t="s">
        <v>2900</v>
      </c>
    </row>
    <row r="71" spans="10:13">
      <c r="J71" s="2916" t="s">
        <v>2892</v>
      </c>
      <c r="K71">
        <v>3</v>
      </c>
      <c r="L71">
        <v>-1</v>
      </c>
      <c r="M71">
        <v>1000</v>
      </c>
    </row>
    <row r="72" spans="10:13">
      <c r="J72" s="2916" t="s">
        <v>2906</v>
      </c>
    </row>
    <row r="88" spans="8:8">
      <c r="H88">
        <v>3.73</v>
      </c>
    </row>
    <row r="89" spans="8:8">
      <c r="H89">
        <f>ROUND(100000*1.05^2/985.93/30,2)</f>
        <v>3.73</v>
      </c>
    </row>
    <row r="112" spans="10:13">
      <c r="J112" s="2916" t="s">
        <v>2843</v>
      </c>
      <c r="K112">
        <v>3</v>
      </c>
      <c r="L112">
        <v>-1</v>
      </c>
      <c r="M112">
        <v>400</v>
      </c>
    </row>
    <row r="113" spans="10:10">
      <c r="J113" s="2964" t="s">
        <v>2907</v>
      </c>
    </row>
  </sheetData>
  <phoneticPr fontId="53" type="noConversion"/>
  <hyperlinks>
    <hyperlink ref="J34" r:id="rId1" display="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xr:uid="{1ADE7D7A-1ACA-4810-9C3C-0230CCA0D21E}"/>
    <hyperlink ref="J55" r:id="rId2" display="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xr:uid="{36072486-F6C4-4004-B7A7-DDA8F7B25752}"/>
    <hyperlink ref="J113" r:id="rId3" display="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xr:uid="{D4A84BDE-47E6-4641-87C7-E059E14A0A20}"/>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64"/>
  <sheetViews>
    <sheetView workbookViewId="0">
      <selection activeCell="E40" sqref="E40"/>
    </sheetView>
  </sheetViews>
  <sheetFormatPr defaultRowHeight="13.5"/>
  <cols>
    <col min="3" max="3" width="13" bestFit="1" customWidth="1"/>
    <col min="6" max="7" width="9" style="399"/>
    <col min="9" max="9" width="13.625" style="513" customWidth="1"/>
    <col min="18" max="18" width="10.25" bestFit="1" customWidth="1"/>
  </cols>
  <sheetData>
    <row r="1" spans="3:17">
      <c r="D1" s="2916" t="s">
        <v>2834</v>
      </c>
      <c r="E1" s="2916" t="s">
        <v>2835</v>
      </c>
    </row>
    <row r="2" spans="3:17">
      <c r="C2" s="2916" t="s">
        <v>2836</v>
      </c>
      <c r="D2" s="2916" t="s">
        <v>2837</v>
      </c>
      <c r="E2">
        <v>8</v>
      </c>
    </row>
    <row r="3" spans="3:17">
      <c r="D3" s="2916" t="s">
        <v>2837</v>
      </c>
      <c r="E3">
        <v>7.5</v>
      </c>
    </row>
    <row r="4" spans="3:17">
      <c r="D4" s="2916" t="s">
        <v>2838</v>
      </c>
      <c r="E4">
        <v>5</v>
      </c>
      <c r="F4" s="399">
        <f>E4/E2</f>
        <v>0.625</v>
      </c>
      <c r="G4" s="399">
        <f>E4/E3</f>
        <v>0.66666666666666663</v>
      </c>
    </row>
    <row r="5" spans="3:17">
      <c r="D5" s="2916" t="s">
        <v>2838</v>
      </c>
      <c r="E5">
        <v>4.2</v>
      </c>
      <c r="F5" s="399">
        <f>E5/E2</f>
        <v>0.52500000000000002</v>
      </c>
      <c r="G5" s="399">
        <f>E5/E3</f>
        <v>0.56000000000000005</v>
      </c>
    </row>
    <row r="6" spans="3:17">
      <c r="D6" s="2916" t="s">
        <v>2838</v>
      </c>
      <c r="E6">
        <v>3.6</v>
      </c>
      <c r="F6" s="399">
        <f>E6/E2</f>
        <v>0.45</v>
      </c>
      <c r="G6" s="399">
        <f>E6/E3</f>
        <v>0.48000000000000004</v>
      </c>
    </row>
    <row r="9" spans="3:17">
      <c r="C9" s="2916" t="s">
        <v>2827</v>
      </c>
      <c r="D9" s="2916" t="s">
        <v>2837</v>
      </c>
      <c r="E9">
        <v>6</v>
      </c>
      <c r="H9">
        <f>65000*(1+6%)^2/I9/30</f>
        <v>2.9158083009949061</v>
      </c>
      <c r="I9" s="513">
        <v>834.92</v>
      </c>
      <c r="P9">
        <v>2019</v>
      </c>
      <c r="Q9">
        <f>100000/30/I10</f>
        <v>3.3809026333850616</v>
      </c>
    </row>
    <row r="10" spans="3:17">
      <c r="D10" s="2005" t="s">
        <v>2838</v>
      </c>
      <c r="E10" s="2005">
        <f>ROUND(Q11,2)</f>
        <v>3.73</v>
      </c>
      <c r="F10" s="2933">
        <f>E10/E9</f>
        <v>0.6216666666666667</v>
      </c>
      <c r="H10">
        <f>100000*(1+5%)/30/I10</f>
        <v>3.5499477650543145</v>
      </c>
      <c r="I10" s="590">
        <v>985.93</v>
      </c>
      <c r="P10">
        <v>2021</v>
      </c>
      <c r="Q10">
        <f>Q9*1.05</f>
        <v>3.549947765054315</v>
      </c>
    </row>
    <row r="11" spans="3:17">
      <c r="P11">
        <v>2023</v>
      </c>
      <c r="Q11">
        <f>Q10*1.05</f>
        <v>3.727445153307031</v>
      </c>
    </row>
    <row r="13" spans="3:17">
      <c r="C13" s="2916" t="s">
        <v>2839</v>
      </c>
      <c r="D13" s="2916" t="s">
        <v>2837</v>
      </c>
      <c r="E13">
        <v>21</v>
      </c>
    </row>
    <row r="14" spans="3:17">
      <c r="D14" s="2916" t="s">
        <v>2838</v>
      </c>
      <c r="E14">
        <v>12</v>
      </c>
      <c r="F14" s="399">
        <f>E14/E13</f>
        <v>0.5714285714285714</v>
      </c>
    </row>
    <row r="17" spans="3:23">
      <c r="C17" s="2916" t="s">
        <v>2840</v>
      </c>
      <c r="D17" s="2916" t="s">
        <v>2837</v>
      </c>
      <c r="E17">
        <v>12</v>
      </c>
    </row>
    <row r="18" spans="3:23">
      <c r="D18" s="2916" t="s">
        <v>2838</v>
      </c>
      <c r="E18">
        <v>6</v>
      </c>
      <c r="F18" s="399">
        <f>E18/E17</f>
        <v>0.5</v>
      </c>
    </row>
    <row r="21" spans="3:23">
      <c r="C21" s="2916" t="s">
        <v>2841</v>
      </c>
      <c r="D21" s="2916" t="s">
        <v>2837</v>
      </c>
      <c r="E21">
        <v>9.8000000000000007</v>
      </c>
    </row>
    <row r="22" spans="3:23">
      <c r="D22" s="2916" t="s">
        <v>2838</v>
      </c>
      <c r="E22">
        <v>6.8</v>
      </c>
      <c r="F22" s="399">
        <f>E22/E21</f>
        <v>0.69387755102040805</v>
      </c>
    </row>
    <row r="23" spans="3:23">
      <c r="D23" s="2916" t="s">
        <v>2842</v>
      </c>
      <c r="E23">
        <v>5.9</v>
      </c>
      <c r="F23" s="399">
        <f>E23/E21</f>
        <v>0.60204081632653061</v>
      </c>
    </row>
    <row r="26" spans="3:23">
      <c r="C26" s="2916" t="s">
        <v>2843</v>
      </c>
      <c r="D26" s="2916" t="s">
        <v>2844</v>
      </c>
      <c r="E26">
        <v>5.94</v>
      </c>
    </row>
    <row r="27" spans="3:23">
      <c r="D27" s="2916" t="s">
        <v>2844</v>
      </c>
      <c r="E27">
        <v>7.7</v>
      </c>
      <c r="J27" s="552"/>
      <c r="K27" s="552"/>
      <c r="L27" s="552"/>
      <c r="M27" s="552"/>
      <c r="N27" s="552"/>
      <c r="O27" s="552"/>
      <c r="P27" s="552"/>
      <c r="Q27" s="2935"/>
      <c r="R27" s="2935"/>
      <c r="S27" s="552"/>
      <c r="T27" s="552"/>
      <c r="U27" s="552"/>
      <c r="V27" s="552"/>
      <c r="W27" s="552"/>
    </row>
    <row r="28" spans="3:23" ht="36">
      <c r="D28" s="2005" t="s">
        <v>2838</v>
      </c>
      <c r="E28" s="2005">
        <f>V28</f>
        <v>3.18</v>
      </c>
      <c r="F28" s="2934">
        <f>E28/E26</f>
        <v>0.53535353535353536</v>
      </c>
      <c r="G28" s="399">
        <f>E29/E26</f>
        <v>0.52356902356902346</v>
      </c>
      <c r="I28" s="2958">
        <f>L28</f>
        <v>1068.29</v>
      </c>
      <c r="J28" s="2940" t="s">
        <v>2846</v>
      </c>
      <c r="K28" s="2941">
        <v>267.11</v>
      </c>
      <c r="L28" s="2942">
        <v>1068.29</v>
      </c>
      <c r="M28" s="2943" t="s">
        <v>2859</v>
      </c>
      <c r="N28" s="2944" t="s">
        <v>2860</v>
      </c>
      <c r="O28" s="2941">
        <v>203</v>
      </c>
      <c r="P28" s="2945">
        <v>44440</v>
      </c>
      <c r="Q28" s="2945">
        <v>45169</v>
      </c>
      <c r="R28" s="2946">
        <v>310087.58</v>
      </c>
      <c r="S28" s="2947" t="s">
        <v>471</v>
      </c>
      <c r="T28" s="2948"/>
      <c r="U28" s="2949"/>
      <c r="V28" s="2949">
        <f t="shared" ref="V28" si="0">ROUND(R28/365/K28,2)</f>
        <v>3.18</v>
      </c>
      <c r="W28" s="552" t="s">
        <v>2848</v>
      </c>
    </row>
    <row r="29" spans="3:23" ht="36">
      <c r="D29" s="2936" t="s">
        <v>2838</v>
      </c>
      <c r="E29" s="2937">
        <f>V29</f>
        <v>3.11</v>
      </c>
      <c r="F29" s="2933">
        <f>E29/E26</f>
        <v>0.52356902356902346</v>
      </c>
      <c r="G29" s="399">
        <f>E29/E27</f>
        <v>0.40389610389610386</v>
      </c>
      <c r="I29" s="2958">
        <f>ROUND(J29+450,2)</f>
        <v>910.67</v>
      </c>
      <c r="J29" s="3376">
        <f>K29+K30</f>
        <v>460.67105263157896</v>
      </c>
      <c r="K29" s="2950">
        <v>256.27631578947398</v>
      </c>
      <c r="L29" s="2951"/>
      <c r="M29" s="2943" t="s">
        <v>2861</v>
      </c>
      <c r="N29" s="2952" t="s">
        <v>2862</v>
      </c>
      <c r="O29" s="2950">
        <v>194.77</v>
      </c>
      <c r="P29" s="2945">
        <v>44173</v>
      </c>
      <c r="Q29" s="2945">
        <v>46029</v>
      </c>
      <c r="R29" s="2946">
        <v>290638.31496063003</v>
      </c>
      <c r="S29" s="2947" t="s">
        <v>471</v>
      </c>
      <c r="T29" s="2948"/>
      <c r="U29" s="2949"/>
      <c r="V29" s="2949">
        <f t="shared" ref="V29:V30" si="1">ROUND(R29/365/K29,2)</f>
        <v>3.11</v>
      </c>
      <c r="W29" s="552" t="s">
        <v>2847</v>
      </c>
    </row>
    <row r="30" spans="3:23" ht="36">
      <c r="J30" s="3377"/>
      <c r="K30" s="2950">
        <v>204.394736842105</v>
      </c>
      <c r="L30" s="2951"/>
      <c r="M30" s="2943" t="s">
        <v>2863</v>
      </c>
      <c r="N30" s="2952" t="s">
        <v>2862</v>
      </c>
      <c r="O30" s="2950">
        <v>155.34</v>
      </c>
      <c r="P30" s="2945">
        <v>44173</v>
      </c>
      <c r="Q30" s="2945">
        <v>46029</v>
      </c>
      <c r="R30" s="2946">
        <v>231800.36023622</v>
      </c>
      <c r="S30" s="2947" t="s">
        <v>471</v>
      </c>
      <c r="T30" s="2948"/>
      <c r="U30" s="2949"/>
      <c r="V30" s="2949">
        <f t="shared" si="1"/>
        <v>3.11</v>
      </c>
    </row>
    <row r="32" spans="3:23">
      <c r="C32" s="2916" t="s">
        <v>2845</v>
      </c>
      <c r="D32" s="2916" t="s">
        <v>2844</v>
      </c>
      <c r="E32">
        <v>5.6</v>
      </c>
    </row>
    <row r="33" spans="4:11">
      <c r="D33" s="2916" t="s">
        <v>2838</v>
      </c>
      <c r="E33">
        <f>2.62*1.05</f>
        <v>2.7510000000000003</v>
      </c>
      <c r="F33" s="399">
        <f>E33/E32</f>
        <v>0.49125000000000008</v>
      </c>
    </row>
    <row r="34" spans="4:11" ht="14.25" thickBot="1"/>
    <row r="35" spans="4:11" ht="24.75" thickBot="1">
      <c r="I35" s="2959" t="s">
        <v>2864</v>
      </c>
      <c r="J35" s="2954" t="s">
        <v>2814</v>
      </c>
      <c r="K35" s="2955" t="s">
        <v>1044</v>
      </c>
    </row>
    <row r="36" spans="4:11" ht="14.25" thickBot="1">
      <c r="I36" s="3378" t="s">
        <v>2865</v>
      </c>
      <c r="J36" s="2956" t="s">
        <v>2866</v>
      </c>
      <c r="K36" s="2925">
        <v>1062.7</v>
      </c>
    </row>
    <row r="37" spans="4:11" ht="14.25" thickBot="1">
      <c r="I37" s="3379"/>
      <c r="J37" s="2956" t="s">
        <v>2867</v>
      </c>
      <c r="K37" s="2925">
        <v>1150.5</v>
      </c>
    </row>
    <row r="38" spans="4:11" ht="14.25" thickBot="1">
      <c r="I38" s="3380"/>
      <c r="J38" s="2956" t="s">
        <v>2868</v>
      </c>
      <c r="K38" s="2925">
        <v>2680.8</v>
      </c>
    </row>
    <row r="39" spans="4:11" ht="14.25" thickBot="1">
      <c r="I39" s="3374" t="s">
        <v>480</v>
      </c>
      <c r="J39" s="3375"/>
      <c r="K39" s="2960">
        <v>4894</v>
      </c>
    </row>
    <row r="40" spans="4:11" ht="14.25" thickBot="1">
      <c r="I40" s="3378" t="s">
        <v>2869</v>
      </c>
      <c r="J40" s="2956" t="s">
        <v>2866</v>
      </c>
      <c r="K40" s="2925">
        <v>543.41999999999996</v>
      </c>
    </row>
    <row r="41" spans="4:11" ht="14.25" thickBot="1">
      <c r="I41" s="3379"/>
      <c r="J41" s="2956" t="s">
        <v>2867</v>
      </c>
      <c r="K41" s="2925">
        <v>2463.41</v>
      </c>
    </row>
    <row r="42" spans="4:11" ht="14.25" thickBot="1">
      <c r="I42" s="3380"/>
      <c r="J42" s="2956" t="s">
        <v>2868</v>
      </c>
      <c r="K42" s="2925">
        <v>461.49</v>
      </c>
    </row>
    <row r="43" spans="4:11" ht="14.25" thickBot="1">
      <c r="I43" s="3374" t="s">
        <v>480</v>
      </c>
      <c r="J43" s="3375"/>
      <c r="K43" s="2957">
        <v>3468.32</v>
      </c>
    </row>
    <row r="54" spans="3:11" ht="14.25" thickBot="1"/>
    <row r="55" spans="3:11" ht="24" thickBot="1">
      <c r="C55" s="2921" t="s">
        <v>1036</v>
      </c>
      <c r="D55" s="2922" t="s">
        <v>2812</v>
      </c>
      <c r="E55" s="2922" t="s">
        <v>2813</v>
      </c>
      <c r="F55" s="2922" t="s">
        <v>1044</v>
      </c>
      <c r="G55" s="2922" t="s">
        <v>2814</v>
      </c>
      <c r="H55" s="2922" t="s">
        <v>2815</v>
      </c>
      <c r="I55" s="2922" t="s">
        <v>2200</v>
      </c>
      <c r="J55" s="2922" t="s">
        <v>2816</v>
      </c>
      <c r="K55" s="2922" t="s">
        <v>2817</v>
      </c>
    </row>
    <row r="56" spans="3:11" ht="14.25" thickBot="1">
      <c r="C56" s="2923">
        <v>1</v>
      </c>
      <c r="D56" s="2924" t="s">
        <v>2881</v>
      </c>
      <c r="E56" s="2924" t="s">
        <v>2818</v>
      </c>
      <c r="F56" s="2925">
        <v>170</v>
      </c>
      <c r="G56" s="2925" t="s">
        <v>2819</v>
      </c>
      <c r="H56" s="2924" t="s">
        <v>1266</v>
      </c>
      <c r="I56" s="2924" t="s">
        <v>2820</v>
      </c>
      <c r="J56" s="2924" t="s">
        <v>2821</v>
      </c>
      <c r="K56" s="2925">
        <v>6</v>
      </c>
    </row>
    <row r="57" spans="3:11" ht="14.25" thickBot="1">
      <c r="C57" s="2923">
        <v>2</v>
      </c>
      <c r="D57" s="2924" t="s">
        <v>2881</v>
      </c>
      <c r="E57" s="2924" t="s">
        <v>2818</v>
      </c>
      <c r="F57" s="2925">
        <v>75</v>
      </c>
      <c r="G57" s="2925" t="s">
        <v>2819</v>
      </c>
      <c r="H57" s="2924" t="s">
        <v>1266</v>
      </c>
      <c r="I57" s="2924" t="s">
        <v>2820</v>
      </c>
      <c r="J57" s="2924" t="s">
        <v>2823</v>
      </c>
      <c r="K57" s="2925">
        <v>8</v>
      </c>
    </row>
    <row r="58" spans="3:11" ht="23.25" thickBot="1">
      <c r="C58" s="2923">
        <v>3</v>
      </c>
      <c r="D58" s="2924" t="s">
        <v>2881</v>
      </c>
      <c r="E58" s="2924" t="s">
        <v>2882</v>
      </c>
      <c r="F58" s="2925">
        <v>985.93</v>
      </c>
      <c r="G58" s="2924" t="s">
        <v>2883</v>
      </c>
      <c r="H58" s="2924" t="s">
        <v>1216</v>
      </c>
      <c r="I58" s="2924" t="s">
        <v>2820</v>
      </c>
      <c r="J58" s="2924" t="s">
        <v>2821</v>
      </c>
      <c r="K58" s="2925">
        <v>3.73</v>
      </c>
    </row>
    <row r="59" spans="3:11" ht="14.25" thickBot="1">
      <c r="C59" s="2923">
        <v>4</v>
      </c>
      <c r="D59" s="2924" t="s">
        <v>2884</v>
      </c>
      <c r="E59" s="2924" t="s">
        <v>2818</v>
      </c>
      <c r="F59" s="2925">
        <v>275</v>
      </c>
      <c r="G59" s="2925" t="s">
        <v>2819</v>
      </c>
      <c r="H59" s="2924" t="s">
        <v>1266</v>
      </c>
      <c r="I59" s="2924" t="s">
        <v>2820</v>
      </c>
      <c r="J59" s="2924" t="s">
        <v>2821</v>
      </c>
      <c r="K59" s="2925">
        <v>5.94</v>
      </c>
    </row>
    <row r="60" spans="3:11" ht="14.25" thickBot="1">
      <c r="C60" s="2923">
        <v>5</v>
      </c>
      <c r="D60" s="2924" t="s">
        <v>2884</v>
      </c>
      <c r="E60" s="2924" t="s">
        <v>2822</v>
      </c>
      <c r="F60" s="2925">
        <v>245</v>
      </c>
      <c r="G60" s="2925" t="s">
        <v>2819</v>
      </c>
      <c r="H60" s="2924" t="s">
        <v>1224</v>
      </c>
      <c r="I60" s="2924" t="s">
        <v>2820</v>
      </c>
      <c r="J60" s="2924" t="s">
        <v>2821</v>
      </c>
      <c r="K60" s="2925">
        <v>7.7</v>
      </c>
    </row>
    <row r="61" spans="3:11" ht="14.25" thickBot="1">
      <c r="C61" s="2923">
        <v>6</v>
      </c>
      <c r="D61" s="2924" t="s">
        <v>2884</v>
      </c>
      <c r="E61" s="2924" t="s">
        <v>2885</v>
      </c>
      <c r="F61" s="2925">
        <v>1068.29</v>
      </c>
      <c r="G61" s="2924" t="s">
        <v>2883</v>
      </c>
      <c r="H61" s="2963" t="s">
        <v>1266</v>
      </c>
      <c r="I61" s="2924" t="s">
        <v>2820</v>
      </c>
      <c r="J61" s="2924" t="s">
        <v>2821</v>
      </c>
      <c r="K61" s="2925">
        <v>3.18</v>
      </c>
    </row>
    <row r="62" spans="3:11" ht="14.25" thickBot="1">
      <c r="C62" s="2923">
        <v>7</v>
      </c>
      <c r="D62" s="2924" t="s">
        <v>2884</v>
      </c>
      <c r="E62" s="2924" t="s">
        <v>2885</v>
      </c>
      <c r="F62" s="2925">
        <v>910.67</v>
      </c>
      <c r="G62" s="2924" t="s">
        <v>2883</v>
      </c>
      <c r="H62" s="2963" t="s">
        <v>1266</v>
      </c>
      <c r="I62" s="2924" t="s">
        <v>2820</v>
      </c>
      <c r="J62" s="2924" t="s">
        <v>2821</v>
      </c>
      <c r="K62" s="2925">
        <v>3.11</v>
      </c>
    </row>
    <row r="63" spans="3:11" ht="14.25" thickBot="1">
      <c r="C63" s="2923">
        <v>8</v>
      </c>
      <c r="D63" s="2924" t="s">
        <v>2886</v>
      </c>
      <c r="E63" s="2924" t="s">
        <v>2818</v>
      </c>
      <c r="F63" s="2925">
        <v>157</v>
      </c>
      <c r="G63" s="2925" t="s">
        <v>2819</v>
      </c>
      <c r="H63" s="2924" t="s">
        <v>1224</v>
      </c>
      <c r="I63" s="2924" t="s">
        <v>2820</v>
      </c>
      <c r="J63" s="2924" t="s">
        <v>2821</v>
      </c>
      <c r="K63" s="2925">
        <v>5.6</v>
      </c>
    </row>
    <row r="64" spans="3:11" ht="14.25" thickBot="1">
      <c r="C64" s="2923">
        <v>9</v>
      </c>
      <c r="D64" s="2924" t="s">
        <v>2886</v>
      </c>
      <c r="E64" s="2924" t="s">
        <v>2885</v>
      </c>
      <c r="F64" s="2925">
        <v>80</v>
      </c>
      <c r="G64" s="2924" t="s">
        <v>2883</v>
      </c>
      <c r="H64" s="2924" t="s">
        <v>1224</v>
      </c>
      <c r="I64" s="2924" t="s">
        <v>2820</v>
      </c>
      <c r="J64" s="2924" t="s">
        <v>2821</v>
      </c>
      <c r="K64" s="2925">
        <v>2.75</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184" t="s">
        <v>587</v>
      </c>
      <c r="B1" s="3184"/>
      <c r="C1" s="3184"/>
      <c r="D1" s="3184"/>
      <c r="E1" s="3184"/>
      <c r="F1" s="3184"/>
      <c r="G1" s="3184"/>
      <c r="H1" s="3184"/>
      <c r="I1" s="3184"/>
      <c r="K1" s="3205" t="s">
        <v>1034</v>
      </c>
      <c r="L1" s="557" t="s">
        <v>1035</v>
      </c>
      <c r="M1" s="558">
        <v>0</v>
      </c>
      <c r="N1" s="310"/>
      <c r="O1" s="310"/>
    </row>
    <row r="2" spans="1:16" ht="15.75" customHeight="1">
      <c r="A2" s="525" t="s">
        <v>1036</v>
      </c>
      <c r="B2" s="526" t="s">
        <v>918</v>
      </c>
      <c r="C2" s="3185" t="s">
        <v>1037</v>
      </c>
      <c r="D2" s="3186"/>
      <c r="E2" s="3186"/>
      <c r="F2" s="3187"/>
      <c r="G2" s="529" t="s">
        <v>1038</v>
      </c>
      <c r="H2" s="3188" t="s">
        <v>1039</v>
      </c>
      <c r="I2" s="3188"/>
      <c r="K2" s="3205"/>
      <c r="L2" s="557" t="s">
        <v>1040</v>
      </c>
      <c r="M2" s="559" t="s">
        <v>2318</v>
      </c>
      <c r="N2" s="560"/>
      <c r="O2" s="560"/>
    </row>
    <row r="3" spans="1:16">
      <c r="A3" s="529" t="s">
        <v>1042</v>
      </c>
      <c r="B3" s="530" t="s">
        <v>322</v>
      </c>
      <c r="C3" s="3381">
        <v>40000</v>
      </c>
      <c r="D3" s="3382"/>
      <c r="E3" s="3382"/>
      <c r="F3" s="3383"/>
      <c r="G3" s="529" t="s">
        <v>1043</v>
      </c>
      <c r="H3" s="530" t="s">
        <v>1044</v>
      </c>
      <c r="I3" s="561">
        <f>1</f>
        <v>1</v>
      </c>
      <c r="K3" s="3205"/>
      <c r="L3" s="557" t="s">
        <v>1045</v>
      </c>
      <c r="M3" s="559" t="s">
        <v>1046</v>
      </c>
      <c r="N3" s="560"/>
      <c r="O3" s="560"/>
    </row>
    <row r="4" spans="1:16">
      <c r="A4" s="3188" t="s">
        <v>1047</v>
      </c>
      <c r="B4" s="3201" t="s">
        <v>1048</v>
      </c>
      <c r="C4" s="3213">
        <f>ROUND(C3*(I4-I6)/(1-((1+I6)/(1+I4))^I5),0)</f>
        <v>2037</v>
      </c>
      <c r="D4" s="3214"/>
      <c r="E4" s="3214"/>
      <c r="F4" s="3215"/>
      <c r="G4" s="3188" t="s">
        <v>1049</v>
      </c>
      <c r="H4" s="531" t="s">
        <v>1050</v>
      </c>
      <c r="I4" s="532">
        <v>0.06</v>
      </c>
      <c r="K4" s="3205"/>
      <c r="L4" s="557" t="s">
        <v>1051</v>
      </c>
      <c r="M4" s="562">
        <f>ROUND(1-(1-M1)*M2/M3,2)</f>
        <v>0.55000000000000004</v>
      </c>
      <c r="N4" s="560"/>
      <c r="O4" s="560"/>
    </row>
    <row r="5" spans="1:16" s="522" customFormat="1" ht="18" customHeight="1">
      <c r="A5" s="3188"/>
      <c r="B5" s="3201"/>
      <c r="C5" s="3216"/>
      <c r="D5" s="3217"/>
      <c r="E5" s="3217"/>
      <c r="F5" s="3218"/>
      <c r="G5" s="3188"/>
      <c r="H5" s="530" t="s">
        <v>1052</v>
      </c>
      <c r="I5" s="563">
        <v>40</v>
      </c>
      <c r="J5" s="564"/>
      <c r="K5" s="3205"/>
      <c r="L5" s="557" t="s">
        <v>1053</v>
      </c>
      <c r="M5" s="565">
        <v>0.5</v>
      </c>
      <c r="N5" s="560"/>
      <c r="O5" s="560"/>
    </row>
    <row r="6" spans="1:16" s="522" customFormat="1" ht="18" customHeight="1">
      <c r="A6" s="3188"/>
      <c r="B6" s="3201"/>
      <c r="C6" s="3219"/>
      <c r="D6" s="3220"/>
      <c r="E6" s="3220"/>
      <c r="F6" s="3221"/>
      <c r="G6" s="3188"/>
      <c r="H6" s="530" t="s">
        <v>1054</v>
      </c>
      <c r="I6" s="532">
        <v>0.02</v>
      </c>
      <c r="J6" s="566"/>
      <c r="K6" s="3206" t="s">
        <v>1055</v>
      </c>
      <c r="L6" s="567" t="s">
        <v>691</v>
      </c>
      <c r="M6" s="568" t="s">
        <v>1056</v>
      </c>
      <c r="N6" s="568" t="s">
        <v>1057</v>
      </c>
      <c r="O6" s="568" t="s">
        <v>1058</v>
      </c>
      <c r="P6" s="568" t="s">
        <v>1053</v>
      </c>
    </row>
    <row r="7" spans="1:16" s="522" customFormat="1" ht="17.25" customHeight="1">
      <c r="A7" s="529" t="s">
        <v>1059</v>
      </c>
      <c r="B7" s="530" t="s">
        <v>1060</v>
      </c>
      <c r="C7" s="3185">
        <f>ROUND(C23*I7,0)</f>
        <v>3683</v>
      </c>
      <c r="D7" s="3186"/>
      <c r="E7" s="3186"/>
      <c r="F7" s="3187"/>
      <c r="G7" s="529" t="s">
        <v>1061</v>
      </c>
      <c r="H7" s="530" t="s">
        <v>1062</v>
      </c>
      <c r="I7" s="569">
        <v>0.8</v>
      </c>
      <c r="K7" s="3206"/>
      <c r="L7" s="567" t="s">
        <v>1063</v>
      </c>
      <c r="M7" s="568">
        <v>100</v>
      </c>
      <c r="N7" s="568" t="s">
        <v>1064</v>
      </c>
      <c r="O7" s="568">
        <v>80</v>
      </c>
      <c r="P7" s="570">
        <v>0.3</v>
      </c>
    </row>
    <row r="8" spans="1:16" s="522" customFormat="1" ht="18" customHeight="1">
      <c r="A8" s="525" t="s">
        <v>1065</v>
      </c>
      <c r="B8" s="530" t="s">
        <v>1066</v>
      </c>
      <c r="C8" s="3185">
        <f>ROUND(I8*I3,0)</f>
        <v>3000</v>
      </c>
      <c r="D8" s="3186"/>
      <c r="E8" s="3186"/>
      <c r="F8" s="3187"/>
      <c r="G8" s="529" t="s">
        <v>1067</v>
      </c>
      <c r="H8" s="530" t="s">
        <v>1068</v>
      </c>
      <c r="I8" s="529">
        <v>3000</v>
      </c>
      <c r="J8" s="571">
        <f t="shared" ref="J8:J10" si="0">D36</f>
        <v>9.33</v>
      </c>
      <c r="K8" s="3206"/>
      <c r="L8" s="567" t="s">
        <v>1069</v>
      </c>
      <c r="M8" s="568">
        <v>100</v>
      </c>
      <c r="N8" s="568" t="s">
        <v>1064</v>
      </c>
      <c r="O8" s="568">
        <v>80</v>
      </c>
      <c r="P8" s="570">
        <v>0.5</v>
      </c>
    </row>
    <row r="9" spans="1:16" s="522" customFormat="1" ht="18" customHeight="1">
      <c r="A9" s="525" t="s">
        <v>1070</v>
      </c>
      <c r="B9" s="530" t="s">
        <v>1071</v>
      </c>
      <c r="C9" s="3185">
        <f>ROUND(C8*H9,0)</f>
        <v>90</v>
      </c>
      <c r="D9" s="3186"/>
      <c r="E9" s="3186"/>
      <c r="F9" s="3187"/>
      <c r="G9" s="529" t="s">
        <v>1072</v>
      </c>
      <c r="H9" s="3189">
        <v>0.03</v>
      </c>
      <c r="I9" s="3189"/>
      <c r="J9" s="571">
        <f t="shared" si="0"/>
        <v>8.56</v>
      </c>
      <c r="K9" s="3206"/>
      <c r="L9" s="567" t="s">
        <v>1073</v>
      </c>
      <c r="M9" s="568">
        <v>100</v>
      </c>
      <c r="N9" s="568" t="s">
        <v>1064</v>
      </c>
      <c r="O9" s="568">
        <v>80</v>
      </c>
      <c r="P9" s="570">
        <f>1-P7-P8</f>
        <v>0.19999999999999996</v>
      </c>
    </row>
    <row r="10" spans="1:16" s="522" customFormat="1" ht="18" customHeight="1">
      <c r="A10" s="525" t="s">
        <v>1074</v>
      </c>
      <c r="B10" s="530" t="s">
        <v>1075</v>
      </c>
      <c r="C10" s="3185">
        <f>ROUND(C8*H10,0)</f>
        <v>0</v>
      </c>
      <c r="D10" s="3186"/>
      <c r="E10" s="3186"/>
      <c r="F10" s="3187"/>
      <c r="G10" s="529" t="s">
        <v>1072</v>
      </c>
      <c r="H10" s="3189">
        <v>0</v>
      </c>
      <c r="I10" s="3189"/>
      <c r="J10" s="571">
        <f t="shared" si="0"/>
        <v>8.9</v>
      </c>
      <c r="K10" s="3206"/>
      <c r="L10" s="572" t="s">
        <v>1053</v>
      </c>
      <c r="M10" s="573">
        <f>1-M5</f>
        <v>0.5</v>
      </c>
      <c r="N10" s="568" t="s">
        <v>1051</v>
      </c>
      <c r="O10" s="574">
        <f>ROUND((O7*P7+O8*P8+O9*P9)/100,2)</f>
        <v>0.8</v>
      </c>
      <c r="P10" s="575"/>
    </row>
    <row r="11" spans="1:16" s="522" customFormat="1" ht="29.25" customHeight="1">
      <c r="A11" s="525" t="s">
        <v>1076</v>
      </c>
      <c r="B11" s="530" t="s">
        <v>1077</v>
      </c>
      <c r="C11" s="3185">
        <f>ROUND(I11*I3,0)</f>
        <v>200</v>
      </c>
      <c r="D11" s="3186"/>
      <c r="E11" s="3186"/>
      <c r="F11" s="3187"/>
      <c r="G11" s="529" t="s">
        <v>1078</v>
      </c>
      <c r="H11" s="530" t="s">
        <v>1079</v>
      </c>
      <c r="I11" s="529">
        <v>200</v>
      </c>
      <c r="J11" s="564"/>
      <c r="K11"/>
      <c r="L11"/>
    </row>
    <row r="12" spans="1:16" s="522" customFormat="1" ht="18" customHeight="1">
      <c r="A12" s="525" t="s">
        <v>1080</v>
      </c>
      <c r="B12" s="530" t="s">
        <v>1081</v>
      </c>
      <c r="C12" s="3185">
        <f>ROUND(C8*H12,0)</f>
        <v>45</v>
      </c>
      <c r="D12" s="3186"/>
      <c r="E12" s="3186"/>
      <c r="F12" s="3187"/>
      <c r="G12" s="529" t="s">
        <v>1072</v>
      </c>
      <c r="H12" s="3189">
        <v>1.4999999999999999E-2</v>
      </c>
      <c r="I12" s="3189"/>
      <c r="J12" s="576" t="s">
        <v>1082</v>
      </c>
      <c r="L12" s="577"/>
    </row>
    <row r="13" spans="1:16" s="522" customFormat="1" ht="18" customHeight="1">
      <c r="A13" s="525" t="s">
        <v>1083</v>
      </c>
      <c r="B13" s="530" t="s">
        <v>1084</v>
      </c>
      <c r="C13" s="3185">
        <f>SUM(C8:F12)</f>
        <v>3335</v>
      </c>
      <c r="D13" s="3186"/>
      <c r="E13" s="3186"/>
      <c r="F13" s="3187"/>
      <c r="G13" s="3188" t="s">
        <v>1085</v>
      </c>
      <c r="H13" s="3188"/>
      <c r="I13" s="3188"/>
      <c r="J13" s="576" t="s">
        <v>1086</v>
      </c>
      <c r="L13" s="577"/>
    </row>
    <row r="14" spans="1:16" s="522" customFormat="1" ht="18" customHeight="1">
      <c r="A14" s="525" t="s">
        <v>988</v>
      </c>
      <c r="B14" s="530" t="s">
        <v>1087</v>
      </c>
      <c r="C14" s="3185">
        <f>ROUND(C13*H14,0)</f>
        <v>67</v>
      </c>
      <c r="D14" s="3186"/>
      <c r="E14" s="3186"/>
      <c r="F14" s="3187"/>
      <c r="G14" s="529" t="s">
        <v>1088</v>
      </c>
      <c r="H14" s="3384">
        <v>0.02</v>
      </c>
      <c r="I14" s="3384"/>
      <c r="J14" s="564"/>
      <c r="L14" s="577"/>
    </row>
    <row r="15" spans="1:16" s="522" customFormat="1" ht="18" customHeight="1">
      <c r="A15" s="525" t="s">
        <v>1089</v>
      </c>
      <c r="B15" s="530" t="s">
        <v>1090</v>
      </c>
      <c r="C15" s="3190">
        <f>H15</f>
        <v>0.02</v>
      </c>
      <c r="D15" s="3191"/>
      <c r="E15" s="3192" t="str">
        <f>E18</f>
        <v>V</v>
      </c>
      <c r="F15" s="3193"/>
      <c r="G15" s="529" t="s">
        <v>1091</v>
      </c>
      <c r="H15" s="3384">
        <v>0.02</v>
      </c>
      <c r="I15" s="3384"/>
      <c r="J15" s="578"/>
      <c r="K15" s="579"/>
    </row>
    <row r="16" spans="1:16" s="522" customFormat="1" ht="18" customHeight="1">
      <c r="A16" s="535" t="s">
        <v>1092</v>
      </c>
      <c r="B16" s="536" t="s">
        <v>1093</v>
      </c>
      <c r="C16" s="527">
        <f>C17</f>
        <v>162</v>
      </c>
      <c r="D16" s="528" t="s">
        <v>1094</v>
      </c>
      <c r="E16" s="537">
        <f>C18</f>
        <v>9.5E-4</v>
      </c>
      <c r="F16" s="534" t="str">
        <f>E18</f>
        <v>V</v>
      </c>
      <c r="G16" s="3185" t="s">
        <v>1095</v>
      </c>
      <c r="H16" s="3186"/>
      <c r="I16" s="3187"/>
      <c r="J16" s="564"/>
      <c r="K16"/>
    </row>
    <row r="17" spans="1:19" s="522" customFormat="1" ht="18" customHeight="1">
      <c r="A17" s="525" t="s">
        <v>1096</v>
      </c>
      <c r="B17" s="530" t="s">
        <v>1097</v>
      </c>
      <c r="C17" s="3185">
        <f>ROUND((C13+C14)*I18*(I17/2),0)</f>
        <v>162</v>
      </c>
      <c r="D17" s="3186"/>
      <c r="E17" s="3186"/>
      <c r="F17" s="3187"/>
      <c r="G17" s="527" t="s">
        <v>1098</v>
      </c>
      <c r="H17" s="530" t="s">
        <v>1099</v>
      </c>
      <c r="I17" s="580">
        <v>2</v>
      </c>
      <c r="J17" s="576" t="s">
        <v>1100</v>
      </c>
      <c r="K17"/>
      <c r="L17"/>
    </row>
    <row r="18" spans="1:19" s="522" customFormat="1" ht="18" customHeight="1">
      <c r="A18" s="525" t="s">
        <v>1101</v>
      </c>
      <c r="B18" s="530" t="s">
        <v>1102</v>
      </c>
      <c r="C18" s="3222">
        <f>H15*I18*I17/2</f>
        <v>9.5E-4</v>
      </c>
      <c r="D18" s="3223"/>
      <c r="E18" s="3192" t="s">
        <v>1103</v>
      </c>
      <c r="F18" s="3193"/>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185" t="s">
        <v>1109</v>
      </c>
      <c r="H19" s="3186"/>
      <c r="I19" s="3187"/>
      <c r="J19" s="564"/>
      <c r="K19"/>
      <c r="L19"/>
    </row>
    <row r="20" spans="1:19" s="522" customFormat="1" ht="26.25" customHeight="1">
      <c r="A20" s="525" t="s">
        <v>1110</v>
      </c>
      <c r="B20" s="530" t="s">
        <v>1111</v>
      </c>
      <c r="C20" s="3185">
        <f>ROUND((C13+C14)*I20,0)</f>
        <v>680</v>
      </c>
      <c r="D20" s="3186"/>
      <c r="E20" s="3186"/>
      <c r="F20" s="3187"/>
      <c r="G20" s="529" t="s">
        <v>1112</v>
      </c>
      <c r="H20" s="3202" t="s">
        <v>1113</v>
      </c>
      <c r="I20" s="3204">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190">
        <f>H15*I20</f>
        <v>4.0000000000000001E-3</v>
      </c>
      <c r="D21" s="3191"/>
      <c r="E21" s="3192" t="s">
        <v>1103</v>
      </c>
      <c r="F21" s="3193"/>
      <c r="G21" s="529" t="s">
        <v>1116</v>
      </c>
      <c r="H21" s="3203"/>
      <c r="I21" s="3204"/>
      <c r="J21" s="564"/>
      <c r="K21"/>
      <c r="L21"/>
    </row>
    <row r="22" spans="1:19"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9" s="522" customFormat="1" ht="18" customHeight="1">
      <c r="A23" s="525" t="s">
        <v>1120</v>
      </c>
      <c r="B23" s="530" t="s">
        <v>1121</v>
      </c>
      <c r="C23" s="3185">
        <f>ROUND((C13+C14+C17+C20)/(1-H15-C18-C21-C22),0)</f>
        <v>4604</v>
      </c>
      <c r="D23" s="3186"/>
      <c r="E23" s="3186"/>
      <c r="F23" s="3187"/>
      <c r="G23" s="3185" t="s">
        <v>1122</v>
      </c>
      <c r="H23" s="3186"/>
      <c r="I23" s="3187"/>
      <c r="J23" s="583"/>
      <c r="K23"/>
      <c r="L23"/>
    </row>
    <row r="24" spans="1:19" s="522" customFormat="1" ht="18" customHeight="1">
      <c r="A24" s="525" t="s">
        <v>1123</v>
      </c>
      <c r="B24" s="530" t="s">
        <v>1124</v>
      </c>
      <c r="C24" s="533">
        <f>C27+C28</f>
        <v>99</v>
      </c>
      <c r="D24" s="538" t="s">
        <v>1125</v>
      </c>
      <c r="E24" s="3387">
        <f>H29+E26+H25</f>
        <v>0.19599999999999998</v>
      </c>
      <c r="F24" s="3199"/>
      <c r="G24" s="3188" t="s">
        <v>1126</v>
      </c>
      <c r="H24" s="3188"/>
      <c r="I24" s="3188"/>
      <c r="J24" s="583"/>
      <c r="K24"/>
      <c r="L24"/>
    </row>
    <row r="25" spans="1:19" s="522" customFormat="1" ht="18" customHeight="1">
      <c r="A25" s="525" t="s">
        <v>1083</v>
      </c>
      <c r="B25" s="530" t="s">
        <v>1127</v>
      </c>
      <c r="C25" s="3190" t="s">
        <v>1128</v>
      </c>
      <c r="D25" s="3191"/>
      <c r="E25" s="3398">
        <f>ROUND(H25/1.05,4)</f>
        <v>5.33E-2</v>
      </c>
      <c r="F25" s="3399"/>
      <c r="G25" s="529" t="s">
        <v>1129</v>
      </c>
      <c r="H25" s="3200">
        <v>5.6000000000000001E-2</v>
      </c>
      <c r="I25" s="3200"/>
      <c r="J25" s="578"/>
      <c r="K25"/>
      <c r="L25"/>
    </row>
    <row r="26" spans="1:19" s="522" customFormat="1" ht="18" customHeight="1">
      <c r="A26" s="525" t="s">
        <v>988</v>
      </c>
      <c r="B26" s="530" t="s">
        <v>2319</v>
      </c>
      <c r="C26" s="3190" t="s">
        <v>1128</v>
      </c>
      <c r="D26" s="3191"/>
      <c r="E26" s="3198">
        <v>0.12</v>
      </c>
      <c r="F26" s="3199"/>
      <c r="G26" s="529"/>
      <c r="H26" s="3385">
        <v>0.12</v>
      </c>
      <c r="I26" s="3386"/>
      <c r="J26" s="584"/>
      <c r="K26"/>
      <c r="L26"/>
    </row>
    <row r="27" spans="1:19" s="522" customFormat="1" ht="18" customHeight="1">
      <c r="A27" s="525" t="s">
        <v>1089</v>
      </c>
      <c r="B27" s="530" t="s">
        <v>1130</v>
      </c>
      <c r="C27" s="3185">
        <f>ROUND(C23*H27,0)</f>
        <v>92</v>
      </c>
      <c r="D27" s="3186"/>
      <c r="E27" s="3186"/>
      <c r="F27" s="3187"/>
      <c r="G27" s="529" t="s">
        <v>1131</v>
      </c>
      <c r="H27" s="3388">
        <v>0.02</v>
      </c>
      <c r="I27" s="3388"/>
      <c r="J27" s="585" t="s">
        <v>1138</v>
      </c>
      <c r="K27"/>
      <c r="L27"/>
    </row>
    <row r="28" spans="1:19" s="522" customFormat="1" ht="18" customHeight="1">
      <c r="A28" s="525" t="s">
        <v>1092</v>
      </c>
      <c r="B28" s="530" t="s">
        <v>1132</v>
      </c>
      <c r="C28" s="3185">
        <f>ROUND(C7*H28,0)</f>
        <v>7</v>
      </c>
      <c r="D28" s="3186"/>
      <c r="E28" s="3186"/>
      <c r="F28" s="3187"/>
      <c r="G28" s="529" t="s">
        <v>1133</v>
      </c>
      <c r="H28" s="3389">
        <v>2E-3</v>
      </c>
      <c r="I28" s="3389"/>
      <c r="J28" s="586"/>
      <c r="K28"/>
      <c r="L28"/>
    </row>
    <row r="29" spans="1:19" s="522" customFormat="1" ht="18" customHeight="1">
      <c r="A29" s="525" t="s">
        <v>1107</v>
      </c>
      <c r="B29" s="530" t="s">
        <v>1087</v>
      </c>
      <c r="C29" s="3190" t="s">
        <v>1128</v>
      </c>
      <c r="D29" s="3191"/>
      <c r="E29" s="3198">
        <f>H29</f>
        <v>0.02</v>
      </c>
      <c r="F29" s="3199"/>
      <c r="G29" s="529" t="s">
        <v>1134</v>
      </c>
      <c r="H29" s="3388">
        <v>0.02</v>
      </c>
      <c r="I29" s="3388"/>
      <c r="J29" s="587"/>
      <c r="K29"/>
      <c r="L29"/>
    </row>
    <row r="30" spans="1:19" s="522" customFormat="1" ht="18" customHeight="1">
      <c r="A30" s="529" t="s">
        <v>1135</v>
      </c>
      <c r="B30" s="530" t="s">
        <v>1136</v>
      </c>
      <c r="C30" s="3185">
        <f>ROUND((C4+C24)/(1-E24),0)</f>
        <v>2657</v>
      </c>
      <c r="D30" s="3186"/>
      <c r="E30" s="3186"/>
      <c r="F30" s="3187"/>
      <c r="G30" s="3188" t="s">
        <v>1137</v>
      </c>
      <c r="H30" s="3188"/>
      <c r="I30" s="3188"/>
      <c r="J30" s="564"/>
      <c r="K30"/>
      <c r="L30"/>
    </row>
    <row r="31" spans="1:19" s="522" customFormat="1" ht="18" customHeight="1">
      <c r="A31" s="3188" t="s">
        <v>1139</v>
      </c>
      <c r="B31" s="3201" t="s">
        <v>1140</v>
      </c>
      <c r="C31" s="3391">
        <f>ROUND(C30/I31/I32/I3,2)</f>
        <v>8.56</v>
      </c>
      <c r="D31" s="3392"/>
      <c r="E31" s="3392"/>
      <c r="F31" s="3393"/>
      <c r="G31" s="3188" t="s">
        <v>1141</v>
      </c>
      <c r="H31" s="530" t="s">
        <v>1142</v>
      </c>
      <c r="I31" s="529">
        <v>365</v>
      </c>
      <c r="J31" s="564"/>
      <c r="K31"/>
      <c r="L31"/>
    </row>
    <row r="32" spans="1:19" s="522" customFormat="1" ht="18" customHeight="1">
      <c r="A32" s="3188"/>
      <c r="B32" s="3201"/>
      <c r="C32" s="3394"/>
      <c r="D32" s="3395"/>
      <c r="E32" s="3395"/>
      <c r="F32" s="3396"/>
      <c r="G32" s="3188"/>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194" t="s">
        <v>1144</v>
      </c>
      <c r="C34" s="3194"/>
      <c r="D34" s="3194"/>
      <c r="E34" s="3194"/>
      <c r="F34" s="3194"/>
      <c r="G34" s="540"/>
      <c r="H34" s="541"/>
      <c r="I34" s="513"/>
      <c r="J34" s="588">
        <f>C31*0.5</f>
        <v>4.28</v>
      </c>
      <c r="K34" s="513"/>
      <c r="L34" s="513"/>
      <c r="M34" s="513"/>
    </row>
    <row r="35" spans="1:13" s="522" customFormat="1" ht="18" customHeight="1">
      <c r="A35" s="513"/>
      <c r="B35" s="542" t="s">
        <v>1145</v>
      </c>
      <c r="C35" s="542" t="s">
        <v>1053</v>
      </c>
      <c r="D35" s="3195" t="s">
        <v>1146</v>
      </c>
      <c r="E35" s="3195"/>
      <c r="F35" s="3195"/>
      <c r="G35" s="540"/>
      <c r="H35" s="543" t="s">
        <v>2320</v>
      </c>
      <c r="I35" s="589"/>
      <c r="J35" s="588">
        <f>C31*0.4</f>
        <v>3.4240000000000004</v>
      </c>
      <c r="K35" s="513"/>
      <c r="L35" s="513"/>
      <c r="M35" s="513"/>
    </row>
    <row r="36" spans="1:13">
      <c r="B36" s="542" t="s">
        <v>1147</v>
      </c>
      <c r="C36" s="544">
        <v>0.5</v>
      </c>
      <c r="D36" s="3196">
        <f>[4]比较法—租金!N39</f>
        <v>9.33</v>
      </c>
      <c r="E36" s="3196"/>
      <c r="F36" s="3196"/>
      <c r="G36" s="540">
        <f>(D36-D37)/D37</f>
        <v>8.9953271028037324E-2</v>
      </c>
      <c r="H36" s="543" t="s">
        <v>2321</v>
      </c>
      <c r="I36" s="590"/>
      <c r="J36" s="513"/>
      <c r="K36" s="513"/>
      <c r="L36" s="513"/>
    </row>
    <row r="37" spans="1:13" ht="20.100000000000001" customHeight="1">
      <c r="B37" s="542" t="s">
        <v>587</v>
      </c>
      <c r="C37" s="544">
        <f>1-C36</f>
        <v>0.5</v>
      </c>
      <c r="D37" s="3196">
        <f>C31</f>
        <v>8.56</v>
      </c>
      <c r="E37" s="3196"/>
      <c r="F37" s="3196"/>
      <c r="G37" s="540"/>
      <c r="H37" s="541"/>
      <c r="J37" s="513"/>
      <c r="K37" s="513"/>
      <c r="L37" s="513"/>
    </row>
    <row r="38" spans="1:13" ht="22.5" customHeight="1">
      <c r="B38" s="3195" t="s">
        <v>1148</v>
      </c>
      <c r="C38" s="3195"/>
      <c r="D38" s="3397">
        <f>ROUND(C36*D36+C37*D37,1)</f>
        <v>8.9</v>
      </c>
      <c r="E38" s="3397"/>
      <c r="F38" s="3397"/>
      <c r="G38" s="540"/>
      <c r="H38" s="541"/>
      <c r="J38" s="513"/>
    </row>
    <row r="39" spans="1:13" ht="22.5" customHeight="1">
      <c r="B39" s="542" t="s">
        <v>1149</v>
      </c>
      <c r="C39" s="542">
        <f>ROUND(D38*0.9,1)</f>
        <v>8</v>
      </c>
      <c r="D39" s="545" t="s">
        <v>1150</v>
      </c>
      <c r="E39" s="3397">
        <f>ROUND(D38*1.1,1)</f>
        <v>9.8000000000000007</v>
      </c>
      <c r="F39" s="3397"/>
      <c r="G39" s="540" t="s">
        <v>1151</v>
      </c>
      <c r="H39" s="546">
        <v>11.48</v>
      </c>
      <c r="J39" s="513"/>
    </row>
    <row r="40" spans="1:13" ht="18" customHeight="1">
      <c r="B40" s="542" t="s">
        <v>1152</v>
      </c>
      <c r="C40" s="542">
        <f>ROUND(C39+H40,1)</f>
        <v>8</v>
      </c>
      <c r="D40" s="545" t="s">
        <v>1150</v>
      </c>
      <c r="E40" s="3397">
        <f>ROUND(E39+H40,1)</f>
        <v>9.8000000000000007</v>
      </c>
      <c r="F40" s="3397"/>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90" t="s">
        <v>2322</v>
      </c>
      <c r="C44" s="3390"/>
      <c r="D44" s="3390"/>
      <c r="E44" s="551"/>
      <c r="F44" s="552" t="s">
        <v>2323</v>
      </c>
      <c r="G44" s="553"/>
    </row>
    <row r="45" spans="1:13">
      <c r="B45" s="554" t="s">
        <v>2324</v>
      </c>
      <c r="C45" s="550" t="s">
        <v>2325</v>
      </c>
      <c r="D45" s="550" t="s">
        <v>2326</v>
      </c>
      <c r="E45" s="551" t="s">
        <v>2327</v>
      </c>
      <c r="F45" s="552"/>
      <c r="G45" s="553"/>
    </row>
    <row r="46" spans="1:13">
      <c r="B46" s="550">
        <v>1</v>
      </c>
      <c r="C46" s="550">
        <v>1</v>
      </c>
      <c r="D46" s="550">
        <v>1</v>
      </c>
      <c r="E46" s="551">
        <v>0</v>
      </c>
      <c r="F46" s="550">
        <f>F47*B46*C46*D46-F47*E46</f>
        <v>45000</v>
      </c>
      <c r="G46" s="553" t="s">
        <v>2328</v>
      </c>
    </row>
    <row r="47" spans="1:13">
      <c r="B47" s="553"/>
      <c r="C47" s="553"/>
      <c r="D47" s="553"/>
      <c r="E47" s="555"/>
      <c r="F47" s="550">
        <v>45000</v>
      </c>
      <c r="G47" s="556"/>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2329</v>
      </c>
      <c r="B1" s="438"/>
      <c r="C1" s="439"/>
      <c r="D1" s="439"/>
      <c r="E1" s="439"/>
      <c r="F1" s="439"/>
      <c r="G1" s="440"/>
    </row>
    <row r="2" spans="1:7" s="430" customFormat="1" ht="18" customHeight="1">
      <c r="A2" s="441" t="s">
        <v>2330</v>
      </c>
      <c r="B2" s="442">
        <f ca="1">C52</f>
        <v>30410</v>
      </c>
      <c r="C2" s="443" t="s">
        <v>2331</v>
      </c>
      <c r="D2" s="440"/>
      <c r="E2" s="440"/>
      <c r="F2" s="440"/>
      <c r="G2" s="440"/>
    </row>
    <row r="3" spans="1:7" s="430" customFormat="1" ht="18" customHeight="1">
      <c r="A3" s="444" t="s">
        <v>2332</v>
      </c>
      <c r="B3" s="445">
        <f ca="1">ROUND(B2*10000/'数据-汇总表'!E3,0)</f>
        <v>165536</v>
      </c>
      <c r="C3" s="443" t="s">
        <v>2328</v>
      </c>
      <c r="D3" s="440"/>
      <c r="E3" s="440"/>
      <c r="F3" s="440"/>
      <c r="G3" s="440"/>
    </row>
    <row r="4" spans="1:7" s="431" customFormat="1" ht="15.75">
      <c r="A4" s="446" t="s">
        <v>2333</v>
      </c>
      <c r="B4" s="447"/>
      <c r="C4" s="447"/>
      <c r="D4" s="447"/>
      <c r="E4" s="447"/>
      <c r="F4" s="447"/>
      <c r="G4" s="448"/>
    </row>
    <row r="5" spans="1:7" s="432" customFormat="1" ht="13.5" customHeight="1">
      <c r="A5" s="449" t="s">
        <v>1657</v>
      </c>
      <c r="B5" s="450" t="s">
        <v>2334</v>
      </c>
      <c r="C5" s="451">
        <f>C6+C7+C8</f>
        <v>20610</v>
      </c>
      <c r="D5" s="451" t="s">
        <v>2335</v>
      </c>
      <c r="E5" s="452" t="s">
        <v>2336</v>
      </c>
      <c r="F5" s="452" t="s">
        <v>2337</v>
      </c>
      <c r="G5" s="453"/>
    </row>
    <row r="6" spans="1:7" s="432" customFormat="1" ht="13.5" customHeight="1">
      <c r="A6" s="454" t="s">
        <v>1661</v>
      </c>
      <c r="B6" s="455" t="s">
        <v>2338</v>
      </c>
      <c r="C6" s="456">
        <v>20000</v>
      </c>
      <c r="D6" s="457"/>
      <c r="E6" s="458"/>
      <c r="F6" s="458"/>
      <c r="G6" s="459"/>
    </row>
    <row r="7" spans="1:7" s="432" customFormat="1" ht="13.5" customHeight="1">
      <c r="A7" s="454" t="s">
        <v>1663</v>
      </c>
      <c r="B7" s="455" t="s">
        <v>2339</v>
      </c>
      <c r="C7" s="460">
        <f>ROUND(C6*F7,0)</f>
        <v>610</v>
      </c>
      <c r="D7" s="460"/>
      <c r="E7" s="458"/>
      <c r="F7" s="461">
        <f>'数据-取费表'!B48+'数据-取费表'!B49</f>
        <v>3.0499999999999999E-2</v>
      </c>
      <c r="G7" s="459"/>
    </row>
    <row r="8" spans="1:7" s="433" customFormat="1">
      <c r="A8" s="454" t="s">
        <v>1665</v>
      </c>
      <c r="B8" s="455" t="s">
        <v>2340</v>
      </c>
      <c r="C8" s="460" t="str">
        <f>IF(G8="已包含在土地购买价格中","0",'数据-取费表'!B29)</f>
        <v>0</v>
      </c>
      <c r="D8" s="462"/>
      <c r="E8" s="460"/>
      <c r="F8" s="461"/>
      <c r="G8" s="463" t="s">
        <v>2341</v>
      </c>
    </row>
    <row r="9" spans="1:7" s="432" customFormat="1" ht="13.5" customHeight="1">
      <c r="A9" s="464" t="s">
        <v>1285</v>
      </c>
      <c r="B9" s="465" t="s">
        <v>2342</v>
      </c>
      <c r="C9" s="466">
        <f>ROUND(D9*E9/10000,0)</f>
        <v>0</v>
      </c>
      <c r="D9" s="467">
        <f>'数据-汇总表'!E5</f>
        <v>0</v>
      </c>
      <c r="E9" s="466">
        <f>'数据-取费表'!B27</f>
        <v>160</v>
      </c>
      <c r="F9" s="461"/>
      <c r="G9" s="468"/>
    </row>
    <row r="10" spans="1:7" s="432" customFormat="1" ht="13.5" customHeight="1">
      <c r="A10" s="464" t="s">
        <v>1287</v>
      </c>
      <c r="B10" s="465" t="s">
        <v>2343</v>
      </c>
      <c r="C10" s="466">
        <f>ROUND(D10*E10/10000,0)</f>
        <v>37</v>
      </c>
      <c r="D10" s="467">
        <f>'数据-汇总表'!E6</f>
        <v>1837.06</v>
      </c>
      <c r="E10" s="466">
        <f>'数据-取费表'!B28</f>
        <v>200</v>
      </c>
      <c r="F10" s="461"/>
      <c r="G10" s="468"/>
    </row>
    <row r="11" spans="1:7" s="432" customFormat="1" ht="13.5" hidden="1" customHeight="1">
      <c r="A11" s="469" t="s">
        <v>1672</v>
      </c>
      <c r="B11" s="455" t="s">
        <v>2344</v>
      </c>
      <c r="C11" s="451"/>
      <c r="D11" s="458"/>
      <c r="E11" s="458"/>
      <c r="F11" s="458"/>
      <c r="G11" s="459"/>
    </row>
    <row r="12" spans="1:7" s="432" customFormat="1" ht="13.5" hidden="1" customHeight="1">
      <c r="A12" s="469" t="s">
        <v>1674</v>
      </c>
      <c r="B12" s="455" t="s">
        <v>2345</v>
      </c>
      <c r="C12" s="451">
        <v>0</v>
      </c>
      <c r="D12" s="458"/>
      <c r="E12" s="470"/>
      <c r="F12" s="461">
        <v>3.0499999999999999E-2</v>
      </c>
      <c r="G12" s="459"/>
    </row>
    <row r="13" spans="1:7" s="432" customFormat="1" ht="13.5" hidden="1" customHeight="1">
      <c r="A13" s="469" t="s">
        <v>1675</v>
      </c>
      <c r="B13" s="455" t="s">
        <v>2346</v>
      </c>
      <c r="C13" s="451"/>
      <c r="D13" s="458"/>
      <c r="E13" s="458"/>
      <c r="F13" s="458"/>
      <c r="G13" s="459"/>
    </row>
    <row r="14" spans="1:7" s="432" customFormat="1" ht="13.5" hidden="1" customHeight="1">
      <c r="A14" s="469" t="s">
        <v>1677</v>
      </c>
      <c r="B14" s="455" t="s">
        <v>2340</v>
      </c>
      <c r="C14" s="451"/>
      <c r="D14" s="458"/>
      <c r="E14" s="458"/>
      <c r="F14" s="458"/>
      <c r="G14" s="459" t="s">
        <v>2347</v>
      </c>
    </row>
    <row r="15" spans="1:7" s="432" customFormat="1" ht="13.5" hidden="1" customHeight="1">
      <c r="A15" s="469" t="s">
        <v>1679</v>
      </c>
      <c r="B15" s="455" t="s">
        <v>2348</v>
      </c>
      <c r="C15" s="460"/>
      <c r="D15" s="458"/>
      <c r="E15" s="458"/>
      <c r="F15" s="458"/>
      <c r="G15" s="459" t="s">
        <v>2349</v>
      </c>
    </row>
    <row r="16" spans="1:7" s="432" customFormat="1" ht="13.5" hidden="1" customHeight="1">
      <c r="A16" s="469" t="s">
        <v>1682</v>
      </c>
      <c r="B16" s="455" t="s">
        <v>2340</v>
      </c>
      <c r="C16" s="460"/>
      <c r="D16" s="458"/>
      <c r="E16" s="458"/>
      <c r="F16" s="458"/>
      <c r="G16" s="459"/>
    </row>
    <row r="17" spans="1:7" s="432" customFormat="1" ht="13.5" hidden="1" customHeight="1">
      <c r="A17" s="469" t="s">
        <v>1683</v>
      </c>
      <c r="B17" s="455" t="s">
        <v>2350</v>
      </c>
      <c r="C17" s="471"/>
      <c r="D17" s="471"/>
      <c r="E17" s="471"/>
      <c r="F17" s="471"/>
      <c r="G17" s="459" t="s">
        <v>2349</v>
      </c>
    </row>
    <row r="18" spans="1:7" s="432" customFormat="1" ht="13.5" hidden="1" customHeight="1">
      <c r="A18" s="469" t="s">
        <v>1685</v>
      </c>
      <c r="B18" s="455" t="s">
        <v>2351</v>
      </c>
      <c r="C18" s="460">
        <v>0</v>
      </c>
      <c r="D18" s="458"/>
      <c r="E18" s="458"/>
      <c r="F18" s="461">
        <v>3.0499999999999999E-2</v>
      </c>
      <c r="G18" s="459" t="s">
        <v>2352</v>
      </c>
    </row>
    <row r="19" spans="1:7" s="433" customFormat="1" ht="13.5" customHeight="1">
      <c r="A19" s="472" t="s">
        <v>1565</v>
      </c>
      <c r="B19" s="450" t="s">
        <v>2353</v>
      </c>
      <c r="C19" s="451">
        <f>IF(G19="已包含在土地取得成本中","0",ROUND(D19*E19/10000,0))</f>
        <v>37</v>
      </c>
      <c r="D19" s="452">
        <f>'数据-汇总表'!E3</f>
        <v>1837.06</v>
      </c>
      <c r="E19" s="451">
        <f>'数据-取费表'!B31</f>
        <v>200</v>
      </c>
      <c r="F19" s="473"/>
      <c r="G19" s="463" t="s">
        <v>2354</v>
      </c>
    </row>
    <row r="20" spans="1:7" s="432" customFormat="1" ht="13.5" customHeight="1">
      <c r="A20" s="472" t="s">
        <v>2355</v>
      </c>
      <c r="B20" s="450" t="s">
        <v>2356</v>
      </c>
      <c r="C20" s="167">
        <f>ROUND((C5+C19)*F20,0)</f>
        <v>413</v>
      </c>
      <c r="D20" s="167"/>
      <c r="E20" s="167"/>
      <c r="F20" s="474">
        <f>'数据-取费表'!B37</f>
        <v>0.02</v>
      </c>
      <c r="G20" s="475" t="s">
        <v>2357</v>
      </c>
    </row>
    <row r="21" spans="1:7" s="432" customFormat="1" ht="13.5" customHeight="1">
      <c r="A21" s="472" t="s">
        <v>2358</v>
      </c>
      <c r="B21" s="450" t="s">
        <v>2359</v>
      </c>
      <c r="C21" s="476">
        <f>F21</f>
        <v>0.02</v>
      </c>
      <c r="D21" s="477" t="s">
        <v>2360</v>
      </c>
      <c r="E21" s="167"/>
      <c r="F21" s="474">
        <f>'数据-取费表'!B38</f>
        <v>0.02</v>
      </c>
      <c r="G21" s="478" t="s">
        <v>2361</v>
      </c>
    </row>
    <row r="22" spans="1:7" s="432" customFormat="1" ht="13.5" customHeight="1">
      <c r="A22" s="472" t="s">
        <v>2362</v>
      </c>
      <c r="B22" s="450" t="s">
        <v>2363</v>
      </c>
      <c r="C22" s="479">
        <f ca="1">ROUND(SUM(C23:C25),0)</f>
        <v>2028</v>
      </c>
      <c r="D22" s="476">
        <f ca="1">C26</f>
        <v>1E-3</v>
      </c>
      <c r="E22" s="477" t="s">
        <v>2360</v>
      </c>
      <c r="F22" s="480">
        <f ca="1">'数据-取费表'!B40</f>
        <v>4.7500000000000001E-2</v>
      </c>
      <c r="G22" s="475" t="str">
        <f>IF('数据-取费表'!B22&lt;=1,"单利计息","复利计息")</f>
        <v>复利计息</v>
      </c>
    </row>
    <row r="23" spans="1:7" s="432" customFormat="1" ht="13.5" customHeight="1">
      <c r="A23" s="481" t="s">
        <v>1661</v>
      </c>
      <c r="B23" s="455" t="s">
        <v>2364</v>
      </c>
      <c r="C23" s="482">
        <f ca="1">ROUND(IF('数据-取费表'!B22&lt;=1,C5*F22*'数据-取费表'!B23,C5*(POWER((1+F22),'数据-取费表'!B23)-1)),0)</f>
        <v>2004</v>
      </c>
      <c r="D23" s="172"/>
      <c r="E23" s="172"/>
      <c r="F23" s="483"/>
      <c r="G23" s="484" t="s">
        <v>2365</v>
      </c>
    </row>
    <row r="24" spans="1:7" s="432" customFormat="1" ht="13.5" customHeight="1">
      <c r="A24" s="481" t="s">
        <v>1663</v>
      </c>
      <c r="B24" s="455" t="s">
        <v>2366</v>
      </c>
      <c r="C24" s="482">
        <f ca="1">ROUND(IF('数据-取费表'!B22&lt;=1,C19*F22*('数据-取费表'!B19/2+'数据-取费表'!B21),C19*(POWER((1+F22),('数据-取费表'!B19/2+'数据-取费表'!B21))-1)),0)</f>
        <v>4</v>
      </c>
      <c r="D24" s="172"/>
      <c r="E24" s="172"/>
      <c r="F24" s="483"/>
      <c r="G24" s="484" t="s">
        <v>2367</v>
      </c>
    </row>
    <row r="25" spans="1:7" s="432" customFormat="1" ht="24">
      <c r="A25" s="481" t="s">
        <v>1665</v>
      </c>
      <c r="B25" s="455" t="s">
        <v>2368</v>
      </c>
      <c r="C25" s="482">
        <f ca="1">ROUND(IF('数据-取费表'!B22&lt;=1,C20*F22*'数据-取费表'!B23/2,C20*(POWER((1+F22),'数据-取费表'!B23/2)-1)),0)</f>
        <v>20</v>
      </c>
      <c r="D25" s="172"/>
      <c r="E25" s="485"/>
      <c r="F25" s="483"/>
      <c r="G25" s="486" t="s">
        <v>2369</v>
      </c>
    </row>
    <row r="26" spans="1:7" s="432" customFormat="1">
      <c r="A26" s="481" t="s">
        <v>1706</v>
      </c>
      <c r="B26" s="455" t="s">
        <v>2370</v>
      </c>
      <c r="C26" s="172">
        <f ca="1">ROUND(IF('数据-取费表'!B22&lt;=1,F21*F22*'数据-取费表'!B23/2,F21*(POWER((1+F22),'数据-取费表'!B23/2)-1)),4)</f>
        <v>1E-3</v>
      </c>
      <c r="D26" s="172"/>
      <c r="E26" s="485"/>
      <c r="F26" s="483"/>
      <c r="G26" s="487"/>
    </row>
    <row r="27" spans="1:7" s="432" customFormat="1" ht="24.75">
      <c r="A27" s="472" t="s">
        <v>2371</v>
      </c>
      <c r="B27" s="488" t="s">
        <v>2372</v>
      </c>
      <c r="C27" s="489">
        <f>C28</f>
        <v>4212</v>
      </c>
      <c r="D27" s="476">
        <f>C29</f>
        <v>4.0000000000000001E-3</v>
      </c>
      <c r="E27" s="477" t="s">
        <v>2360</v>
      </c>
      <c r="F27" s="490">
        <f>'数据-取费表'!Q16</f>
        <v>0.2</v>
      </c>
      <c r="G27" s="491" t="s">
        <v>2373</v>
      </c>
    </row>
    <row r="28" spans="1:7" s="432" customFormat="1" ht="13.5" customHeight="1">
      <c r="A28" s="481" t="s">
        <v>1661</v>
      </c>
      <c r="B28" s="492" t="s">
        <v>2374</v>
      </c>
      <c r="C28" s="493">
        <f>ROUND((C5+C19+C20)*F27*'数据-取费表'!B21/'数据-取费表'!B20,0)</f>
        <v>4212</v>
      </c>
      <c r="D28" s="476"/>
      <c r="E28" s="477"/>
      <c r="F28" s="490"/>
      <c r="G28" s="491"/>
    </row>
    <row r="29" spans="1:7" s="432" customFormat="1" ht="13.5" customHeight="1">
      <c r="A29" s="481" t="s">
        <v>1663</v>
      </c>
      <c r="B29" s="492" t="s">
        <v>2375</v>
      </c>
      <c r="C29" s="172">
        <f>ROUND(C21*F27*'数据-取费表'!B21/'数据-取费表'!B20,4)</f>
        <v>4.0000000000000001E-3</v>
      </c>
      <c r="D29" s="476"/>
      <c r="E29" s="477"/>
      <c r="F29" s="490"/>
      <c r="G29" s="491"/>
    </row>
    <row r="30" spans="1:7" s="432" customFormat="1" ht="13.5" customHeight="1">
      <c r="A30" s="472" t="s">
        <v>2376</v>
      </c>
      <c r="B30" s="450" t="s">
        <v>2377</v>
      </c>
      <c r="C30" s="476">
        <f>F30</f>
        <v>5.6000000000000001E-2</v>
      </c>
      <c r="D30" s="477" t="s">
        <v>2378</v>
      </c>
      <c r="E30" s="485"/>
      <c r="F30" s="480">
        <f>'数据-取费表'!B41</f>
        <v>5.6000000000000001E-2</v>
      </c>
      <c r="G30" s="478" t="s">
        <v>2379</v>
      </c>
    </row>
    <row r="31" spans="1:7" ht="16.5" customHeight="1">
      <c r="A31" s="494">
        <v>1</v>
      </c>
      <c r="B31" s="450" t="s">
        <v>2380</v>
      </c>
      <c r="C31" s="451">
        <f ca="1">ROUND((C5+C19+C20+C22+C27)/(1-C21-D22-D27-C30/(1+'数据-取费表'!B42)),0)</f>
        <v>29620</v>
      </c>
      <c r="D31" s="495"/>
      <c r="E31" s="451"/>
      <c r="F31" s="496"/>
      <c r="G31" s="478" t="s">
        <v>2381</v>
      </c>
    </row>
    <row r="32" spans="1:7" s="431" customFormat="1" ht="15.75">
      <c r="A32" s="497" t="s">
        <v>2382</v>
      </c>
      <c r="B32" s="498"/>
      <c r="C32" s="498"/>
      <c r="D32" s="498"/>
      <c r="E32" s="498"/>
      <c r="F32" s="498"/>
      <c r="G32" s="499"/>
    </row>
    <row r="33" spans="1:7" s="432" customFormat="1" ht="13.5" customHeight="1">
      <c r="A33" s="449" t="s">
        <v>1657</v>
      </c>
      <c r="B33" s="450" t="s">
        <v>2383</v>
      </c>
      <c r="C33" s="500">
        <f>SUM(C34:C38)</f>
        <v>716</v>
      </c>
      <c r="D33" s="167"/>
      <c r="E33" s="452"/>
      <c r="F33" s="485"/>
      <c r="G33" s="478"/>
    </row>
    <row r="34" spans="1:7" s="5" customFormat="1" ht="13.5" customHeight="1">
      <c r="A34" s="481" t="s">
        <v>1661</v>
      </c>
      <c r="B34" s="455" t="s">
        <v>2384</v>
      </c>
      <c r="C34" s="460">
        <f>IF(F34=100%,'数据-取费表'!M16-SUMIF('数据-取费表'!C:C,"公共配套",'数据-取费表'!M:M),'数据-取费表'!O16-SUMIF('数据-取费表'!C:C,"公共配套",'数据-取费表'!O:O))</f>
        <v>643</v>
      </c>
      <c r="D34" s="457"/>
      <c r="E34" s="460"/>
      <c r="F34" s="501">
        <f>IF('数据-取费表'!B24=0,1,'数据-取费表'!N16)</f>
        <v>1</v>
      </c>
      <c r="G34" s="459" t="s">
        <v>2385</v>
      </c>
    </row>
    <row r="35" spans="1:7" ht="13.5" customHeight="1">
      <c r="A35" s="481" t="s">
        <v>1663</v>
      </c>
      <c r="B35" s="455" t="s">
        <v>2386</v>
      </c>
      <c r="C35" s="460">
        <f>ROUND(C34*F35,0)</f>
        <v>26</v>
      </c>
      <c r="D35" s="460"/>
      <c r="E35" s="460"/>
      <c r="F35" s="502">
        <f>'数据-取费表'!B33</f>
        <v>0.04</v>
      </c>
      <c r="G35" s="459" t="s">
        <v>2387</v>
      </c>
    </row>
    <row r="36" spans="1:7" ht="24">
      <c r="A36" s="481" t="s">
        <v>1665</v>
      </c>
      <c r="B36" s="455" t="s">
        <v>2388</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2389</v>
      </c>
    </row>
    <row r="37" spans="1:7" s="5" customFormat="1" ht="13.5" customHeight="1">
      <c r="A37" s="481" t="s">
        <v>1706</v>
      </c>
      <c r="B37" s="455" t="s">
        <v>2390</v>
      </c>
      <c r="C37" s="493">
        <f>ROUND(E37*D37*F34/10000,0)</f>
        <v>37</v>
      </c>
      <c r="D37" s="457">
        <f>'数据-汇总表'!E3</f>
        <v>1837.06</v>
      </c>
      <c r="E37" s="493">
        <f>'数据-取费表'!B35</f>
        <v>200</v>
      </c>
      <c r="F37" s="502"/>
      <c r="G37" s="504" t="s">
        <v>2391</v>
      </c>
    </row>
    <row r="38" spans="1:7" ht="13.5" customHeight="1">
      <c r="A38" s="481" t="s">
        <v>1728</v>
      </c>
      <c r="B38" s="455" t="s">
        <v>2345</v>
      </c>
      <c r="C38" s="460">
        <f>ROUND(C34*F38,0)</f>
        <v>10</v>
      </c>
      <c r="D38" s="460"/>
      <c r="E38" s="460"/>
      <c r="F38" s="502">
        <f>'数据-取费表'!B36</f>
        <v>1.4999999999999999E-2</v>
      </c>
      <c r="G38" s="459" t="s">
        <v>2387</v>
      </c>
    </row>
    <row r="39" spans="1:7" s="432" customFormat="1" ht="13.5" customHeight="1">
      <c r="A39" s="472" t="s">
        <v>1565</v>
      </c>
      <c r="B39" s="450" t="s">
        <v>2356</v>
      </c>
      <c r="C39" s="167">
        <f>ROUND(C33*F20,0)</f>
        <v>14</v>
      </c>
      <c r="D39" s="167"/>
      <c r="E39" s="167"/>
      <c r="F39" s="474"/>
      <c r="G39" s="475" t="s">
        <v>2392</v>
      </c>
    </row>
    <row r="40" spans="1:7" s="432" customFormat="1" ht="13.5" customHeight="1">
      <c r="A40" s="472" t="s">
        <v>2355</v>
      </c>
      <c r="B40" s="450" t="s">
        <v>2359</v>
      </c>
      <c r="C40" s="505">
        <f>F21</f>
        <v>0.02</v>
      </c>
      <c r="D40" s="477" t="s">
        <v>2393</v>
      </c>
      <c r="E40" s="167"/>
      <c r="F40" s="474"/>
      <c r="G40" s="478" t="s">
        <v>2394</v>
      </c>
    </row>
    <row r="41" spans="1:7" s="432" customFormat="1" ht="13.5" customHeight="1">
      <c r="A41" s="472" t="s">
        <v>2358</v>
      </c>
      <c r="B41" s="450" t="s">
        <v>2363</v>
      </c>
      <c r="C41" s="167">
        <f ca="1">ROUND(SUM(C42:C43),0)</f>
        <v>35</v>
      </c>
      <c r="D41" s="476">
        <f ca="1">C44</f>
        <v>1E-3</v>
      </c>
      <c r="E41" s="477" t="s">
        <v>2393</v>
      </c>
      <c r="F41" s="480"/>
      <c r="G41" s="475" t="str">
        <f>IF('数据-取费表'!B22&lt;=1,"单利计息","复利计息")</f>
        <v>复利计息</v>
      </c>
    </row>
    <row r="42" spans="1:7" ht="13.5" customHeight="1">
      <c r="A42" s="481" t="s">
        <v>1661</v>
      </c>
      <c r="B42" s="455" t="s">
        <v>2364</v>
      </c>
      <c r="C42" s="172">
        <f ca="1">ROUND(IF('数据-取费表'!B22&lt;=1,C33*F22*'数据-取费表'!B21/2,C33*(POWER((1+F22),'数据-取费表'!B21/2)-1)),0)</f>
        <v>34</v>
      </c>
      <c r="D42" s="172"/>
      <c r="E42" s="172"/>
      <c r="F42" s="483"/>
      <c r="G42" s="3319" t="s">
        <v>2395</v>
      </c>
    </row>
    <row r="43" spans="1:7" ht="13.5" customHeight="1">
      <c r="A43" s="481" t="s">
        <v>1663</v>
      </c>
      <c r="B43" s="455" t="s">
        <v>2366</v>
      </c>
      <c r="C43" s="172">
        <f ca="1">ROUND(IF('数据-取费表'!B22&lt;=1,C39*F22*'数据-取费表'!B21/2,C39*(POWER((1+F22),'数据-取费表'!B21/2)-1)),0)</f>
        <v>1</v>
      </c>
      <c r="D43" s="172"/>
      <c r="E43" s="172"/>
      <c r="F43" s="483"/>
      <c r="G43" s="3320"/>
    </row>
    <row r="44" spans="1:7" ht="13.5" customHeight="1">
      <c r="A44" s="481" t="s">
        <v>1665</v>
      </c>
      <c r="B44" s="455" t="s">
        <v>2368</v>
      </c>
      <c r="C44" s="172">
        <f ca="1">ROUND(IF('数据-取费表'!B22&lt;=1,C40*F22*'数据-取费表'!B21/2,C40*(POWER((1+F22),'数据-取费表'!B21/2)-1)),4)</f>
        <v>1E-3</v>
      </c>
      <c r="D44" s="172"/>
      <c r="E44" s="172"/>
      <c r="F44" s="483"/>
      <c r="G44" s="3321"/>
    </row>
    <row r="45" spans="1:7" s="432" customFormat="1" ht="13.5" customHeight="1">
      <c r="A45" s="472" t="s">
        <v>2362</v>
      </c>
      <c r="B45" s="488" t="s">
        <v>2372</v>
      </c>
      <c r="C45" s="489">
        <f>C46</f>
        <v>146</v>
      </c>
      <c r="D45" s="476">
        <f>C47</f>
        <v>4.0000000000000001E-3</v>
      </c>
      <c r="E45" s="477" t="s">
        <v>2393</v>
      </c>
      <c r="F45" s="490"/>
      <c r="G45" s="491" t="s">
        <v>2396</v>
      </c>
    </row>
    <row r="46" spans="1:7" s="432" customFormat="1" ht="13.5" customHeight="1">
      <c r="A46" s="481" t="s">
        <v>1661</v>
      </c>
      <c r="B46" s="492" t="s">
        <v>2397</v>
      </c>
      <c r="C46" s="493">
        <f>ROUND((C33+C39)*F27,0)</f>
        <v>146</v>
      </c>
      <c r="D46" s="506"/>
      <c r="E46" s="477"/>
      <c r="F46" s="490"/>
      <c r="G46" s="491"/>
    </row>
    <row r="47" spans="1:7" s="432" customFormat="1" ht="13.5" customHeight="1">
      <c r="A47" s="481" t="s">
        <v>1663</v>
      </c>
      <c r="B47" s="492" t="s">
        <v>2398</v>
      </c>
      <c r="C47" s="172">
        <f>ROUND(C40*F27,4)</f>
        <v>4.0000000000000001E-3</v>
      </c>
      <c r="D47" s="506"/>
      <c r="E47" s="477"/>
      <c r="F47" s="490"/>
      <c r="G47" s="491"/>
    </row>
    <row r="48" spans="1:7" s="432" customFormat="1" ht="13.5" customHeight="1">
      <c r="A48" s="472" t="s">
        <v>2371</v>
      </c>
      <c r="B48" s="450" t="s">
        <v>2377</v>
      </c>
      <c r="C48" s="505">
        <f>F30</f>
        <v>5.6000000000000001E-2</v>
      </c>
      <c r="D48" s="477" t="s">
        <v>2399</v>
      </c>
      <c r="E48" s="167"/>
      <c r="F48" s="480"/>
      <c r="G48" s="478" t="s">
        <v>2400</v>
      </c>
    </row>
    <row r="49" spans="1:7" ht="16.5" customHeight="1">
      <c r="A49" s="472" t="s">
        <v>2376</v>
      </c>
      <c r="B49" s="450" t="s">
        <v>2401</v>
      </c>
      <c r="C49" s="167">
        <f ca="1">ROUND((C33+C39+C41+C45)/(1-C40-D41-D45-C48/(1+'数据-取费表'!B42)),0)</f>
        <v>988</v>
      </c>
      <c r="D49" s="167"/>
      <c r="E49" s="167"/>
      <c r="F49" s="507"/>
      <c r="G49" s="478" t="s">
        <v>2402</v>
      </c>
    </row>
    <row r="50" spans="1:7" s="5" customFormat="1" ht="24">
      <c r="A50" s="472" t="s">
        <v>2403</v>
      </c>
      <c r="B50" s="450" t="s">
        <v>2404</v>
      </c>
      <c r="C50" s="167"/>
      <c r="D50" s="167"/>
      <c r="E50" s="167"/>
      <c r="F50" s="507">
        <f>IF('数据-取费表'!B24=0,'数据-取费表'!N16,1)</f>
        <v>0.8</v>
      </c>
      <c r="G50" s="491" t="s">
        <v>2405</v>
      </c>
    </row>
    <row r="51" spans="1:7" ht="16.5" customHeight="1">
      <c r="A51" s="472" t="s">
        <v>2406</v>
      </c>
      <c r="B51" s="450" t="s">
        <v>2407</v>
      </c>
      <c r="C51" s="167">
        <f ca="1">ROUND(C49*F50,0)</f>
        <v>790</v>
      </c>
      <c r="D51" s="167"/>
      <c r="E51" s="167"/>
      <c r="F51" s="507"/>
      <c r="G51" s="478" t="s">
        <v>2408</v>
      </c>
    </row>
    <row r="52" spans="1:7" s="431" customFormat="1" ht="15.75">
      <c r="A52" s="508" t="s">
        <v>2409</v>
      </c>
      <c r="B52" s="509"/>
      <c r="C52" s="510">
        <f ca="1">C31+C51</f>
        <v>30410</v>
      </c>
      <c r="D52" s="509"/>
      <c r="E52" s="509"/>
      <c r="F52" s="509"/>
      <c r="G52" s="511"/>
    </row>
    <row r="55" spans="1:7" ht="15">
      <c r="B55" s="290" t="s">
        <v>2410</v>
      </c>
      <c r="C55" s="512"/>
    </row>
    <row r="56" spans="1:7">
      <c r="B56" s="282" t="s">
        <v>2411</v>
      </c>
      <c r="C56" s="292">
        <f ca="1">ROUND(C51/C52,3)</f>
        <v>2.5999999999999999E-2</v>
      </c>
    </row>
    <row r="57" spans="1:7">
      <c r="B57" s="282" t="s">
        <v>2412</v>
      </c>
      <c r="C57" s="293">
        <f ca="1">1-C56</f>
        <v>0.97399999999999998</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400" t="s">
        <v>2413</v>
      </c>
      <c r="B1" s="3400"/>
      <c r="C1" s="3400"/>
      <c r="D1" s="3400"/>
      <c r="E1" s="3400"/>
      <c r="F1" s="3400"/>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401" t="s">
        <v>2414</v>
      </c>
      <c r="B2" s="3401"/>
      <c r="C2" s="3401"/>
      <c r="D2" s="3401"/>
      <c r="E2" s="3401"/>
      <c r="F2" s="3401"/>
      <c r="H2" s="413" t="s">
        <v>2415</v>
      </c>
      <c r="I2" s="389" t="s">
        <v>2416</v>
      </c>
      <c r="J2" s="389" t="s">
        <v>2417</v>
      </c>
      <c r="K2" s="389" t="s">
        <v>2418</v>
      </c>
      <c r="L2" s="389" t="s">
        <v>2419</v>
      </c>
      <c r="M2" s="389" t="s">
        <v>2420</v>
      </c>
      <c r="N2" s="389" t="s">
        <v>2421</v>
      </c>
      <c r="O2" s="389" t="s">
        <v>2422</v>
      </c>
      <c r="P2" s="389" t="s">
        <v>2423</v>
      </c>
      <c r="Q2" s="389" t="s">
        <v>2424</v>
      </c>
      <c r="R2" s="389" t="s">
        <v>2425</v>
      </c>
      <c r="S2" s="389" t="s">
        <v>2426</v>
      </c>
    </row>
    <row r="3" spans="1:19" s="410" customFormat="1" ht="19.5" customHeight="1">
      <c r="A3" s="3402" t="s">
        <v>2427</v>
      </c>
      <c r="B3" s="414"/>
      <c r="C3" s="415" t="s">
        <v>459</v>
      </c>
      <c r="D3" s="415" t="s">
        <v>1988</v>
      </c>
      <c r="E3" s="415" t="s">
        <v>1989</v>
      </c>
      <c r="F3" s="415" t="s">
        <v>1990</v>
      </c>
      <c r="G3" s="416"/>
      <c r="H3" s="413" t="s">
        <v>2428</v>
      </c>
      <c r="I3" s="389" t="s">
        <v>2429</v>
      </c>
      <c r="J3" s="389" t="s">
        <v>2430</v>
      </c>
      <c r="K3" s="389" t="s">
        <v>2431</v>
      </c>
      <c r="L3" s="389" t="s">
        <v>2432</v>
      </c>
      <c r="M3" s="389" t="s">
        <v>2433</v>
      </c>
      <c r="N3" s="389" t="s">
        <v>2434</v>
      </c>
      <c r="O3" s="389" t="s">
        <v>2435</v>
      </c>
      <c r="P3" s="389" t="s">
        <v>2436</v>
      </c>
      <c r="Q3" s="389" t="s">
        <v>2437</v>
      </c>
      <c r="R3" s="389" t="s">
        <v>2438</v>
      </c>
      <c r="S3" s="389" t="s">
        <v>2439</v>
      </c>
    </row>
    <row r="4" spans="1:19" s="410" customFormat="1" ht="19.5" customHeight="1">
      <c r="A4" s="3403"/>
      <c r="B4" s="417" t="s">
        <v>2440</v>
      </c>
      <c r="C4" s="417" t="s">
        <v>2441</v>
      </c>
      <c r="D4" s="417" t="s">
        <v>2441</v>
      </c>
      <c r="E4" s="417" t="s">
        <v>2441</v>
      </c>
      <c r="F4" s="418" t="s">
        <v>2441</v>
      </c>
      <c r="G4" s="416"/>
      <c r="H4" s="413" t="s">
        <v>2442</v>
      </c>
      <c r="I4" s="389" t="s">
        <v>2443</v>
      </c>
      <c r="J4" s="389" t="s">
        <v>2444</v>
      </c>
      <c r="K4" s="389" t="s">
        <v>2445</v>
      </c>
      <c r="L4" s="389" t="s">
        <v>2446</v>
      </c>
      <c r="M4" s="389" t="s">
        <v>2447</v>
      </c>
      <c r="N4" s="389" t="s">
        <v>2448</v>
      </c>
      <c r="O4" s="389" t="s">
        <v>2449</v>
      </c>
      <c r="P4" s="389" t="s">
        <v>2450</v>
      </c>
      <c r="Q4" s="389" t="s">
        <v>2451</v>
      </c>
      <c r="R4" s="389" t="s">
        <v>2452</v>
      </c>
      <c r="S4" s="389" t="s">
        <v>2453</v>
      </c>
    </row>
    <row r="5" spans="1:19" ht="14.25" customHeight="1">
      <c r="A5" s="385" t="s">
        <v>232</v>
      </c>
      <c r="B5" s="386" t="s">
        <v>2415</v>
      </c>
      <c r="C5" s="386">
        <v>29530</v>
      </c>
      <c r="D5" s="386">
        <v>28130</v>
      </c>
      <c r="E5" s="386">
        <v>27930</v>
      </c>
      <c r="F5" s="419">
        <v>11300</v>
      </c>
      <c r="G5" s="416"/>
      <c r="H5" s="413" t="s">
        <v>2454</v>
      </c>
      <c r="I5" s="389" t="s">
        <v>2455</v>
      </c>
      <c r="J5" s="389" t="s">
        <v>2456</v>
      </c>
      <c r="K5" s="389" t="s">
        <v>2457</v>
      </c>
      <c r="L5" s="389" t="s">
        <v>2458</v>
      </c>
      <c r="M5" s="389" t="s">
        <v>2459</v>
      </c>
      <c r="N5" s="389" t="s">
        <v>2460</v>
      </c>
      <c r="O5" s="389" t="s">
        <v>2461</v>
      </c>
      <c r="P5" s="389" t="s">
        <v>2462</v>
      </c>
      <c r="Q5" s="389" t="s">
        <v>2463</v>
      </c>
      <c r="R5" s="389" t="s">
        <v>2464</v>
      </c>
      <c r="S5" s="389" t="s">
        <v>2465</v>
      </c>
    </row>
    <row r="6" spans="1:19" ht="14.25" customHeight="1">
      <c r="A6" s="385" t="s">
        <v>232</v>
      </c>
      <c r="B6" s="389" t="s">
        <v>2428</v>
      </c>
      <c r="C6" s="389">
        <v>30290</v>
      </c>
      <c r="D6" s="389">
        <v>29210</v>
      </c>
      <c r="E6" s="389">
        <v>28860</v>
      </c>
      <c r="F6" s="420">
        <v>12600</v>
      </c>
      <c r="G6" s="416"/>
      <c r="H6" s="413" t="s">
        <v>2466</v>
      </c>
      <c r="I6" s="389" t="s">
        <v>2467</v>
      </c>
      <c r="J6" s="389" t="s">
        <v>2468</v>
      </c>
      <c r="K6" s="389" t="s">
        <v>2469</v>
      </c>
      <c r="L6" s="389" t="s">
        <v>2470</v>
      </c>
      <c r="M6" s="389" t="s">
        <v>2471</v>
      </c>
      <c r="N6" s="389" t="s">
        <v>2472</v>
      </c>
      <c r="O6" s="389" t="s">
        <v>2473</v>
      </c>
      <c r="P6" s="389" t="s">
        <v>2474</v>
      </c>
      <c r="Q6" s="389" t="s">
        <v>2475</v>
      </c>
      <c r="R6" s="389" t="s">
        <v>2476</v>
      </c>
      <c r="S6" s="389" t="s">
        <v>2477</v>
      </c>
    </row>
    <row r="7" spans="1:19" ht="14.25" customHeight="1">
      <c r="A7" s="385" t="s">
        <v>232</v>
      </c>
      <c r="B7" s="392" t="s">
        <v>2442</v>
      </c>
      <c r="C7" s="389">
        <v>29350</v>
      </c>
      <c r="D7" s="389">
        <v>28410</v>
      </c>
      <c r="E7" s="389">
        <v>27990</v>
      </c>
      <c r="F7" s="420">
        <v>12300</v>
      </c>
      <c r="G7" s="416"/>
      <c r="I7" s="389" t="s">
        <v>2478</v>
      </c>
      <c r="J7" s="389" t="s">
        <v>2479</v>
      </c>
      <c r="K7" s="389" t="s">
        <v>2480</v>
      </c>
      <c r="L7" s="389" t="s">
        <v>2481</v>
      </c>
      <c r="M7" s="389" t="s">
        <v>2482</v>
      </c>
      <c r="N7" s="389" t="s">
        <v>2483</v>
      </c>
      <c r="O7" s="389" t="s">
        <v>2484</v>
      </c>
      <c r="P7" s="389" t="s">
        <v>2485</v>
      </c>
      <c r="Q7" s="389" t="s">
        <v>2486</v>
      </c>
      <c r="R7" s="389" t="s">
        <v>2487</v>
      </c>
      <c r="S7" s="392" t="s">
        <v>2488</v>
      </c>
    </row>
    <row r="8" spans="1:19" ht="14.25" customHeight="1">
      <c r="A8" s="385" t="s">
        <v>232</v>
      </c>
      <c r="B8" s="389" t="s">
        <v>2454</v>
      </c>
      <c r="C8" s="389">
        <v>30890</v>
      </c>
      <c r="D8" s="389">
        <v>29780</v>
      </c>
      <c r="E8" s="389">
        <v>29270</v>
      </c>
      <c r="F8" s="420">
        <v>11600</v>
      </c>
      <c r="G8" s="416"/>
      <c r="I8" s="389" t="s">
        <v>2489</v>
      </c>
      <c r="J8" s="389" t="s">
        <v>2490</v>
      </c>
      <c r="K8" s="389" t="s">
        <v>2491</v>
      </c>
      <c r="L8" s="389" t="s">
        <v>2492</v>
      </c>
      <c r="M8" s="389" t="s">
        <v>2493</v>
      </c>
      <c r="N8" s="389" t="s">
        <v>2494</v>
      </c>
      <c r="O8" s="389" t="s">
        <v>2495</v>
      </c>
      <c r="P8" s="389" t="s">
        <v>2496</v>
      </c>
      <c r="Q8" s="389" t="s">
        <v>2497</v>
      </c>
      <c r="R8" s="389" t="s">
        <v>2498</v>
      </c>
      <c r="S8" s="389" t="s">
        <v>2499</v>
      </c>
    </row>
    <row r="9" spans="1:19" ht="14.25" customHeight="1">
      <c r="A9" s="385" t="s">
        <v>232</v>
      </c>
      <c r="B9" s="394" t="s">
        <v>2466</v>
      </c>
      <c r="C9" s="400">
        <v>28140</v>
      </c>
      <c r="D9" s="400"/>
      <c r="E9" s="400"/>
      <c r="F9" s="421"/>
      <c r="G9" s="416"/>
      <c r="I9" s="389" t="s">
        <v>2500</v>
      </c>
      <c r="J9" s="389" t="s">
        <v>2501</v>
      </c>
      <c r="K9" s="389" t="s">
        <v>2502</v>
      </c>
      <c r="L9" s="389" t="s">
        <v>2503</v>
      </c>
      <c r="M9" s="389" t="s">
        <v>2504</v>
      </c>
      <c r="N9" s="389" t="s">
        <v>2505</v>
      </c>
      <c r="O9" s="389" t="s">
        <v>2506</v>
      </c>
      <c r="P9" s="389" t="s">
        <v>2507</v>
      </c>
      <c r="Q9" s="389" t="s">
        <v>2508</v>
      </c>
      <c r="R9" s="389" t="s">
        <v>2509</v>
      </c>
    </row>
    <row r="10" spans="1:19" ht="14.25" customHeight="1">
      <c r="A10" s="385" t="s">
        <v>243</v>
      </c>
      <c r="B10" s="386" t="s">
        <v>2416</v>
      </c>
      <c r="C10" s="386">
        <v>27450</v>
      </c>
      <c r="D10" s="386">
        <v>26180</v>
      </c>
      <c r="E10" s="386">
        <v>25980</v>
      </c>
      <c r="F10" s="419">
        <v>8910</v>
      </c>
      <c r="G10" s="416"/>
      <c r="I10" s="389" t="s">
        <v>2510</v>
      </c>
      <c r="J10" s="389" t="s">
        <v>2511</v>
      </c>
      <c r="K10" s="389" t="s">
        <v>2512</v>
      </c>
      <c r="L10" s="389" t="s">
        <v>2513</v>
      </c>
      <c r="M10" s="389" t="s">
        <v>2514</v>
      </c>
      <c r="N10" s="389" t="s">
        <v>2515</v>
      </c>
      <c r="O10" s="389" t="s">
        <v>2516</v>
      </c>
      <c r="P10" s="389" t="s">
        <v>2517</v>
      </c>
      <c r="Q10" s="389" t="s">
        <v>2518</v>
      </c>
      <c r="R10" s="389" t="s">
        <v>2519</v>
      </c>
    </row>
    <row r="11" spans="1:19" ht="14.25" customHeight="1">
      <c r="A11" s="385" t="s">
        <v>243</v>
      </c>
      <c r="B11" s="392" t="s">
        <v>2429</v>
      </c>
      <c r="C11" s="389">
        <v>22950</v>
      </c>
      <c r="D11" s="389">
        <v>22630</v>
      </c>
      <c r="E11" s="389">
        <v>22030</v>
      </c>
      <c r="F11" s="422">
        <v>8330</v>
      </c>
      <c r="G11" s="416"/>
      <c r="I11" s="389" t="s">
        <v>2520</v>
      </c>
      <c r="J11" s="389" t="s">
        <v>2521</v>
      </c>
      <c r="K11" s="389" t="s">
        <v>2522</v>
      </c>
      <c r="L11" s="389" t="s">
        <v>2523</v>
      </c>
      <c r="M11" s="389" t="s">
        <v>2524</v>
      </c>
      <c r="N11" s="389" t="s">
        <v>2525</v>
      </c>
      <c r="O11" s="389" t="s">
        <v>2526</v>
      </c>
      <c r="P11" s="389" t="s">
        <v>2527</v>
      </c>
      <c r="Q11" s="389" t="s">
        <v>2528</v>
      </c>
      <c r="R11" s="389" t="s">
        <v>2529</v>
      </c>
    </row>
    <row r="12" spans="1:19" ht="14.25" customHeight="1">
      <c r="A12" s="385" t="s">
        <v>243</v>
      </c>
      <c r="B12" s="392" t="s">
        <v>2443</v>
      </c>
      <c r="C12" s="389">
        <v>24940</v>
      </c>
      <c r="D12" s="389">
        <v>23180</v>
      </c>
      <c r="E12" s="389">
        <v>22910</v>
      </c>
      <c r="F12" s="422">
        <v>7180</v>
      </c>
      <c r="G12" s="416"/>
      <c r="I12" s="389" t="s">
        <v>2530</v>
      </c>
      <c r="J12" s="389" t="s">
        <v>2531</v>
      </c>
      <c r="K12" s="389" t="s">
        <v>2532</v>
      </c>
      <c r="L12" s="389" t="s">
        <v>2533</v>
      </c>
      <c r="M12" s="389" t="s">
        <v>2534</v>
      </c>
      <c r="N12" s="389" t="s">
        <v>2535</v>
      </c>
      <c r="O12" s="389" t="s">
        <v>2536</v>
      </c>
      <c r="P12" s="389" t="s">
        <v>2537</v>
      </c>
      <c r="Q12" s="389" t="s">
        <v>2538</v>
      </c>
      <c r="R12" s="389" t="s">
        <v>2539</v>
      </c>
    </row>
    <row r="13" spans="1:19" ht="14.25" customHeight="1">
      <c r="A13" s="385" t="s">
        <v>243</v>
      </c>
      <c r="B13" s="392" t="s">
        <v>2455</v>
      </c>
      <c r="C13" s="389">
        <v>24140</v>
      </c>
      <c r="D13" s="389">
        <v>22270</v>
      </c>
      <c r="E13" s="389">
        <v>21950</v>
      </c>
      <c r="F13" s="422">
        <v>7600</v>
      </c>
      <c r="G13" s="416"/>
      <c r="I13" s="389" t="s">
        <v>2540</v>
      </c>
      <c r="J13" s="389" t="s">
        <v>2541</v>
      </c>
      <c r="K13" s="389" t="s">
        <v>2542</v>
      </c>
      <c r="L13" s="389" t="s">
        <v>2543</v>
      </c>
      <c r="M13" s="389" t="s">
        <v>2544</v>
      </c>
      <c r="N13" s="389" t="s">
        <v>2545</v>
      </c>
      <c r="O13" s="389" t="s">
        <v>2546</v>
      </c>
      <c r="P13" s="389" t="s">
        <v>2547</v>
      </c>
      <c r="Q13" s="389" t="s">
        <v>2548</v>
      </c>
      <c r="R13" s="389" t="s">
        <v>2549</v>
      </c>
    </row>
    <row r="14" spans="1:19" ht="14.25" customHeight="1">
      <c r="A14" s="385" t="s">
        <v>243</v>
      </c>
      <c r="B14" s="392" t="s">
        <v>2467</v>
      </c>
      <c r="C14" s="389">
        <v>25600</v>
      </c>
      <c r="D14" s="389">
        <v>22260</v>
      </c>
      <c r="E14" s="389">
        <v>22110</v>
      </c>
      <c r="F14" s="422">
        <v>7630</v>
      </c>
      <c r="G14" s="416"/>
      <c r="I14" s="389" t="s">
        <v>2550</v>
      </c>
      <c r="J14" s="389" t="s">
        <v>409</v>
      </c>
      <c r="K14" s="389" t="s">
        <v>2551</v>
      </c>
      <c r="L14" s="389" t="s">
        <v>2552</v>
      </c>
      <c r="M14" s="389" t="s">
        <v>2553</v>
      </c>
      <c r="N14" s="389" t="s">
        <v>2554</v>
      </c>
      <c r="O14" s="389" t="s">
        <v>2555</v>
      </c>
      <c r="P14" s="389" t="s">
        <v>2556</v>
      </c>
      <c r="Q14" s="389" t="s">
        <v>2557</v>
      </c>
      <c r="R14" s="389" t="s">
        <v>2558</v>
      </c>
    </row>
    <row r="15" spans="1:19" ht="14.25" customHeight="1">
      <c r="A15" s="385" t="s">
        <v>243</v>
      </c>
      <c r="B15" s="392" t="s">
        <v>2478</v>
      </c>
      <c r="C15" s="389">
        <v>24760</v>
      </c>
      <c r="D15" s="389">
        <v>24440</v>
      </c>
      <c r="E15" s="389">
        <v>24130</v>
      </c>
      <c r="F15" s="422">
        <v>9480</v>
      </c>
      <c r="G15" s="416"/>
      <c r="I15" s="389" t="s">
        <v>2559</v>
      </c>
      <c r="J15" s="389" t="s">
        <v>2560</v>
      </c>
      <c r="K15" s="389" t="s">
        <v>2561</v>
      </c>
      <c r="L15" s="389" t="s">
        <v>2562</v>
      </c>
      <c r="M15" s="389" t="s">
        <v>2563</v>
      </c>
      <c r="N15" s="389" t="s">
        <v>2564</v>
      </c>
      <c r="O15" s="389" t="s">
        <v>2565</v>
      </c>
      <c r="P15" s="389" t="s">
        <v>2566</v>
      </c>
      <c r="Q15" s="389" t="s">
        <v>2567</v>
      </c>
      <c r="R15" s="389" t="s">
        <v>2568</v>
      </c>
    </row>
    <row r="16" spans="1:19" ht="14.25" customHeight="1">
      <c r="A16" s="385" t="s">
        <v>243</v>
      </c>
      <c r="B16" s="392" t="s">
        <v>2489</v>
      </c>
      <c r="C16" s="389">
        <v>22220</v>
      </c>
      <c r="D16" s="389">
        <v>22310</v>
      </c>
      <c r="E16" s="389">
        <v>22000</v>
      </c>
      <c r="F16" s="422">
        <v>8900</v>
      </c>
      <c r="G16" s="416"/>
      <c r="I16" s="389" t="s">
        <v>2569</v>
      </c>
      <c r="J16" s="389" t="s">
        <v>408</v>
      </c>
      <c r="K16" s="389" t="s">
        <v>2570</v>
      </c>
      <c r="L16" s="389" t="s">
        <v>2571</v>
      </c>
      <c r="M16" s="389" t="s">
        <v>2572</v>
      </c>
      <c r="N16" s="389" t="s">
        <v>2573</v>
      </c>
      <c r="O16" s="389" t="s">
        <v>2574</v>
      </c>
      <c r="P16" s="389" t="s">
        <v>2575</v>
      </c>
      <c r="Q16" s="389" t="s">
        <v>2576</v>
      </c>
      <c r="R16" s="389" t="s">
        <v>2577</v>
      </c>
    </row>
    <row r="17" spans="1:18" ht="14.25" customHeight="1">
      <c r="A17" s="385" t="s">
        <v>243</v>
      </c>
      <c r="B17" s="392" t="s">
        <v>2500</v>
      </c>
      <c r="C17" s="389">
        <v>24700</v>
      </c>
      <c r="D17" s="389">
        <v>25150</v>
      </c>
      <c r="E17" s="389">
        <v>24700</v>
      </c>
      <c r="F17" s="423"/>
      <c r="G17" s="416"/>
      <c r="I17" s="389" t="s">
        <v>2578</v>
      </c>
      <c r="J17" s="389" t="s">
        <v>2579</v>
      </c>
      <c r="K17" s="389" t="s">
        <v>2580</v>
      </c>
      <c r="L17" s="389" t="s">
        <v>2581</v>
      </c>
      <c r="M17" s="389" t="s">
        <v>2582</v>
      </c>
      <c r="N17" s="389" t="s">
        <v>2583</v>
      </c>
      <c r="O17" s="389" t="s">
        <v>2584</v>
      </c>
      <c r="P17" s="389" t="s">
        <v>2585</v>
      </c>
      <c r="Q17" s="389" t="s">
        <v>2586</v>
      </c>
      <c r="R17" s="389" t="s">
        <v>2587</v>
      </c>
    </row>
    <row r="18" spans="1:18" ht="14.25" customHeight="1">
      <c r="A18" s="385" t="s">
        <v>243</v>
      </c>
      <c r="B18" s="392" t="s">
        <v>2510</v>
      </c>
      <c r="C18" s="389">
        <v>22350</v>
      </c>
      <c r="D18" s="389">
        <v>24340</v>
      </c>
      <c r="E18" s="389">
        <v>24100</v>
      </c>
      <c r="F18" s="423"/>
      <c r="G18" s="416"/>
      <c r="I18" s="389" t="s">
        <v>2588</v>
      </c>
      <c r="J18" s="389" t="s">
        <v>2589</v>
      </c>
      <c r="K18" s="389" t="s">
        <v>2590</v>
      </c>
      <c r="L18" s="389" t="s">
        <v>2591</v>
      </c>
      <c r="M18" s="389" t="s">
        <v>2592</v>
      </c>
      <c r="N18" s="389" t="s">
        <v>2593</v>
      </c>
      <c r="O18" s="389" t="s">
        <v>2594</v>
      </c>
      <c r="P18" s="389" t="s">
        <v>2595</v>
      </c>
      <c r="Q18" s="389" t="s">
        <v>2596</v>
      </c>
      <c r="R18" s="389" t="s">
        <v>2597</v>
      </c>
    </row>
    <row r="19" spans="1:18" ht="14.25" customHeight="1">
      <c r="A19" s="385" t="s">
        <v>243</v>
      </c>
      <c r="B19" s="392" t="s">
        <v>2520</v>
      </c>
      <c r="C19" s="389">
        <v>23430</v>
      </c>
      <c r="D19" s="389">
        <v>21580</v>
      </c>
      <c r="E19" s="389">
        <v>21350</v>
      </c>
      <c r="F19" s="423"/>
      <c r="G19" s="416"/>
      <c r="I19" s="389" t="s">
        <v>2598</v>
      </c>
      <c r="J19" s="389" t="s">
        <v>2599</v>
      </c>
      <c r="K19" s="389" t="s">
        <v>2600</v>
      </c>
      <c r="L19" s="389" t="s">
        <v>2601</v>
      </c>
      <c r="M19" s="389" t="s">
        <v>2602</v>
      </c>
      <c r="N19" s="389" t="s">
        <v>2603</v>
      </c>
      <c r="O19" s="389" t="s">
        <v>2604</v>
      </c>
      <c r="P19" s="389" t="s">
        <v>2605</v>
      </c>
      <c r="Q19" s="389" t="s">
        <v>2606</v>
      </c>
      <c r="R19" s="389" t="s">
        <v>2607</v>
      </c>
    </row>
    <row r="20" spans="1:18" ht="14.25" customHeight="1">
      <c r="A20" s="385" t="s">
        <v>243</v>
      </c>
      <c r="B20" s="392" t="s">
        <v>2530</v>
      </c>
      <c r="C20" s="389">
        <v>27660</v>
      </c>
      <c r="D20" s="389">
        <v>24240</v>
      </c>
      <c r="E20" s="389">
        <v>24020</v>
      </c>
      <c r="F20" s="423"/>
      <c r="I20" s="389" t="s">
        <v>2608</v>
      </c>
      <c r="J20" s="389" t="s">
        <v>2609</v>
      </c>
      <c r="K20" s="389" t="s">
        <v>2610</v>
      </c>
      <c r="L20" s="389" t="s">
        <v>2611</v>
      </c>
      <c r="M20" s="389" t="s">
        <v>2612</v>
      </c>
      <c r="N20" s="389" t="s">
        <v>2613</v>
      </c>
      <c r="O20" s="389" t="s">
        <v>2614</v>
      </c>
      <c r="P20" s="389" t="s">
        <v>2615</v>
      </c>
      <c r="Q20" s="389" t="s">
        <v>2616</v>
      </c>
      <c r="R20" s="389" t="s">
        <v>2617</v>
      </c>
    </row>
    <row r="21" spans="1:18" ht="14.25" customHeight="1">
      <c r="A21" s="385" t="s">
        <v>243</v>
      </c>
      <c r="B21" s="392" t="s">
        <v>2540</v>
      </c>
      <c r="C21" s="389">
        <v>24720</v>
      </c>
      <c r="D21" s="389">
        <v>21670</v>
      </c>
      <c r="E21" s="389">
        <v>21510</v>
      </c>
      <c r="F21" s="423"/>
      <c r="J21" s="389" t="s">
        <v>2618</v>
      </c>
      <c r="K21" s="389" t="s">
        <v>2619</v>
      </c>
      <c r="L21" s="389" t="s">
        <v>2620</v>
      </c>
      <c r="M21" s="389" t="s">
        <v>2621</v>
      </c>
      <c r="N21" s="389" t="s">
        <v>2622</v>
      </c>
      <c r="O21" s="389" t="s">
        <v>2623</v>
      </c>
      <c r="P21" s="389" t="s">
        <v>2624</v>
      </c>
      <c r="Q21" s="389" t="s">
        <v>2625</v>
      </c>
      <c r="R21" s="389" t="s">
        <v>2626</v>
      </c>
    </row>
    <row r="22" spans="1:18" ht="14.25" customHeight="1">
      <c r="A22" s="385" t="s">
        <v>243</v>
      </c>
      <c r="B22" s="392" t="s">
        <v>2550</v>
      </c>
      <c r="C22" s="389">
        <v>26530</v>
      </c>
      <c r="D22" s="389">
        <v>22980</v>
      </c>
      <c r="E22" s="389">
        <v>22650</v>
      </c>
      <c r="F22" s="423"/>
      <c r="K22" s="389" t="s">
        <v>2627</v>
      </c>
      <c r="L22" s="389" t="s">
        <v>2628</v>
      </c>
      <c r="M22" s="389" t="s">
        <v>2629</v>
      </c>
      <c r="N22" s="389" t="s">
        <v>2630</v>
      </c>
      <c r="O22" s="389" t="s">
        <v>2631</v>
      </c>
      <c r="P22" s="389" t="s">
        <v>2632</v>
      </c>
      <c r="Q22" s="389" t="s">
        <v>2633</v>
      </c>
      <c r="R22" s="392" t="s">
        <v>2634</v>
      </c>
    </row>
    <row r="23" spans="1:18" ht="14.25" customHeight="1">
      <c r="A23" s="385" t="s">
        <v>243</v>
      </c>
      <c r="B23" s="392" t="s">
        <v>2559</v>
      </c>
      <c r="C23" s="389">
        <v>24700</v>
      </c>
      <c r="D23" s="389">
        <v>27290</v>
      </c>
      <c r="E23" s="389">
        <v>26710</v>
      </c>
      <c r="F23" s="423"/>
      <c r="K23" s="389" t="s">
        <v>2635</v>
      </c>
      <c r="L23" s="389" t="s">
        <v>2636</v>
      </c>
      <c r="M23" s="389" t="s">
        <v>2637</v>
      </c>
      <c r="N23" s="389" t="s">
        <v>2638</v>
      </c>
      <c r="O23" s="389" t="s">
        <v>2639</v>
      </c>
      <c r="P23" s="389" t="s">
        <v>2640</v>
      </c>
      <c r="Q23" s="389" t="s">
        <v>2641</v>
      </c>
    </row>
    <row r="24" spans="1:18" ht="14.25" customHeight="1">
      <c r="A24" s="385" t="s">
        <v>243</v>
      </c>
      <c r="B24" s="392" t="s">
        <v>2569</v>
      </c>
      <c r="C24" s="389">
        <v>23070</v>
      </c>
      <c r="D24" s="389">
        <v>24130</v>
      </c>
      <c r="E24" s="389">
        <v>23860</v>
      </c>
      <c r="F24" s="423"/>
      <c r="K24" s="389" t="s">
        <v>2642</v>
      </c>
      <c r="L24" s="389" t="s">
        <v>2643</v>
      </c>
      <c r="M24" s="389" t="s">
        <v>2644</v>
      </c>
      <c r="N24" s="389" t="s">
        <v>2645</v>
      </c>
      <c r="O24" s="389" t="s">
        <v>2646</v>
      </c>
      <c r="P24" s="389" t="s">
        <v>2647</v>
      </c>
      <c r="Q24" s="389" t="s">
        <v>2648</v>
      </c>
    </row>
    <row r="25" spans="1:18" ht="14.25" customHeight="1">
      <c r="A25" s="385" t="s">
        <v>243</v>
      </c>
      <c r="B25" s="392" t="s">
        <v>2578</v>
      </c>
      <c r="C25" s="389">
        <v>27550</v>
      </c>
      <c r="D25" s="389">
        <v>25850</v>
      </c>
      <c r="E25" s="389">
        <v>25340</v>
      </c>
      <c r="F25" s="423"/>
      <c r="K25" s="389" t="s">
        <v>2649</v>
      </c>
      <c r="L25" s="389" t="s">
        <v>2650</v>
      </c>
      <c r="M25" s="389" t="s">
        <v>2651</v>
      </c>
      <c r="N25" s="389" t="s">
        <v>2652</v>
      </c>
      <c r="O25" s="389" t="s">
        <v>2653</v>
      </c>
      <c r="P25" s="389" t="s">
        <v>2654</v>
      </c>
      <c r="Q25" s="389" t="s">
        <v>2655</v>
      </c>
    </row>
    <row r="26" spans="1:18" ht="14.25" customHeight="1">
      <c r="A26" s="385" t="s">
        <v>243</v>
      </c>
      <c r="B26" s="392" t="s">
        <v>2588</v>
      </c>
      <c r="C26" s="389"/>
      <c r="D26" s="389">
        <v>23900</v>
      </c>
      <c r="E26" s="389">
        <v>23590</v>
      </c>
      <c r="F26" s="423"/>
      <c r="K26" s="389" t="s">
        <v>2656</v>
      </c>
      <c r="L26" s="389" t="s">
        <v>2657</v>
      </c>
      <c r="M26" s="389" t="s">
        <v>2658</v>
      </c>
      <c r="N26" s="389" t="s">
        <v>2659</v>
      </c>
      <c r="O26" s="389" t="s">
        <v>2660</v>
      </c>
      <c r="P26" s="389" t="s">
        <v>2661</v>
      </c>
      <c r="Q26" s="389" t="s">
        <v>2662</v>
      </c>
    </row>
    <row r="27" spans="1:18" ht="14.25" customHeight="1">
      <c r="A27" s="385" t="s">
        <v>243</v>
      </c>
      <c r="B27" s="392" t="s">
        <v>2598</v>
      </c>
      <c r="C27" s="389"/>
      <c r="D27" s="389">
        <v>22850</v>
      </c>
      <c r="E27" s="389">
        <v>21920</v>
      </c>
      <c r="F27" s="423"/>
      <c r="K27" s="389" t="s">
        <v>2663</v>
      </c>
      <c r="L27" s="389" t="s">
        <v>2664</v>
      </c>
      <c r="M27" s="389" t="s">
        <v>2665</v>
      </c>
      <c r="N27" s="389" t="s">
        <v>2666</v>
      </c>
      <c r="O27" s="389" t="s">
        <v>2667</v>
      </c>
      <c r="P27" s="389" t="s">
        <v>2668</v>
      </c>
      <c r="Q27" s="389" t="s">
        <v>2669</v>
      </c>
    </row>
    <row r="28" spans="1:18" ht="14.25" customHeight="1">
      <c r="A28" s="393" t="s">
        <v>243</v>
      </c>
      <c r="B28" s="394" t="s">
        <v>2608</v>
      </c>
      <c r="C28" s="400"/>
      <c r="D28" s="400">
        <v>26610</v>
      </c>
      <c r="E28" s="400">
        <v>26370</v>
      </c>
      <c r="F28" s="421"/>
      <c r="K28" s="389" t="s">
        <v>2670</v>
      </c>
      <c r="L28" s="389" t="s">
        <v>2671</v>
      </c>
      <c r="M28" s="389" t="s">
        <v>2672</v>
      </c>
      <c r="N28" s="389" t="s">
        <v>2673</v>
      </c>
      <c r="O28" s="389" t="s">
        <v>2674</v>
      </c>
      <c r="P28" s="389" t="s">
        <v>2675</v>
      </c>
    </row>
    <row r="29" spans="1:18" ht="14.25" customHeight="1">
      <c r="A29" s="385" t="s">
        <v>253</v>
      </c>
      <c r="B29" s="386" t="s">
        <v>2417</v>
      </c>
      <c r="C29" s="386">
        <v>22090</v>
      </c>
      <c r="D29" s="386">
        <v>21860</v>
      </c>
      <c r="E29" s="386">
        <v>19380</v>
      </c>
      <c r="F29" s="419">
        <v>6610</v>
      </c>
      <c r="L29" s="389" t="s">
        <v>2676</v>
      </c>
      <c r="M29" s="389" t="s">
        <v>2677</v>
      </c>
      <c r="N29" s="389" t="s">
        <v>2678</v>
      </c>
      <c r="O29" s="389" t="s">
        <v>2679</v>
      </c>
      <c r="P29" s="389" t="s">
        <v>2680</v>
      </c>
    </row>
    <row r="30" spans="1:18" ht="14.25" customHeight="1">
      <c r="A30" s="385" t="s">
        <v>253</v>
      </c>
      <c r="B30" s="392" t="s">
        <v>2430</v>
      </c>
      <c r="C30" s="389">
        <v>21380</v>
      </c>
      <c r="D30" s="389">
        <v>19930</v>
      </c>
      <c r="E30" s="389">
        <v>19860</v>
      </c>
      <c r="F30" s="422">
        <v>6010</v>
      </c>
      <c r="L30" s="389" t="s">
        <v>2681</v>
      </c>
      <c r="M30" s="389" t="s">
        <v>2682</v>
      </c>
      <c r="N30" s="389" t="s">
        <v>2683</v>
      </c>
      <c r="O30" s="389" t="s">
        <v>2684</v>
      </c>
      <c r="P30" s="389" t="s">
        <v>2685</v>
      </c>
    </row>
    <row r="31" spans="1:18" ht="14.25" customHeight="1">
      <c r="A31" s="385" t="s">
        <v>253</v>
      </c>
      <c r="B31" s="392" t="s">
        <v>2444</v>
      </c>
      <c r="C31" s="389">
        <v>21670</v>
      </c>
      <c r="D31" s="389">
        <v>20660</v>
      </c>
      <c r="E31" s="389">
        <v>20290</v>
      </c>
      <c r="F31" s="422">
        <v>5840</v>
      </c>
      <c r="L31" s="389" t="s">
        <v>2686</v>
      </c>
      <c r="M31" s="389" t="s">
        <v>2687</v>
      </c>
      <c r="N31" s="389" t="s">
        <v>2688</v>
      </c>
      <c r="O31" s="389" t="s">
        <v>2689</v>
      </c>
      <c r="P31" s="389" t="s">
        <v>2690</v>
      </c>
    </row>
    <row r="32" spans="1:18" ht="14.25" customHeight="1">
      <c r="A32" s="385" t="s">
        <v>253</v>
      </c>
      <c r="B32" s="392" t="s">
        <v>2456</v>
      </c>
      <c r="C32" s="389">
        <v>22280</v>
      </c>
      <c r="D32" s="389">
        <v>21800</v>
      </c>
      <c r="E32" s="389">
        <v>17650</v>
      </c>
      <c r="F32" s="422">
        <v>4690</v>
      </c>
      <c r="L32" s="389" t="s">
        <v>2691</v>
      </c>
      <c r="M32" s="389" t="s">
        <v>2692</v>
      </c>
      <c r="N32" s="389" t="s">
        <v>2693</v>
      </c>
      <c r="O32" s="389" t="s">
        <v>2694</v>
      </c>
      <c r="P32" s="389" t="s">
        <v>2695</v>
      </c>
    </row>
    <row r="33" spans="1:16" ht="14.25" customHeight="1">
      <c r="A33" s="385" t="s">
        <v>253</v>
      </c>
      <c r="B33" s="392" t="s">
        <v>2468</v>
      </c>
      <c r="C33" s="389">
        <v>22130</v>
      </c>
      <c r="D33" s="389">
        <v>20460</v>
      </c>
      <c r="E33" s="389">
        <v>18500</v>
      </c>
      <c r="F33" s="422">
        <v>5340</v>
      </c>
      <c r="L33" s="389" t="s">
        <v>2696</v>
      </c>
      <c r="M33" s="389" t="s">
        <v>2697</v>
      </c>
      <c r="N33" s="389" t="s">
        <v>2698</v>
      </c>
      <c r="O33" s="389" t="s">
        <v>2699</v>
      </c>
      <c r="P33" s="389" t="s">
        <v>2700</v>
      </c>
    </row>
    <row r="34" spans="1:16" ht="14.25" customHeight="1">
      <c r="A34" s="385" t="s">
        <v>253</v>
      </c>
      <c r="B34" s="392" t="s">
        <v>2479</v>
      </c>
      <c r="C34" s="389">
        <v>22070</v>
      </c>
      <c r="D34" s="389">
        <v>20110</v>
      </c>
      <c r="E34" s="389">
        <v>18830</v>
      </c>
      <c r="F34" s="422">
        <v>5190</v>
      </c>
      <c r="L34" s="389" t="s">
        <v>2701</v>
      </c>
      <c r="M34" s="389" t="s">
        <v>2702</v>
      </c>
      <c r="N34" s="389" t="s">
        <v>2703</v>
      </c>
      <c r="O34" s="389" t="s">
        <v>2704</v>
      </c>
      <c r="P34" s="389" t="s">
        <v>2705</v>
      </c>
    </row>
    <row r="35" spans="1:16" ht="14.25" customHeight="1">
      <c r="A35" s="385" t="s">
        <v>253</v>
      </c>
      <c r="B35" s="392" t="s">
        <v>2490</v>
      </c>
      <c r="C35" s="389">
        <v>22240</v>
      </c>
      <c r="D35" s="389">
        <v>19550</v>
      </c>
      <c r="E35" s="389">
        <v>19220</v>
      </c>
      <c r="F35" s="422">
        <v>5800</v>
      </c>
      <c r="L35" s="389" t="s">
        <v>2706</v>
      </c>
      <c r="M35" s="389" t="s">
        <v>2707</v>
      </c>
      <c r="N35" s="389" t="s">
        <v>2708</v>
      </c>
      <c r="O35" s="389" t="s">
        <v>2709</v>
      </c>
      <c r="P35" s="389" t="s">
        <v>2710</v>
      </c>
    </row>
    <row r="36" spans="1:16" ht="14.25" customHeight="1">
      <c r="A36" s="385" t="s">
        <v>253</v>
      </c>
      <c r="B36" s="392" t="s">
        <v>2501</v>
      </c>
      <c r="C36" s="389">
        <v>19750</v>
      </c>
      <c r="D36" s="389">
        <v>19790</v>
      </c>
      <c r="E36" s="389">
        <v>18510</v>
      </c>
      <c r="F36" s="422">
        <v>6520</v>
      </c>
      <c r="M36" s="389" t="s">
        <v>2711</v>
      </c>
      <c r="N36" s="389" t="s">
        <v>2712</v>
      </c>
      <c r="O36" s="389" t="s">
        <v>2713</v>
      </c>
      <c r="P36" s="389" t="s">
        <v>2714</v>
      </c>
    </row>
    <row r="37" spans="1:16" ht="14.25" customHeight="1">
      <c r="A37" s="385" t="s">
        <v>253</v>
      </c>
      <c r="B37" s="392" t="s">
        <v>2511</v>
      </c>
      <c r="C37" s="389">
        <v>22380</v>
      </c>
      <c r="D37" s="389">
        <v>18530</v>
      </c>
      <c r="E37" s="389">
        <v>17930</v>
      </c>
      <c r="F37" s="422">
        <v>6270</v>
      </c>
      <c r="M37" s="389" t="s">
        <v>2715</v>
      </c>
      <c r="N37" s="389" t="s">
        <v>2716</v>
      </c>
      <c r="O37" s="389" t="s">
        <v>2717</v>
      </c>
      <c r="P37" s="389" t="s">
        <v>2718</v>
      </c>
    </row>
    <row r="38" spans="1:16" ht="14.25" customHeight="1">
      <c r="A38" s="385" t="s">
        <v>253</v>
      </c>
      <c r="B38" s="392" t="s">
        <v>2521</v>
      </c>
      <c r="C38" s="389">
        <v>20200</v>
      </c>
      <c r="D38" s="389">
        <v>20070</v>
      </c>
      <c r="E38" s="389">
        <v>19950</v>
      </c>
      <c r="F38" s="422"/>
      <c r="M38" s="389" t="s">
        <v>2719</v>
      </c>
      <c r="N38" s="389" t="s">
        <v>2720</v>
      </c>
      <c r="O38" s="389" t="s">
        <v>2721</v>
      </c>
      <c r="P38" s="389" t="s">
        <v>2722</v>
      </c>
    </row>
    <row r="39" spans="1:16" ht="14.25" customHeight="1">
      <c r="A39" s="385" t="s">
        <v>253</v>
      </c>
      <c r="B39" s="392" t="s">
        <v>2531</v>
      </c>
      <c r="C39" s="389">
        <v>19300</v>
      </c>
      <c r="D39" s="389">
        <v>20360</v>
      </c>
      <c r="E39" s="389">
        <v>20230</v>
      </c>
      <c r="F39" s="422"/>
      <c r="M39" s="389" t="s">
        <v>2723</v>
      </c>
      <c r="N39" s="389" t="s">
        <v>2724</v>
      </c>
      <c r="O39" s="389" t="s">
        <v>2725</v>
      </c>
      <c r="P39" s="389" t="s">
        <v>2726</v>
      </c>
    </row>
    <row r="40" spans="1:16" ht="14.25" customHeight="1">
      <c r="A40" s="385" t="s">
        <v>253</v>
      </c>
      <c r="B40" s="392" t="s">
        <v>2541</v>
      </c>
      <c r="C40" s="389">
        <v>20210</v>
      </c>
      <c r="D40" s="389">
        <v>19060</v>
      </c>
      <c r="E40" s="389">
        <v>18890</v>
      </c>
      <c r="F40" s="422"/>
      <c r="M40" s="389" t="s">
        <v>2727</v>
      </c>
      <c r="N40" s="389" t="s">
        <v>2728</v>
      </c>
      <c r="O40" s="389" t="s">
        <v>2729</v>
      </c>
      <c r="P40" s="389" t="s">
        <v>2730</v>
      </c>
    </row>
    <row r="41" spans="1:16" ht="14.25" customHeight="1">
      <c r="A41" s="385" t="s">
        <v>253</v>
      </c>
      <c r="B41" s="392" t="s">
        <v>409</v>
      </c>
      <c r="C41" s="389">
        <v>20560</v>
      </c>
      <c r="D41" s="389">
        <v>21040</v>
      </c>
      <c r="E41" s="389">
        <v>20740</v>
      </c>
      <c r="F41" s="422"/>
      <c r="M41" s="392" t="s">
        <v>2731</v>
      </c>
      <c r="N41" s="392" t="s">
        <v>2732</v>
      </c>
      <c r="P41" s="392" t="s">
        <v>2733</v>
      </c>
    </row>
    <row r="42" spans="1:16" ht="14.25" customHeight="1">
      <c r="A42" s="385" t="s">
        <v>253</v>
      </c>
      <c r="B42" s="392" t="s">
        <v>2560</v>
      </c>
      <c r="C42" s="389">
        <v>19280</v>
      </c>
      <c r="D42" s="389">
        <v>22940</v>
      </c>
      <c r="E42" s="389">
        <v>22500</v>
      </c>
      <c r="F42" s="422"/>
      <c r="M42" s="389" t="s">
        <v>2734</v>
      </c>
      <c r="N42" s="389" t="s">
        <v>2735</v>
      </c>
      <c r="P42" s="389" t="s">
        <v>2736</v>
      </c>
    </row>
    <row r="43" spans="1:16" ht="14.25" customHeight="1">
      <c r="A43" s="385" t="s">
        <v>253</v>
      </c>
      <c r="B43" s="392" t="s">
        <v>408</v>
      </c>
      <c r="C43" s="389">
        <v>21520</v>
      </c>
      <c r="D43" s="389">
        <v>19230</v>
      </c>
      <c r="E43" s="389">
        <v>18540</v>
      </c>
      <c r="F43" s="422"/>
      <c r="M43" s="389" t="s">
        <v>2737</v>
      </c>
      <c r="N43" s="389" t="s">
        <v>2738</v>
      </c>
      <c r="P43" s="389" t="s">
        <v>2739</v>
      </c>
    </row>
    <row r="44" spans="1:16" ht="14.25" customHeight="1">
      <c r="A44" s="385" t="s">
        <v>253</v>
      </c>
      <c r="B44" s="392" t="s">
        <v>2579</v>
      </c>
      <c r="C44" s="389">
        <v>23260</v>
      </c>
      <c r="D44" s="389">
        <v>21180</v>
      </c>
      <c r="E44" s="389">
        <v>20730</v>
      </c>
      <c r="F44" s="422"/>
      <c r="M44" s="389" t="s">
        <v>2740</v>
      </c>
      <c r="N44" s="389" t="s">
        <v>2741</v>
      </c>
      <c r="P44" s="389" t="s">
        <v>2742</v>
      </c>
    </row>
    <row r="45" spans="1:16" ht="14.25" customHeight="1">
      <c r="A45" s="385" t="s">
        <v>253</v>
      </c>
      <c r="B45" s="392" t="s">
        <v>2589</v>
      </c>
      <c r="C45" s="389">
        <v>19610</v>
      </c>
      <c r="D45" s="389">
        <v>18090</v>
      </c>
      <c r="E45" s="389">
        <v>17970</v>
      </c>
      <c r="F45" s="422"/>
      <c r="M45" s="389" t="s">
        <v>2743</v>
      </c>
      <c r="N45" s="389" t="s">
        <v>2744</v>
      </c>
      <c r="P45" s="389" t="s">
        <v>2745</v>
      </c>
    </row>
    <row r="46" spans="1:16" ht="14.25" customHeight="1">
      <c r="A46" s="385" t="s">
        <v>253</v>
      </c>
      <c r="B46" s="392" t="s">
        <v>2599</v>
      </c>
      <c r="C46" s="389">
        <v>21660</v>
      </c>
      <c r="D46" s="389">
        <v>19190</v>
      </c>
      <c r="E46" s="389">
        <v>19790</v>
      </c>
      <c r="F46" s="422"/>
      <c r="M46" s="389" t="s">
        <v>2746</v>
      </c>
      <c r="N46" s="389" t="s">
        <v>2747</v>
      </c>
      <c r="P46" s="389" t="s">
        <v>2748</v>
      </c>
    </row>
    <row r="47" spans="1:16" ht="14.25" customHeight="1">
      <c r="A47" s="385" t="s">
        <v>253</v>
      </c>
      <c r="B47" s="392" t="s">
        <v>2609</v>
      </c>
      <c r="C47" s="389">
        <v>18220</v>
      </c>
      <c r="D47" s="389"/>
      <c r="E47" s="389">
        <v>17220</v>
      </c>
      <c r="F47" s="422"/>
      <c r="M47" s="389" t="s">
        <v>2749</v>
      </c>
      <c r="N47" s="389" t="s">
        <v>2750</v>
      </c>
    </row>
    <row r="48" spans="1:16" ht="14.25" customHeight="1">
      <c r="A48" s="385" t="s">
        <v>253</v>
      </c>
      <c r="B48" s="394" t="s">
        <v>2618</v>
      </c>
      <c r="C48" s="400">
        <v>19430</v>
      </c>
      <c r="D48" s="400"/>
      <c r="E48" s="400">
        <v>17830</v>
      </c>
      <c r="F48" s="424"/>
      <c r="M48" s="389" t="s">
        <v>2751</v>
      </c>
      <c r="N48" s="389" t="s">
        <v>2752</v>
      </c>
    </row>
    <row r="49" spans="1:14" ht="14.25" customHeight="1">
      <c r="A49" s="385" t="s">
        <v>261</v>
      </c>
      <c r="B49" s="386" t="s">
        <v>2418</v>
      </c>
      <c r="C49" s="386">
        <v>17090</v>
      </c>
      <c r="D49" s="386">
        <v>16950</v>
      </c>
      <c r="E49" s="386">
        <v>16310</v>
      </c>
      <c r="F49" s="419">
        <v>4540</v>
      </c>
      <c r="M49" s="389" t="s">
        <v>2753</v>
      </c>
      <c r="N49" s="389" t="s">
        <v>2754</v>
      </c>
    </row>
    <row r="50" spans="1:14" ht="14.25" customHeight="1">
      <c r="A50" s="385" t="s">
        <v>261</v>
      </c>
      <c r="B50" s="389" t="s">
        <v>2431</v>
      </c>
      <c r="C50" s="389">
        <v>19040</v>
      </c>
      <c r="D50" s="389">
        <v>16960</v>
      </c>
      <c r="E50" s="389">
        <v>14800</v>
      </c>
      <c r="F50" s="422">
        <v>3940</v>
      </c>
    </row>
    <row r="51" spans="1:14" ht="14.25" customHeight="1">
      <c r="A51" s="385" t="s">
        <v>261</v>
      </c>
      <c r="B51" s="389" t="s">
        <v>2445</v>
      </c>
      <c r="C51" s="389">
        <v>17040</v>
      </c>
      <c r="D51" s="389">
        <v>16930</v>
      </c>
      <c r="E51" s="389">
        <v>15030</v>
      </c>
      <c r="F51" s="422">
        <v>4120</v>
      </c>
    </row>
    <row r="52" spans="1:14" ht="14.25" customHeight="1">
      <c r="A52" s="385" t="s">
        <v>261</v>
      </c>
      <c r="B52" s="389" t="s">
        <v>2457</v>
      </c>
      <c r="C52" s="389">
        <v>17110</v>
      </c>
      <c r="D52" s="389">
        <v>17750</v>
      </c>
      <c r="E52" s="389">
        <v>17310</v>
      </c>
      <c r="F52" s="422">
        <v>3220</v>
      </c>
    </row>
    <row r="53" spans="1:14" ht="14.25" customHeight="1">
      <c r="A53" s="385" t="s">
        <v>261</v>
      </c>
      <c r="B53" s="389" t="s">
        <v>2469</v>
      </c>
      <c r="C53" s="389">
        <v>17810</v>
      </c>
      <c r="D53" s="389">
        <v>17260</v>
      </c>
      <c r="E53" s="389">
        <v>17090</v>
      </c>
      <c r="F53" s="422">
        <v>3520</v>
      </c>
    </row>
    <row r="54" spans="1:14" ht="14.25" customHeight="1">
      <c r="A54" s="385" t="s">
        <v>261</v>
      </c>
      <c r="B54" s="389" t="s">
        <v>2480</v>
      </c>
      <c r="C54" s="389">
        <v>17410</v>
      </c>
      <c r="D54" s="389">
        <v>16780</v>
      </c>
      <c r="E54" s="389">
        <v>16370</v>
      </c>
      <c r="F54" s="422">
        <v>3410</v>
      </c>
    </row>
    <row r="55" spans="1:14" ht="14.25" customHeight="1">
      <c r="A55" s="385" t="s">
        <v>261</v>
      </c>
      <c r="B55" s="389" t="s">
        <v>2491</v>
      </c>
      <c r="C55" s="389">
        <v>16930</v>
      </c>
      <c r="D55" s="389">
        <v>14720</v>
      </c>
      <c r="E55" s="389">
        <v>15000</v>
      </c>
      <c r="F55" s="422">
        <v>3710</v>
      </c>
    </row>
    <row r="56" spans="1:14" ht="14.25" customHeight="1">
      <c r="A56" s="385" t="s">
        <v>261</v>
      </c>
      <c r="B56" s="389" t="s">
        <v>2502</v>
      </c>
      <c r="C56" s="389">
        <v>14930</v>
      </c>
      <c r="D56" s="389">
        <v>15850</v>
      </c>
      <c r="E56" s="389">
        <v>14320</v>
      </c>
      <c r="F56" s="422">
        <v>3960</v>
      </c>
    </row>
    <row r="57" spans="1:14" ht="14.25" customHeight="1">
      <c r="A57" s="385" t="s">
        <v>261</v>
      </c>
      <c r="B57" s="389" t="s">
        <v>2512</v>
      </c>
      <c r="C57" s="389">
        <v>16160</v>
      </c>
      <c r="D57" s="389">
        <v>16190</v>
      </c>
      <c r="E57" s="389">
        <v>15650</v>
      </c>
      <c r="F57" s="422">
        <v>4200</v>
      </c>
    </row>
    <row r="58" spans="1:14" ht="14.25" customHeight="1">
      <c r="A58" s="385" t="s">
        <v>261</v>
      </c>
      <c r="B58" s="389" t="s">
        <v>2522</v>
      </c>
      <c r="C58" s="389">
        <v>16360</v>
      </c>
      <c r="D58" s="389">
        <v>14050</v>
      </c>
      <c r="E58" s="389">
        <v>16070</v>
      </c>
      <c r="F58" s="422">
        <v>3990</v>
      </c>
    </row>
    <row r="59" spans="1:14" ht="14.25" customHeight="1">
      <c r="A59" s="385" t="s">
        <v>261</v>
      </c>
      <c r="B59" s="389" t="s">
        <v>2532</v>
      </c>
      <c r="C59" s="389">
        <v>14160</v>
      </c>
      <c r="D59" s="389">
        <v>16620</v>
      </c>
      <c r="E59" s="389">
        <v>13940</v>
      </c>
      <c r="F59" s="422">
        <v>4260</v>
      </c>
    </row>
    <row r="60" spans="1:14" ht="14.25" customHeight="1">
      <c r="A60" s="385" t="s">
        <v>261</v>
      </c>
      <c r="B60" s="389" t="s">
        <v>2542</v>
      </c>
      <c r="C60" s="389">
        <v>16750</v>
      </c>
      <c r="D60" s="389">
        <v>13910</v>
      </c>
      <c r="E60" s="389">
        <v>16550</v>
      </c>
      <c r="F60" s="422">
        <v>4550</v>
      </c>
    </row>
    <row r="61" spans="1:14" ht="14.25" customHeight="1">
      <c r="A61" s="385" t="s">
        <v>261</v>
      </c>
      <c r="B61" s="389" t="s">
        <v>2551</v>
      </c>
      <c r="C61" s="389">
        <v>14000</v>
      </c>
      <c r="D61" s="389">
        <v>14550</v>
      </c>
      <c r="E61" s="389">
        <v>13860</v>
      </c>
      <c r="F61" s="425"/>
    </row>
    <row r="62" spans="1:14" ht="14.25" customHeight="1">
      <c r="A62" s="385" t="s">
        <v>261</v>
      </c>
      <c r="B62" s="389" t="s">
        <v>2561</v>
      </c>
      <c r="C62" s="389">
        <v>14660</v>
      </c>
      <c r="D62" s="389">
        <v>17450</v>
      </c>
      <c r="E62" s="389">
        <v>14470</v>
      </c>
      <c r="F62" s="425"/>
    </row>
    <row r="63" spans="1:14" ht="14.25" customHeight="1">
      <c r="A63" s="385" t="s">
        <v>261</v>
      </c>
      <c r="B63" s="389" t="s">
        <v>2570</v>
      </c>
      <c r="C63" s="389">
        <v>17610</v>
      </c>
      <c r="D63" s="389">
        <v>16500</v>
      </c>
      <c r="E63" s="389">
        <v>17330</v>
      </c>
      <c r="F63" s="425"/>
    </row>
    <row r="64" spans="1:14" ht="14.25" customHeight="1">
      <c r="A64" s="385" t="s">
        <v>261</v>
      </c>
      <c r="B64" s="389" t="s">
        <v>2580</v>
      </c>
      <c r="C64" s="389">
        <v>16590</v>
      </c>
      <c r="D64" s="389">
        <v>15130</v>
      </c>
      <c r="E64" s="389">
        <v>16420</v>
      </c>
      <c r="F64" s="425"/>
    </row>
    <row r="65" spans="1:6" s="411" customFormat="1" ht="14.25" customHeight="1">
      <c r="A65" s="385" t="s">
        <v>261</v>
      </c>
      <c r="B65" s="389" t="s">
        <v>2590</v>
      </c>
      <c r="C65" s="389">
        <v>15220</v>
      </c>
      <c r="D65" s="389">
        <v>14660</v>
      </c>
      <c r="E65" s="389">
        <v>15060</v>
      </c>
      <c r="F65" s="422"/>
    </row>
    <row r="66" spans="1:6" s="411" customFormat="1" ht="14.25" customHeight="1">
      <c r="A66" s="385" t="s">
        <v>261</v>
      </c>
      <c r="B66" s="389" t="s">
        <v>2600</v>
      </c>
      <c r="C66" s="389">
        <v>14720</v>
      </c>
      <c r="D66" s="389">
        <v>15970</v>
      </c>
      <c r="E66" s="389">
        <v>14610</v>
      </c>
      <c r="F66" s="422"/>
    </row>
    <row r="67" spans="1:6" s="411" customFormat="1" ht="14.25" customHeight="1">
      <c r="A67" s="385" t="s">
        <v>261</v>
      </c>
      <c r="B67" s="389" t="s">
        <v>2610</v>
      </c>
      <c r="C67" s="389">
        <v>16080</v>
      </c>
      <c r="D67" s="389">
        <v>14840</v>
      </c>
      <c r="E67" s="389">
        <v>15630</v>
      </c>
      <c r="F67" s="422"/>
    </row>
    <row r="68" spans="1:6" s="411" customFormat="1" ht="14.25" customHeight="1">
      <c r="A68" s="385" t="s">
        <v>261</v>
      </c>
      <c r="B68" s="389" t="s">
        <v>2619</v>
      </c>
      <c r="C68" s="389">
        <v>14940</v>
      </c>
      <c r="D68" s="389">
        <v>18000</v>
      </c>
      <c r="E68" s="389">
        <v>14040</v>
      </c>
      <c r="F68" s="422"/>
    </row>
    <row r="69" spans="1:6" s="411" customFormat="1" ht="14.25" customHeight="1">
      <c r="A69" s="385" t="s">
        <v>261</v>
      </c>
      <c r="B69" s="389" t="s">
        <v>2627</v>
      </c>
      <c r="C69" s="389">
        <v>18810</v>
      </c>
      <c r="D69" s="389">
        <v>15100</v>
      </c>
      <c r="E69" s="389">
        <v>14710</v>
      </c>
      <c r="F69" s="422"/>
    </row>
    <row r="70" spans="1:6" s="411" customFormat="1" ht="14.25" customHeight="1">
      <c r="A70" s="385" t="s">
        <v>261</v>
      </c>
      <c r="B70" s="389" t="s">
        <v>2635</v>
      </c>
      <c r="C70" s="389">
        <v>18270</v>
      </c>
      <c r="D70" s="389"/>
      <c r="E70" s="389"/>
      <c r="F70" s="422"/>
    </row>
    <row r="71" spans="1:6" s="411" customFormat="1" ht="14.25" customHeight="1">
      <c r="A71" s="385" t="s">
        <v>261</v>
      </c>
      <c r="B71" s="389" t="s">
        <v>2642</v>
      </c>
      <c r="C71" s="389">
        <v>15230</v>
      </c>
      <c r="D71" s="389"/>
      <c r="E71" s="389"/>
      <c r="F71" s="422"/>
    </row>
    <row r="72" spans="1:6" s="411" customFormat="1" ht="14.25" customHeight="1">
      <c r="A72" s="385" t="s">
        <v>261</v>
      </c>
      <c r="B72" s="389" t="s">
        <v>2649</v>
      </c>
      <c r="C72" s="389"/>
      <c r="D72" s="389"/>
      <c r="E72" s="389"/>
      <c r="F72" s="422">
        <v>4120</v>
      </c>
    </row>
    <row r="73" spans="1:6" s="411" customFormat="1" ht="14.25" customHeight="1">
      <c r="A73" s="385" t="s">
        <v>261</v>
      </c>
      <c r="B73" s="389" t="s">
        <v>2656</v>
      </c>
      <c r="C73" s="389"/>
      <c r="D73" s="389"/>
      <c r="E73" s="389"/>
      <c r="F73" s="422">
        <v>3930</v>
      </c>
    </row>
    <row r="74" spans="1:6" s="411" customFormat="1" ht="14.25" customHeight="1">
      <c r="A74" s="385" t="s">
        <v>261</v>
      </c>
      <c r="B74" s="389" t="s">
        <v>2663</v>
      </c>
      <c r="C74" s="389"/>
      <c r="D74" s="389"/>
      <c r="E74" s="389"/>
      <c r="F74" s="422">
        <v>4060</v>
      </c>
    </row>
    <row r="75" spans="1:6" s="411" customFormat="1" ht="14.25" customHeight="1">
      <c r="A75" s="385" t="s">
        <v>261</v>
      </c>
      <c r="B75" s="400" t="s">
        <v>2670</v>
      </c>
      <c r="C75" s="400"/>
      <c r="D75" s="400"/>
      <c r="E75" s="400"/>
      <c r="F75" s="424">
        <v>3750</v>
      </c>
    </row>
    <row r="76" spans="1:6" s="411" customFormat="1" ht="14.25" customHeight="1">
      <c r="A76" s="385" t="s">
        <v>269</v>
      </c>
      <c r="B76" s="386" t="s">
        <v>2419</v>
      </c>
      <c r="C76" s="386">
        <v>14690</v>
      </c>
      <c r="D76" s="386">
        <v>14640</v>
      </c>
      <c r="E76" s="386">
        <v>14590</v>
      </c>
      <c r="F76" s="419">
        <v>3060</v>
      </c>
    </row>
    <row r="77" spans="1:6" s="411" customFormat="1" ht="14.25" customHeight="1">
      <c r="A77" s="385" t="s">
        <v>269</v>
      </c>
      <c r="B77" s="389" t="s">
        <v>2432</v>
      </c>
      <c r="C77" s="389">
        <v>12550</v>
      </c>
      <c r="D77" s="389">
        <v>12480</v>
      </c>
      <c r="E77" s="389">
        <v>12450</v>
      </c>
      <c r="F77" s="422">
        <v>2590</v>
      </c>
    </row>
    <row r="78" spans="1:6" s="411" customFormat="1" ht="14.25" customHeight="1">
      <c r="A78" s="385" t="s">
        <v>269</v>
      </c>
      <c r="B78" s="389" t="s">
        <v>2446</v>
      </c>
      <c r="C78" s="389">
        <v>14360</v>
      </c>
      <c r="D78" s="389">
        <v>14320</v>
      </c>
      <c r="E78" s="389">
        <v>12510</v>
      </c>
      <c r="F78" s="422">
        <v>2700</v>
      </c>
    </row>
    <row r="79" spans="1:6" s="411" customFormat="1" ht="14.25" customHeight="1">
      <c r="A79" s="385" t="s">
        <v>269</v>
      </c>
      <c r="B79" s="389" t="s">
        <v>2458</v>
      </c>
      <c r="C79" s="389">
        <v>12590</v>
      </c>
      <c r="D79" s="389">
        <v>12540</v>
      </c>
      <c r="E79" s="389">
        <v>12350</v>
      </c>
      <c r="F79" s="422">
        <v>2740</v>
      </c>
    </row>
    <row r="80" spans="1:6" s="411" customFormat="1" ht="14.25" customHeight="1">
      <c r="A80" s="385" t="s">
        <v>269</v>
      </c>
      <c r="B80" s="389" t="s">
        <v>2470</v>
      </c>
      <c r="C80" s="389">
        <v>12450</v>
      </c>
      <c r="D80" s="389">
        <v>12370</v>
      </c>
      <c r="E80" s="389">
        <v>10790</v>
      </c>
      <c r="F80" s="422">
        <v>2290</v>
      </c>
    </row>
    <row r="81" spans="1:6" s="411" customFormat="1" ht="14.25" customHeight="1">
      <c r="A81" s="385" t="s">
        <v>269</v>
      </c>
      <c r="B81" s="389" t="s">
        <v>2481</v>
      </c>
      <c r="C81" s="389">
        <v>14210</v>
      </c>
      <c r="D81" s="389">
        <v>14150</v>
      </c>
      <c r="E81" s="389">
        <v>12730</v>
      </c>
      <c r="F81" s="422">
        <v>2240</v>
      </c>
    </row>
    <row r="82" spans="1:6" s="411" customFormat="1" ht="14.25" customHeight="1">
      <c r="A82" s="385" t="s">
        <v>269</v>
      </c>
      <c r="B82" s="389" t="s">
        <v>2492</v>
      </c>
      <c r="C82" s="389">
        <v>10860</v>
      </c>
      <c r="D82" s="389">
        <v>10820</v>
      </c>
      <c r="E82" s="389">
        <v>14720</v>
      </c>
      <c r="F82" s="422">
        <v>2490</v>
      </c>
    </row>
    <row r="83" spans="1:6" s="411" customFormat="1" ht="14.25" customHeight="1">
      <c r="A83" s="385" t="s">
        <v>269</v>
      </c>
      <c r="B83" s="389" t="s">
        <v>2503</v>
      </c>
      <c r="C83" s="389">
        <v>12810</v>
      </c>
      <c r="D83" s="389">
        <v>12760</v>
      </c>
      <c r="E83" s="389">
        <v>14830</v>
      </c>
      <c r="F83" s="422">
        <v>2450</v>
      </c>
    </row>
    <row r="84" spans="1:6" s="411" customFormat="1" ht="14.25" customHeight="1">
      <c r="A84" s="385" t="s">
        <v>269</v>
      </c>
      <c r="B84" s="389" t="s">
        <v>2513</v>
      </c>
      <c r="C84" s="389">
        <v>14950</v>
      </c>
      <c r="D84" s="389">
        <v>14810</v>
      </c>
      <c r="E84" s="389">
        <v>12590</v>
      </c>
      <c r="F84" s="422">
        <v>2540</v>
      </c>
    </row>
    <row r="85" spans="1:6" s="411" customFormat="1" ht="14.25" customHeight="1">
      <c r="A85" s="385" t="s">
        <v>269</v>
      </c>
      <c r="B85" s="389" t="s">
        <v>2523</v>
      </c>
      <c r="C85" s="389">
        <v>14960</v>
      </c>
      <c r="D85" s="389">
        <v>14890</v>
      </c>
      <c r="E85" s="389">
        <v>12840</v>
      </c>
      <c r="F85" s="422">
        <v>2840</v>
      </c>
    </row>
    <row r="86" spans="1:6" s="411" customFormat="1" ht="14.25" customHeight="1">
      <c r="A86" s="385" t="s">
        <v>269</v>
      </c>
      <c r="B86" s="389" t="s">
        <v>2533</v>
      </c>
      <c r="C86" s="389">
        <v>12730</v>
      </c>
      <c r="D86" s="389">
        <v>12660</v>
      </c>
      <c r="E86" s="389">
        <v>13310</v>
      </c>
      <c r="F86" s="422">
        <v>3140</v>
      </c>
    </row>
    <row r="87" spans="1:6" s="411" customFormat="1" ht="14.25" customHeight="1">
      <c r="A87" s="385" t="s">
        <v>269</v>
      </c>
      <c r="B87" s="389" t="s">
        <v>2543</v>
      </c>
      <c r="C87" s="389">
        <v>12940</v>
      </c>
      <c r="D87" s="389">
        <v>12890</v>
      </c>
      <c r="E87" s="389">
        <v>11580</v>
      </c>
      <c r="F87" s="425"/>
    </row>
    <row r="88" spans="1:6" s="411" customFormat="1" ht="14.25" customHeight="1">
      <c r="A88" s="385" t="s">
        <v>269</v>
      </c>
      <c r="B88" s="389" t="s">
        <v>2552</v>
      </c>
      <c r="C88" s="389">
        <v>13430</v>
      </c>
      <c r="D88" s="389">
        <v>13360</v>
      </c>
      <c r="E88" s="389">
        <v>12790</v>
      </c>
      <c r="F88" s="425"/>
    </row>
    <row r="89" spans="1:6" s="411" customFormat="1" ht="14.25" customHeight="1">
      <c r="A89" s="385" t="s">
        <v>269</v>
      </c>
      <c r="B89" s="389" t="s">
        <v>2562</v>
      </c>
      <c r="C89" s="389">
        <v>11680</v>
      </c>
      <c r="D89" s="389">
        <v>11630</v>
      </c>
      <c r="E89" s="389">
        <v>11320</v>
      </c>
      <c r="F89" s="425"/>
    </row>
    <row r="90" spans="1:6" s="411" customFormat="1" ht="14.25" customHeight="1">
      <c r="A90" s="385" t="s">
        <v>269</v>
      </c>
      <c r="B90" s="389" t="s">
        <v>2571</v>
      </c>
      <c r="C90" s="389">
        <v>12890</v>
      </c>
      <c r="D90" s="389">
        <v>12820</v>
      </c>
      <c r="E90" s="389">
        <v>12710</v>
      </c>
      <c r="F90" s="425"/>
    </row>
    <row r="91" spans="1:6" s="411" customFormat="1" ht="14.25" customHeight="1">
      <c r="A91" s="385" t="s">
        <v>269</v>
      </c>
      <c r="B91" s="389" t="s">
        <v>2581</v>
      </c>
      <c r="C91" s="389">
        <v>11410</v>
      </c>
      <c r="D91" s="389">
        <v>11360</v>
      </c>
      <c r="E91" s="389">
        <v>12670</v>
      </c>
      <c r="F91" s="425"/>
    </row>
    <row r="92" spans="1:6" s="411" customFormat="1" ht="14.25" customHeight="1">
      <c r="A92" s="385" t="s">
        <v>269</v>
      </c>
      <c r="B92" s="389" t="s">
        <v>2591</v>
      </c>
      <c r="C92" s="389">
        <v>12770</v>
      </c>
      <c r="D92" s="389">
        <v>12740</v>
      </c>
      <c r="E92" s="389">
        <v>11970</v>
      </c>
      <c r="F92" s="425"/>
    </row>
    <row r="93" spans="1:6" s="411" customFormat="1" ht="14.25" customHeight="1">
      <c r="A93" s="385" t="s">
        <v>269</v>
      </c>
      <c r="B93" s="389" t="s">
        <v>2601</v>
      </c>
      <c r="C93" s="389">
        <v>12740</v>
      </c>
      <c r="D93" s="389">
        <v>12700</v>
      </c>
      <c r="E93" s="389">
        <v>12540</v>
      </c>
      <c r="F93" s="425"/>
    </row>
    <row r="94" spans="1:6" s="411" customFormat="1" ht="14.25" customHeight="1">
      <c r="A94" s="385" t="s">
        <v>269</v>
      </c>
      <c r="B94" s="389" t="s">
        <v>2611</v>
      </c>
      <c r="C94" s="389">
        <v>12020</v>
      </c>
      <c r="D94" s="389">
        <v>11990</v>
      </c>
      <c r="E94" s="389">
        <v>13110</v>
      </c>
      <c r="F94" s="425"/>
    </row>
    <row r="95" spans="1:6" s="411" customFormat="1" ht="14.25" customHeight="1">
      <c r="A95" s="385" t="s">
        <v>269</v>
      </c>
      <c r="B95" s="389" t="s">
        <v>2620</v>
      </c>
      <c r="C95" s="389">
        <v>12620</v>
      </c>
      <c r="D95" s="389">
        <v>12580</v>
      </c>
      <c r="E95" s="389">
        <v>13160</v>
      </c>
      <c r="F95" s="422"/>
    </row>
    <row r="96" spans="1:6" s="411" customFormat="1" ht="14.25" customHeight="1">
      <c r="A96" s="385" t="s">
        <v>269</v>
      </c>
      <c r="B96" s="389" t="s">
        <v>2628</v>
      </c>
      <c r="C96" s="389">
        <v>13200</v>
      </c>
      <c r="D96" s="389">
        <v>13150</v>
      </c>
      <c r="E96" s="389">
        <v>12900</v>
      </c>
      <c r="F96" s="422"/>
    </row>
    <row r="97" spans="1:6" s="411" customFormat="1" ht="14.25" customHeight="1">
      <c r="A97" s="385" t="s">
        <v>269</v>
      </c>
      <c r="B97" s="389" t="s">
        <v>2636</v>
      </c>
      <c r="C97" s="389">
        <v>13270</v>
      </c>
      <c r="D97" s="389">
        <v>13210</v>
      </c>
      <c r="E97" s="389">
        <v>11080</v>
      </c>
      <c r="F97" s="422"/>
    </row>
    <row r="98" spans="1:6" s="411" customFormat="1" ht="14.25" customHeight="1">
      <c r="A98" s="385" t="s">
        <v>269</v>
      </c>
      <c r="B98" s="389" t="s">
        <v>2643</v>
      </c>
      <c r="C98" s="389">
        <v>13010</v>
      </c>
      <c r="D98" s="389">
        <v>12930</v>
      </c>
      <c r="E98" s="389">
        <v>12840</v>
      </c>
      <c r="F98" s="422"/>
    </row>
    <row r="99" spans="1:6" s="411" customFormat="1" ht="14.25" customHeight="1">
      <c r="A99" s="385" t="s">
        <v>269</v>
      </c>
      <c r="B99" s="389" t="s">
        <v>2650</v>
      </c>
      <c r="C99" s="389">
        <v>11190</v>
      </c>
      <c r="D99" s="389">
        <v>11130</v>
      </c>
      <c r="E99" s="389"/>
      <c r="F99" s="422"/>
    </row>
    <row r="100" spans="1:6" s="411" customFormat="1" ht="14.25" customHeight="1">
      <c r="A100" s="385" t="s">
        <v>269</v>
      </c>
      <c r="B100" s="389" t="s">
        <v>2657</v>
      </c>
      <c r="C100" s="389">
        <v>14280</v>
      </c>
      <c r="D100" s="389">
        <v>14180</v>
      </c>
      <c r="E100" s="389"/>
      <c r="F100" s="422"/>
    </row>
    <row r="101" spans="1:6" s="411" customFormat="1" ht="14.25" customHeight="1">
      <c r="A101" s="385" t="s">
        <v>269</v>
      </c>
      <c r="B101" s="389" t="s">
        <v>2664</v>
      </c>
      <c r="C101" s="389">
        <v>12960</v>
      </c>
      <c r="D101" s="389">
        <v>12890</v>
      </c>
      <c r="E101" s="389"/>
      <c r="F101" s="422"/>
    </row>
    <row r="102" spans="1:6" s="411" customFormat="1" ht="14.25" customHeight="1">
      <c r="A102" s="385" t="s">
        <v>269</v>
      </c>
      <c r="B102" s="389" t="s">
        <v>2671</v>
      </c>
      <c r="C102" s="389"/>
      <c r="D102" s="389"/>
      <c r="E102" s="389"/>
      <c r="F102" s="422">
        <v>3100</v>
      </c>
    </row>
    <row r="103" spans="1:6" s="411" customFormat="1" ht="14.25" customHeight="1">
      <c r="A103" s="385" t="s">
        <v>269</v>
      </c>
      <c r="B103" s="389" t="s">
        <v>2676</v>
      </c>
      <c r="C103" s="389"/>
      <c r="D103" s="389"/>
      <c r="E103" s="389"/>
      <c r="F103" s="422">
        <v>2320</v>
      </c>
    </row>
    <row r="104" spans="1:6" s="411" customFormat="1" ht="14.25" customHeight="1">
      <c r="A104" s="385" t="s">
        <v>269</v>
      </c>
      <c r="B104" s="389" t="s">
        <v>2681</v>
      </c>
      <c r="C104" s="389"/>
      <c r="D104" s="389"/>
      <c r="E104" s="389"/>
      <c r="F104" s="422">
        <v>2320</v>
      </c>
    </row>
    <row r="105" spans="1:6" s="411" customFormat="1" ht="14.25" customHeight="1">
      <c r="A105" s="385" t="s">
        <v>269</v>
      </c>
      <c r="B105" s="389" t="s">
        <v>2686</v>
      </c>
      <c r="C105" s="389"/>
      <c r="D105" s="389"/>
      <c r="E105" s="389"/>
      <c r="F105" s="422">
        <v>2320</v>
      </c>
    </row>
    <row r="106" spans="1:6" s="411" customFormat="1" ht="14.25" customHeight="1">
      <c r="A106" s="385" t="s">
        <v>269</v>
      </c>
      <c r="B106" s="389" t="s">
        <v>2691</v>
      </c>
      <c r="C106" s="389"/>
      <c r="D106" s="389"/>
      <c r="E106" s="389"/>
      <c r="F106" s="422">
        <v>2320</v>
      </c>
    </row>
    <row r="107" spans="1:6" s="411" customFormat="1" ht="14.25" customHeight="1">
      <c r="A107" s="385" t="s">
        <v>269</v>
      </c>
      <c r="B107" s="389" t="s">
        <v>2696</v>
      </c>
      <c r="C107" s="389"/>
      <c r="D107" s="389"/>
      <c r="E107" s="389"/>
      <c r="F107" s="422">
        <v>2280</v>
      </c>
    </row>
    <row r="108" spans="1:6" s="411" customFormat="1" ht="14.25" customHeight="1">
      <c r="A108" s="385" t="s">
        <v>269</v>
      </c>
      <c r="B108" s="389" t="s">
        <v>2701</v>
      </c>
      <c r="C108" s="389"/>
      <c r="D108" s="389"/>
      <c r="E108" s="389"/>
      <c r="F108" s="422">
        <v>2280</v>
      </c>
    </row>
    <row r="109" spans="1:6" s="411" customFormat="1" ht="14.25" customHeight="1">
      <c r="A109" s="385" t="s">
        <v>269</v>
      </c>
      <c r="B109" s="400" t="s">
        <v>2706</v>
      </c>
      <c r="C109" s="400"/>
      <c r="D109" s="400"/>
      <c r="E109" s="400"/>
      <c r="F109" s="424">
        <v>2280</v>
      </c>
    </row>
    <row r="110" spans="1:6" s="411" customFormat="1" ht="14.25" customHeight="1">
      <c r="A110" s="385" t="s">
        <v>275</v>
      </c>
      <c r="B110" s="386" t="s">
        <v>2420</v>
      </c>
      <c r="C110" s="386">
        <v>10520</v>
      </c>
      <c r="D110" s="386">
        <v>10490</v>
      </c>
      <c r="E110" s="386">
        <v>10760</v>
      </c>
      <c r="F110" s="419">
        <v>2160</v>
      </c>
    </row>
    <row r="111" spans="1:6" s="411" customFormat="1" ht="14.25" customHeight="1">
      <c r="A111" s="385" t="s">
        <v>275</v>
      </c>
      <c r="B111" s="389" t="s">
        <v>2433</v>
      </c>
      <c r="C111" s="389">
        <v>10090</v>
      </c>
      <c r="D111" s="389">
        <v>10060</v>
      </c>
      <c r="E111" s="389">
        <v>10300</v>
      </c>
      <c r="F111" s="422">
        <v>2010</v>
      </c>
    </row>
    <row r="112" spans="1:6" s="411" customFormat="1" ht="14.25" customHeight="1">
      <c r="A112" s="385" t="s">
        <v>275</v>
      </c>
      <c r="B112" s="389" t="s">
        <v>2447</v>
      </c>
      <c r="C112" s="389">
        <v>9910</v>
      </c>
      <c r="D112" s="389">
        <v>9850</v>
      </c>
      <c r="E112" s="389">
        <v>9960</v>
      </c>
      <c r="F112" s="422">
        <v>2090</v>
      </c>
    </row>
    <row r="113" spans="1:6" s="411" customFormat="1" ht="14.25" customHeight="1">
      <c r="A113" s="385" t="s">
        <v>275</v>
      </c>
      <c r="B113" s="389" t="s">
        <v>2459</v>
      </c>
      <c r="C113" s="389">
        <v>11430</v>
      </c>
      <c r="D113" s="389">
        <v>11400</v>
      </c>
      <c r="E113" s="389">
        <v>11710</v>
      </c>
      <c r="F113" s="422">
        <v>2050</v>
      </c>
    </row>
    <row r="114" spans="1:6" s="411" customFormat="1" ht="14.25" customHeight="1">
      <c r="A114" s="385" t="s">
        <v>275</v>
      </c>
      <c r="B114" s="389" t="s">
        <v>2471</v>
      </c>
      <c r="C114" s="389">
        <v>11390</v>
      </c>
      <c r="D114" s="389">
        <v>11350</v>
      </c>
      <c r="E114" s="389">
        <v>11640</v>
      </c>
      <c r="F114" s="422">
        <v>1620</v>
      </c>
    </row>
    <row r="115" spans="1:6" s="411" customFormat="1" ht="14.25" customHeight="1">
      <c r="A115" s="385" t="s">
        <v>275</v>
      </c>
      <c r="B115" s="389" t="s">
        <v>2482</v>
      </c>
      <c r="C115" s="389">
        <v>9930</v>
      </c>
      <c r="D115" s="389">
        <v>9900</v>
      </c>
      <c r="E115" s="389">
        <v>10160</v>
      </c>
      <c r="F115" s="422">
        <v>1580</v>
      </c>
    </row>
    <row r="116" spans="1:6" s="411" customFormat="1" ht="14.25" customHeight="1">
      <c r="A116" s="385" t="s">
        <v>275</v>
      </c>
      <c r="B116" s="389" t="s">
        <v>2493</v>
      </c>
      <c r="C116" s="389">
        <v>9150</v>
      </c>
      <c r="D116" s="389">
        <v>9120</v>
      </c>
      <c r="E116" s="389">
        <v>9380</v>
      </c>
      <c r="F116" s="422">
        <v>1750</v>
      </c>
    </row>
    <row r="117" spans="1:6" s="411" customFormat="1" ht="14.25" customHeight="1">
      <c r="A117" s="385" t="s">
        <v>275</v>
      </c>
      <c r="B117" s="389" t="s">
        <v>2504</v>
      </c>
      <c r="C117" s="389">
        <v>10680</v>
      </c>
      <c r="D117" s="389">
        <v>10650</v>
      </c>
      <c r="E117" s="389">
        <v>10970</v>
      </c>
      <c r="F117" s="422">
        <v>1730</v>
      </c>
    </row>
    <row r="118" spans="1:6" s="411" customFormat="1" ht="14.25" customHeight="1">
      <c r="A118" s="385" t="s">
        <v>275</v>
      </c>
      <c r="B118" s="389" t="s">
        <v>2514</v>
      </c>
      <c r="C118" s="389">
        <v>10080</v>
      </c>
      <c r="D118" s="389">
        <v>10050</v>
      </c>
      <c r="E118" s="389">
        <v>10350</v>
      </c>
      <c r="F118" s="422">
        <v>1920</v>
      </c>
    </row>
    <row r="119" spans="1:6" s="411" customFormat="1" ht="14.25" customHeight="1">
      <c r="A119" s="385" t="s">
        <v>275</v>
      </c>
      <c r="B119" s="389" t="s">
        <v>2524</v>
      </c>
      <c r="C119" s="389">
        <v>9450</v>
      </c>
      <c r="D119" s="389">
        <v>9410</v>
      </c>
      <c r="E119" s="389">
        <v>9680</v>
      </c>
      <c r="F119" s="422">
        <v>1880</v>
      </c>
    </row>
    <row r="120" spans="1:6" s="411" customFormat="1" ht="14.25" customHeight="1">
      <c r="A120" s="385" t="s">
        <v>275</v>
      </c>
      <c r="B120" s="389" t="s">
        <v>2534</v>
      </c>
      <c r="C120" s="389">
        <v>8730</v>
      </c>
      <c r="D120" s="389">
        <v>8700</v>
      </c>
      <c r="E120" s="389">
        <v>8950</v>
      </c>
      <c r="F120" s="422">
        <v>1830</v>
      </c>
    </row>
    <row r="121" spans="1:6" s="411" customFormat="1" ht="14.25" customHeight="1">
      <c r="A121" s="385" t="s">
        <v>275</v>
      </c>
      <c r="B121" s="389" t="s">
        <v>2544</v>
      </c>
      <c r="C121" s="389">
        <v>10070</v>
      </c>
      <c r="D121" s="389">
        <v>10040</v>
      </c>
      <c r="E121" s="389">
        <v>10270</v>
      </c>
      <c r="F121" s="422">
        <v>1960</v>
      </c>
    </row>
    <row r="122" spans="1:6" s="411" customFormat="1" ht="14.25" customHeight="1">
      <c r="A122" s="385" t="s">
        <v>275</v>
      </c>
      <c r="B122" s="389" t="s">
        <v>2553</v>
      </c>
      <c r="C122" s="389">
        <v>10500</v>
      </c>
      <c r="D122" s="389">
        <v>10470</v>
      </c>
      <c r="E122" s="389">
        <v>10780</v>
      </c>
      <c r="F122" s="422">
        <v>2180</v>
      </c>
    </row>
    <row r="123" spans="1:6" s="411" customFormat="1" ht="14.25" customHeight="1">
      <c r="A123" s="385" t="s">
        <v>275</v>
      </c>
      <c r="B123" s="389" t="s">
        <v>2563</v>
      </c>
      <c r="C123" s="389">
        <v>10390</v>
      </c>
      <c r="D123" s="389">
        <v>10360</v>
      </c>
      <c r="E123" s="389">
        <v>10660</v>
      </c>
      <c r="F123" s="422">
        <v>2040</v>
      </c>
    </row>
    <row r="124" spans="1:6" s="411" customFormat="1" ht="14.25" customHeight="1">
      <c r="A124" s="385" t="s">
        <v>275</v>
      </c>
      <c r="B124" s="389" t="s">
        <v>2572</v>
      </c>
      <c r="C124" s="389">
        <v>10390</v>
      </c>
      <c r="D124" s="389">
        <v>10360</v>
      </c>
      <c r="E124" s="389">
        <v>10680</v>
      </c>
      <c r="F124" s="425"/>
    </row>
    <row r="125" spans="1:6" s="411" customFormat="1" ht="14.25" customHeight="1">
      <c r="A125" s="385" t="s">
        <v>275</v>
      </c>
      <c r="B125" s="389" t="s">
        <v>2582</v>
      </c>
      <c r="C125" s="389">
        <v>10440</v>
      </c>
      <c r="D125" s="389">
        <v>10410</v>
      </c>
      <c r="E125" s="389">
        <v>10710</v>
      </c>
      <c r="F125" s="425"/>
    </row>
    <row r="126" spans="1:6" s="411" customFormat="1" ht="14.25" customHeight="1">
      <c r="A126" s="385" t="s">
        <v>275</v>
      </c>
      <c r="B126" s="389" t="s">
        <v>2592</v>
      </c>
      <c r="C126" s="389">
        <v>10780</v>
      </c>
      <c r="D126" s="389">
        <v>10750</v>
      </c>
      <c r="E126" s="389">
        <v>11080</v>
      </c>
      <c r="F126" s="425"/>
    </row>
    <row r="127" spans="1:6" s="411" customFormat="1" ht="14.25" customHeight="1">
      <c r="A127" s="385" t="s">
        <v>275</v>
      </c>
      <c r="B127" s="389" t="s">
        <v>2602</v>
      </c>
      <c r="C127" s="389">
        <v>10100</v>
      </c>
      <c r="D127" s="389">
        <v>10070</v>
      </c>
      <c r="E127" s="389">
        <v>10350</v>
      </c>
      <c r="F127" s="425"/>
    </row>
    <row r="128" spans="1:6" s="411" customFormat="1" ht="14.25" customHeight="1">
      <c r="A128" s="385" t="s">
        <v>275</v>
      </c>
      <c r="B128" s="389" t="s">
        <v>2612</v>
      </c>
      <c r="C128" s="389">
        <v>9200</v>
      </c>
      <c r="D128" s="389">
        <v>9160</v>
      </c>
      <c r="E128" s="389">
        <v>9660</v>
      </c>
      <c r="F128" s="425"/>
    </row>
    <row r="129" spans="1:6" s="411" customFormat="1" ht="14.25" customHeight="1">
      <c r="A129" s="385" t="s">
        <v>275</v>
      </c>
      <c r="B129" s="389" t="s">
        <v>2621</v>
      </c>
      <c r="C129" s="389">
        <v>10340</v>
      </c>
      <c r="D129" s="389">
        <v>10310</v>
      </c>
      <c r="E129" s="389">
        <v>10580</v>
      </c>
      <c r="F129" s="425"/>
    </row>
    <row r="130" spans="1:6" s="411" customFormat="1" ht="14.25" customHeight="1">
      <c r="A130" s="385" t="s">
        <v>275</v>
      </c>
      <c r="B130" s="389" t="s">
        <v>2629</v>
      </c>
      <c r="C130" s="389">
        <v>9680</v>
      </c>
      <c r="D130" s="389">
        <v>9660</v>
      </c>
      <c r="E130" s="389">
        <v>9950</v>
      </c>
      <c r="F130" s="425"/>
    </row>
    <row r="131" spans="1:6" s="411" customFormat="1" ht="14.25" customHeight="1">
      <c r="A131" s="385" t="s">
        <v>275</v>
      </c>
      <c r="B131" s="389" t="s">
        <v>2637</v>
      </c>
      <c r="C131" s="389">
        <v>9540</v>
      </c>
      <c r="D131" s="389">
        <v>9510</v>
      </c>
      <c r="E131" s="389">
        <v>9790</v>
      </c>
      <c r="F131" s="425"/>
    </row>
    <row r="132" spans="1:6" s="411" customFormat="1" ht="14.25" customHeight="1">
      <c r="A132" s="385" t="s">
        <v>275</v>
      </c>
      <c r="B132" s="389" t="s">
        <v>2644</v>
      </c>
      <c r="C132" s="389">
        <v>9320</v>
      </c>
      <c r="D132" s="389">
        <v>9290</v>
      </c>
      <c r="E132" s="389">
        <v>9570</v>
      </c>
      <c r="F132" s="425"/>
    </row>
    <row r="133" spans="1:6" s="411" customFormat="1" ht="14.25" customHeight="1">
      <c r="A133" s="385" t="s">
        <v>275</v>
      </c>
      <c r="B133" s="389" t="s">
        <v>2651</v>
      </c>
      <c r="C133" s="389">
        <v>10310</v>
      </c>
      <c r="D133" s="389">
        <v>10280</v>
      </c>
      <c r="E133" s="389">
        <v>10530</v>
      </c>
      <c r="F133" s="425"/>
    </row>
    <row r="134" spans="1:6" s="411" customFormat="1" ht="14.25" customHeight="1">
      <c r="A134" s="385" t="s">
        <v>275</v>
      </c>
      <c r="B134" s="389" t="s">
        <v>2658</v>
      </c>
      <c r="C134" s="389">
        <v>10370</v>
      </c>
      <c r="D134" s="389">
        <v>10310</v>
      </c>
      <c r="E134" s="389">
        <v>10240</v>
      </c>
      <c r="F134" s="422">
        <v>2060</v>
      </c>
    </row>
    <row r="135" spans="1:6" s="411" customFormat="1" ht="14.25" customHeight="1">
      <c r="A135" s="385" t="s">
        <v>275</v>
      </c>
      <c r="B135" s="389" t="s">
        <v>2665</v>
      </c>
      <c r="C135" s="389">
        <v>9300</v>
      </c>
      <c r="D135" s="389">
        <v>9270</v>
      </c>
      <c r="E135" s="389">
        <v>9350</v>
      </c>
      <c r="F135" s="425"/>
    </row>
    <row r="136" spans="1:6" s="411" customFormat="1" ht="14.25" customHeight="1">
      <c r="A136" s="385" t="s">
        <v>275</v>
      </c>
      <c r="B136" s="389" t="s">
        <v>2672</v>
      </c>
      <c r="C136" s="389">
        <v>10160</v>
      </c>
      <c r="D136" s="389">
        <v>10110</v>
      </c>
      <c r="E136" s="389">
        <v>10080</v>
      </c>
      <c r="F136" s="425"/>
    </row>
    <row r="137" spans="1:6" s="411" customFormat="1" ht="14.25" customHeight="1">
      <c r="A137" s="385" t="s">
        <v>275</v>
      </c>
      <c r="B137" s="389" t="s">
        <v>2677</v>
      </c>
      <c r="C137" s="389">
        <v>9200</v>
      </c>
      <c r="D137" s="389">
        <v>9170</v>
      </c>
      <c r="E137" s="389">
        <v>9450</v>
      </c>
      <c r="F137" s="425"/>
    </row>
    <row r="138" spans="1:6" s="411" customFormat="1" ht="14.25" customHeight="1">
      <c r="A138" s="385" t="s">
        <v>275</v>
      </c>
      <c r="B138" s="389" t="s">
        <v>2682</v>
      </c>
      <c r="C138" s="389">
        <v>9690</v>
      </c>
      <c r="D138" s="389">
        <v>9660</v>
      </c>
      <c r="E138" s="389">
        <v>9840</v>
      </c>
      <c r="F138" s="425"/>
    </row>
    <row r="139" spans="1:6" s="411" customFormat="1" ht="14.25" customHeight="1">
      <c r="A139" s="385" t="s">
        <v>275</v>
      </c>
      <c r="B139" s="389" t="s">
        <v>2687</v>
      </c>
      <c r="C139" s="389">
        <v>10290</v>
      </c>
      <c r="D139" s="389">
        <v>10260</v>
      </c>
      <c r="E139" s="389">
        <v>10550</v>
      </c>
      <c r="F139" s="422">
        <v>1700</v>
      </c>
    </row>
    <row r="140" spans="1:6" s="411" customFormat="1" ht="14.25" customHeight="1">
      <c r="A140" s="385" t="s">
        <v>275</v>
      </c>
      <c r="B140" s="389" t="s">
        <v>2692</v>
      </c>
      <c r="C140" s="389">
        <v>9740</v>
      </c>
      <c r="D140" s="389">
        <v>9710</v>
      </c>
      <c r="E140" s="389">
        <v>10000</v>
      </c>
      <c r="F140" s="422">
        <v>2000</v>
      </c>
    </row>
    <row r="141" spans="1:6" s="411" customFormat="1" ht="14.25" customHeight="1">
      <c r="A141" s="385" t="s">
        <v>275</v>
      </c>
      <c r="B141" s="389" t="s">
        <v>2697</v>
      </c>
      <c r="C141" s="389">
        <v>9810</v>
      </c>
      <c r="D141" s="389">
        <v>9770</v>
      </c>
      <c r="E141" s="389">
        <v>10060</v>
      </c>
      <c r="F141" s="425"/>
    </row>
    <row r="142" spans="1:6" s="411" customFormat="1" ht="14.25" customHeight="1">
      <c r="A142" s="385" t="s">
        <v>275</v>
      </c>
      <c r="B142" s="389" t="s">
        <v>2702</v>
      </c>
      <c r="C142" s="389">
        <v>9300</v>
      </c>
      <c r="D142" s="389">
        <v>9270</v>
      </c>
      <c r="E142" s="389">
        <v>9530</v>
      </c>
      <c r="F142" s="425"/>
    </row>
    <row r="143" spans="1:6" s="411" customFormat="1" ht="14.25" customHeight="1">
      <c r="A143" s="385" t="s">
        <v>275</v>
      </c>
      <c r="B143" s="389" t="s">
        <v>2707</v>
      </c>
      <c r="C143" s="389">
        <v>10080</v>
      </c>
      <c r="D143" s="389">
        <v>10050</v>
      </c>
      <c r="E143" s="389">
        <v>10340</v>
      </c>
      <c r="F143" s="425"/>
    </row>
    <row r="144" spans="1:6" s="411" customFormat="1" ht="14.25" customHeight="1">
      <c r="A144" s="385" t="s">
        <v>275</v>
      </c>
      <c r="B144" s="389" t="s">
        <v>2711</v>
      </c>
      <c r="C144" s="389">
        <v>9820</v>
      </c>
      <c r="D144" s="389">
        <v>9750</v>
      </c>
      <c r="E144" s="389">
        <v>9900</v>
      </c>
      <c r="F144" s="425"/>
    </row>
    <row r="145" spans="1:6" s="411" customFormat="1" ht="14.25" customHeight="1">
      <c r="A145" s="385" t="s">
        <v>275</v>
      </c>
      <c r="B145" s="389" t="s">
        <v>2715</v>
      </c>
      <c r="C145" s="389"/>
      <c r="D145" s="389"/>
      <c r="E145" s="389"/>
      <c r="F145" s="422">
        <v>1740</v>
      </c>
    </row>
    <row r="146" spans="1:6" s="411" customFormat="1" ht="14.25" customHeight="1">
      <c r="A146" s="385" t="s">
        <v>275</v>
      </c>
      <c r="B146" s="389" t="s">
        <v>2719</v>
      </c>
      <c r="C146" s="389"/>
      <c r="D146" s="389"/>
      <c r="E146" s="389"/>
      <c r="F146" s="422">
        <v>1740</v>
      </c>
    </row>
    <row r="147" spans="1:6" s="411" customFormat="1" ht="14.25" customHeight="1">
      <c r="A147" s="385" t="s">
        <v>275</v>
      </c>
      <c r="B147" s="389" t="s">
        <v>2723</v>
      </c>
      <c r="C147" s="389"/>
      <c r="D147" s="389"/>
      <c r="E147" s="389"/>
      <c r="F147" s="422">
        <v>1740</v>
      </c>
    </row>
    <row r="148" spans="1:6" s="411" customFormat="1" ht="14.25" customHeight="1">
      <c r="A148" s="385" t="s">
        <v>275</v>
      </c>
      <c r="B148" s="389" t="s">
        <v>2727</v>
      </c>
      <c r="C148" s="389"/>
      <c r="D148" s="389"/>
      <c r="E148" s="389"/>
      <c r="F148" s="422">
        <v>1740</v>
      </c>
    </row>
    <row r="149" spans="1:6" s="411" customFormat="1" ht="14.25" customHeight="1">
      <c r="A149" s="385" t="s">
        <v>275</v>
      </c>
      <c r="B149" s="389" t="s">
        <v>2731</v>
      </c>
      <c r="C149" s="389"/>
      <c r="D149" s="389"/>
      <c r="E149" s="389"/>
      <c r="F149" s="422">
        <v>1740</v>
      </c>
    </row>
    <row r="150" spans="1:6" s="411" customFormat="1" ht="14.25" customHeight="1">
      <c r="A150" s="385" t="s">
        <v>275</v>
      </c>
      <c r="B150" s="389" t="s">
        <v>2734</v>
      </c>
      <c r="C150" s="389"/>
      <c r="D150" s="389"/>
      <c r="E150" s="389"/>
      <c r="F150" s="422">
        <v>1610</v>
      </c>
    </row>
    <row r="151" spans="1:6" s="411" customFormat="1" ht="14.25" customHeight="1">
      <c r="A151" s="385" t="s">
        <v>275</v>
      </c>
      <c r="B151" s="389" t="s">
        <v>2737</v>
      </c>
      <c r="C151" s="389"/>
      <c r="D151" s="389"/>
      <c r="E151" s="389"/>
      <c r="F151" s="422">
        <v>1610</v>
      </c>
    </row>
    <row r="152" spans="1:6" s="411" customFormat="1" ht="14.25" customHeight="1">
      <c r="A152" s="385" t="s">
        <v>275</v>
      </c>
      <c r="B152" s="389" t="s">
        <v>2740</v>
      </c>
      <c r="C152" s="389"/>
      <c r="D152" s="389"/>
      <c r="E152" s="389"/>
      <c r="F152" s="422">
        <v>1610</v>
      </c>
    </row>
    <row r="153" spans="1:6" s="411" customFormat="1" ht="14.25" customHeight="1">
      <c r="A153" s="385" t="s">
        <v>275</v>
      </c>
      <c r="B153" s="389" t="s">
        <v>2743</v>
      </c>
      <c r="C153" s="389"/>
      <c r="D153" s="389"/>
      <c r="E153" s="389"/>
      <c r="F153" s="422">
        <v>1610</v>
      </c>
    </row>
    <row r="154" spans="1:6" s="411" customFormat="1" ht="14.25" customHeight="1">
      <c r="A154" s="385" t="s">
        <v>275</v>
      </c>
      <c r="B154" s="389" t="s">
        <v>2746</v>
      </c>
      <c r="C154" s="389"/>
      <c r="D154" s="389"/>
      <c r="E154" s="389"/>
      <c r="F154" s="422">
        <v>1610</v>
      </c>
    </row>
    <row r="155" spans="1:6" s="411" customFormat="1" ht="14.25" customHeight="1">
      <c r="A155" s="385" t="s">
        <v>275</v>
      </c>
      <c r="B155" s="389" t="s">
        <v>2749</v>
      </c>
      <c r="C155" s="389"/>
      <c r="D155" s="389"/>
      <c r="E155" s="389"/>
      <c r="F155" s="422">
        <v>1800</v>
      </c>
    </row>
    <row r="156" spans="1:6" s="411" customFormat="1" ht="14.25" customHeight="1">
      <c r="A156" s="385" t="s">
        <v>275</v>
      </c>
      <c r="B156" s="389" t="s">
        <v>2751</v>
      </c>
      <c r="C156" s="389"/>
      <c r="D156" s="389"/>
      <c r="E156" s="389"/>
      <c r="F156" s="422">
        <v>1910</v>
      </c>
    </row>
    <row r="157" spans="1:6" s="411" customFormat="1" ht="14.25" customHeight="1">
      <c r="A157" s="385" t="s">
        <v>275</v>
      </c>
      <c r="B157" s="400" t="s">
        <v>2753</v>
      </c>
      <c r="C157" s="400"/>
      <c r="D157" s="400"/>
      <c r="E157" s="400"/>
      <c r="F157" s="424">
        <v>1500</v>
      </c>
    </row>
    <row r="158" spans="1:6" s="411" customFormat="1" ht="14.25" customHeight="1">
      <c r="A158" s="385" t="s">
        <v>280</v>
      </c>
      <c r="B158" s="386" t="s">
        <v>2421</v>
      </c>
      <c r="C158" s="386">
        <v>8170</v>
      </c>
      <c r="D158" s="386">
        <v>8140</v>
      </c>
      <c r="E158" s="386">
        <v>8590</v>
      </c>
      <c r="F158" s="419">
        <v>1450</v>
      </c>
    </row>
    <row r="159" spans="1:6" s="411" customFormat="1" ht="14.25" customHeight="1">
      <c r="A159" s="385" t="s">
        <v>280</v>
      </c>
      <c r="B159" s="389" t="s">
        <v>2434</v>
      </c>
      <c r="C159" s="389">
        <v>7410</v>
      </c>
      <c r="D159" s="389">
        <v>7370</v>
      </c>
      <c r="E159" s="389">
        <v>8030</v>
      </c>
      <c r="F159" s="422">
        <v>1510</v>
      </c>
    </row>
    <row r="160" spans="1:6" s="411" customFormat="1" ht="14.25" customHeight="1">
      <c r="A160" s="385" t="s">
        <v>280</v>
      </c>
      <c r="B160" s="389" t="s">
        <v>2448</v>
      </c>
      <c r="C160" s="389">
        <v>7240</v>
      </c>
      <c r="D160" s="389">
        <v>7210</v>
      </c>
      <c r="E160" s="389">
        <v>7860</v>
      </c>
      <c r="F160" s="422">
        <v>1370</v>
      </c>
    </row>
    <row r="161" spans="1:6" s="411" customFormat="1" ht="14.25" customHeight="1">
      <c r="A161" s="385" t="s">
        <v>280</v>
      </c>
      <c r="B161" s="389" t="s">
        <v>2460</v>
      </c>
      <c r="C161" s="389">
        <v>7720</v>
      </c>
      <c r="D161" s="389">
        <v>7690</v>
      </c>
      <c r="E161" s="389">
        <v>8200</v>
      </c>
      <c r="F161" s="422">
        <v>1190</v>
      </c>
    </row>
    <row r="162" spans="1:6" s="411" customFormat="1" ht="14.25" customHeight="1">
      <c r="A162" s="385" t="s">
        <v>280</v>
      </c>
      <c r="B162" s="389" t="s">
        <v>2472</v>
      </c>
      <c r="C162" s="389">
        <v>6900</v>
      </c>
      <c r="D162" s="389">
        <v>6870</v>
      </c>
      <c r="E162" s="389">
        <v>7500</v>
      </c>
      <c r="F162" s="422">
        <v>1390</v>
      </c>
    </row>
    <row r="163" spans="1:6" s="411" customFormat="1" ht="14.25" customHeight="1">
      <c r="A163" s="385" t="s">
        <v>280</v>
      </c>
      <c r="B163" s="389" t="s">
        <v>2483</v>
      </c>
      <c r="C163" s="389">
        <v>7120</v>
      </c>
      <c r="D163" s="389">
        <v>7090</v>
      </c>
      <c r="E163" s="389">
        <v>7690</v>
      </c>
      <c r="F163" s="422">
        <v>1230</v>
      </c>
    </row>
    <row r="164" spans="1:6" s="411" customFormat="1" ht="14.25" customHeight="1">
      <c r="A164" s="385" t="s">
        <v>280</v>
      </c>
      <c r="B164" s="389" t="s">
        <v>2494</v>
      </c>
      <c r="C164" s="389">
        <v>6560</v>
      </c>
      <c r="D164" s="389">
        <v>6530</v>
      </c>
      <c r="E164" s="389">
        <v>7110</v>
      </c>
      <c r="F164" s="422">
        <v>1340</v>
      </c>
    </row>
    <row r="165" spans="1:6" s="411" customFormat="1" ht="14.25" customHeight="1">
      <c r="A165" s="385" t="s">
        <v>280</v>
      </c>
      <c r="B165" s="389" t="s">
        <v>2505</v>
      </c>
      <c r="C165" s="389">
        <v>7450</v>
      </c>
      <c r="D165" s="389">
        <v>7430</v>
      </c>
      <c r="E165" s="389">
        <v>8110</v>
      </c>
      <c r="F165" s="422">
        <v>1290</v>
      </c>
    </row>
    <row r="166" spans="1:6" s="411" customFormat="1" ht="14.25" customHeight="1">
      <c r="A166" s="385" t="s">
        <v>280</v>
      </c>
      <c r="B166" s="389" t="s">
        <v>2515</v>
      </c>
      <c r="C166" s="389">
        <v>7490</v>
      </c>
      <c r="D166" s="389">
        <v>7460</v>
      </c>
      <c r="E166" s="389">
        <v>8150</v>
      </c>
      <c r="F166" s="422">
        <v>1350</v>
      </c>
    </row>
    <row r="167" spans="1:6" s="411" customFormat="1" ht="14.25" customHeight="1">
      <c r="A167" s="385" t="s">
        <v>280</v>
      </c>
      <c r="B167" s="389" t="s">
        <v>2525</v>
      </c>
      <c r="C167" s="389">
        <v>7540</v>
      </c>
      <c r="D167" s="389">
        <v>7510</v>
      </c>
      <c r="E167" s="389">
        <v>8030</v>
      </c>
      <c r="F167" s="425"/>
    </row>
    <row r="168" spans="1:6" s="411" customFormat="1" ht="14.25" customHeight="1">
      <c r="A168" s="385" t="s">
        <v>280</v>
      </c>
      <c r="B168" s="389" t="s">
        <v>2535</v>
      </c>
      <c r="C168" s="389">
        <v>7210</v>
      </c>
      <c r="D168" s="389">
        <v>7180</v>
      </c>
      <c r="E168" s="389">
        <v>7830</v>
      </c>
      <c r="F168" s="425"/>
    </row>
    <row r="169" spans="1:6" s="411" customFormat="1" ht="14.25" customHeight="1">
      <c r="A169" s="385" t="s">
        <v>280</v>
      </c>
      <c r="B169" s="389" t="s">
        <v>2545</v>
      </c>
      <c r="C169" s="389">
        <v>7040</v>
      </c>
      <c r="D169" s="389">
        <v>7020</v>
      </c>
      <c r="E169" s="389">
        <v>7670</v>
      </c>
      <c r="F169" s="425"/>
    </row>
    <row r="170" spans="1:6" s="411" customFormat="1" ht="14.25" customHeight="1">
      <c r="A170" s="385" t="s">
        <v>280</v>
      </c>
      <c r="B170" s="389" t="s">
        <v>2554</v>
      </c>
      <c r="C170" s="389">
        <v>8040</v>
      </c>
      <c r="D170" s="389">
        <v>7190</v>
      </c>
      <c r="E170" s="389">
        <v>7850</v>
      </c>
      <c r="F170" s="425"/>
    </row>
    <row r="171" spans="1:6" s="411" customFormat="1" ht="14.25" customHeight="1">
      <c r="A171" s="385" t="s">
        <v>280</v>
      </c>
      <c r="B171" s="389" t="s">
        <v>2564</v>
      </c>
      <c r="C171" s="389">
        <v>7860</v>
      </c>
      <c r="D171" s="389">
        <v>7720</v>
      </c>
      <c r="E171" s="389">
        <v>8150</v>
      </c>
      <c r="F171" s="422">
        <v>1110</v>
      </c>
    </row>
    <row r="172" spans="1:6" s="411" customFormat="1" ht="14.25" customHeight="1">
      <c r="A172" s="385" t="s">
        <v>280</v>
      </c>
      <c r="B172" s="389" t="s">
        <v>2573</v>
      </c>
      <c r="C172" s="389">
        <v>7210</v>
      </c>
      <c r="D172" s="389">
        <v>7170</v>
      </c>
      <c r="E172" s="389">
        <v>7320</v>
      </c>
      <c r="F172" s="425"/>
    </row>
    <row r="173" spans="1:6" s="411" customFormat="1" ht="14.25" customHeight="1">
      <c r="A173" s="385" t="s">
        <v>280</v>
      </c>
      <c r="B173" s="389" t="s">
        <v>2583</v>
      </c>
      <c r="C173" s="389">
        <v>6860</v>
      </c>
      <c r="D173" s="389">
        <v>6810</v>
      </c>
      <c r="E173" s="389">
        <v>7440</v>
      </c>
      <c r="F173" s="425"/>
    </row>
    <row r="174" spans="1:6" s="411" customFormat="1" ht="14.25" customHeight="1">
      <c r="A174" s="385" t="s">
        <v>280</v>
      </c>
      <c r="B174" s="389" t="s">
        <v>2593</v>
      </c>
      <c r="C174" s="389">
        <v>7120</v>
      </c>
      <c r="D174" s="389">
        <v>7090</v>
      </c>
      <c r="E174" s="389">
        <v>7500</v>
      </c>
      <c r="F174" s="422">
        <v>1490</v>
      </c>
    </row>
    <row r="175" spans="1:6" s="411" customFormat="1" ht="14.25" customHeight="1">
      <c r="A175" s="385" t="s">
        <v>280</v>
      </c>
      <c r="B175" s="389" t="s">
        <v>2603</v>
      </c>
      <c r="C175" s="389">
        <v>7850</v>
      </c>
      <c r="D175" s="389">
        <v>7820</v>
      </c>
      <c r="E175" s="389">
        <v>8120</v>
      </c>
      <c r="F175" s="422">
        <v>1530</v>
      </c>
    </row>
    <row r="176" spans="1:6" s="411" customFormat="1" ht="14.25" customHeight="1">
      <c r="A176" s="385" t="s">
        <v>280</v>
      </c>
      <c r="B176" s="389" t="s">
        <v>2613</v>
      </c>
      <c r="C176" s="389">
        <v>7620</v>
      </c>
      <c r="D176" s="389">
        <v>7570</v>
      </c>
      <c r="E176" s="389">
        <v>7990</v>
      </c>
      <c r="F176" s="422">
        <v>1480</v>
      </c>
    </row>
    <row r="177" spans="1:6" s="411" customFormat="1" ht="14.25" customHeight="1">
      <c r="A177" s="385" t="s">
        <v>280</v>
      </c>
      <c r="B177" s="389" t="s">
        <v>2622</v>
      </c>
      <c r="C177" s="389">
        <v>8590</v>
      </c>
      <c r="D177" s="389">
        <v>8570</v>
      </c>
      <c r="E177" s="389">
        <v>8740</v>
      </c>
      <c r="F177" s="422">
        <v>1540</v>
      </c>
    </row>
    <row r="178" spans="1:6" s="411" customFormat="1" ht="14.25" customHeight="1">
      <c r="A178" s="385" t="s">
        <v>280</v>
      </c>
      <c r="B178" s="389" t="s">
        <v>2630</v>
      </c>
      <c r="C178" s="389">
        <v>7510</v>
      </c>
      <c r="D178" s="389">
        <v>7470</v>
      </c>
      <c r="E178" s="389">
        <v>8090</v>
      </c>
      <c r="F178" s="422">
        <v>1320</v>
      </c>
    </row>
    <row r="179" spans="1:6" s="411" customFormat="1" ht="14.25" customHeight="1">
      <c r="A179" s="385" t="s">
        <v>280</v>
      </c>
      <c r="B179" s="389" t="s">
        <v>2638</v>
      </c>
      <c r="C179" s="389">
        <v>6380</v>
      </c>
      <c r="D179" s="389">
        <v>6340</v>
      </c>
      <c r="E179" s="389">
        <v>6810</v>
      </c>
      <c r="F179" s="425"/>
    </row>
    <row r="180" spans="1:6" s="411" customFormat="1" ht="14.25" customHeight="1">
      <c r="A180" s="385" t="s">
        <v>280</v>
      </c>
      <c r="B180" s="389" t="s">
        <v>2645</v>
      </c>
      <c r="C180" s="389">
        <v>7830</v>
      </c>
      <c r="D180" s="389">
        <v>7800</v>
      </c>
      <c r="E180" s="389">
        <v>7780</v>
      </c>
      <c r="F180" s="422">
        <v>1440</v>
      </c>
    </row>
    <row r="181" spans="1:6" s="411" customFormat="1" ht="14.25" customHeight="1">
      <c r="A181" s="385" t="s">
        <v>280</v>
      </c>
      <c r="B181" s="389" t="s">
        <v>2652</v>
      </c>
      <c r="C181" s="389">
        <v>7110</v>
      </c>
      <c r="D181" s="389">
        <v>7080</v>
      </c>
      <c r="E181" s="389">
        <v>7730</v>
      </c>
      <c r="F181" s="422">
        <v>1350</v>
      </c>
    </row>
    <row r="182" spans="1:6" s="411" customFormat="1" ht="14.25" customHeight="1">
      <c r="A182" s="385" t="s">
        <v>280</v>
      </c>
      <c r="B182" s="389" t="s">
        <v>2659</v>
      </c>
      <c r="C182" s="389">
        <v>7310</v>
      </c>
      <c r="D182" s="389">
        <v>7280</v>
      </c>
      <c r="E182" s="389">
        <v>7950</v>
      </c>
      <c r="F182" s="422">
        <v>1220</v>
      </c>
    </row>
    <row r="183" spans="1:6" s="411" customFormat="1" ht="14.25" customHeight="1">
      <c r="A183" s="385" t="s">
        <v>280</v>
      </c>
      <c r="B183" s="389" t="s">
        <v>2666</v>
      </c>
      <c r="C183" s="389">
        <v>7470</v>
      </c>
      <c r="D183" s="389">
        <v>7440</v>
      </c>
      <c r="E183" s="389">
        <v>7880</v>
      </c>
      <c r="F183" s="425"/>
    </row>
    <row r="184" spans="1:6" s="411" customFormat="1" ht="14.25" customHeight="1">
      <c r="A184" s="385" t="s">
        <v>280</v>
      </c>
      <c r="B184" s="389" t="s">
        <v>2673</v>
      </c>
      <c r="C184" s="389">
        <v>6960</v>
      </c>
      <c r="D184" s="389">
        <v>6930</v>
      </c>
      <c r="E184" s="389">
        <v>7570</v>
      </c>
      <c r="F184" s="425"/>
    </row>
    <row r="185" spans="1:6" s="411" customFormat="1" ht="14.25" customHeight="1">
      <c r="A185" s="385" t="s">
        <v>280</v>
      </c>
      <c r="B185" s="389" t="s">
        <v>2678</v>
      </c>
      <c r="C185" s="389">
        <v>7260</v>
      </c>
      <c r="D185" s="389">
        <v>7230</v>
      </c>
      <c r="E185" s="389">
        <v>7710</v>
      </c>
      <c r="F185" s="422">
        <v>1360</v>
      </c>
    </row>
    <row r="186" spans="1:6" s="411" customFormat="1" ht="14.25" customHeight="1">
      <c r="A186" s="385" t="s">
        <v>280</v>
      </c>
      <c r="B186" s="389" t="s">
        <v>2683</v>
      </c>
      <c r="C186" s="389"/>
      <c r="D186" s="389"/>
      <c r="E186" s="389"/>
      <c r="F186" s="422">
        <v>1560</v>
      </c>
    </row>
    <row r="187" spans="1:6" s="411" customFormat="1" ht="14.25" customHeight="1">
      <c r="A187" s="385" t="s">
        <v>280</v>
      </c>
      <c r="B187" s="389" t="s">
        <v>2688</v>
      </c>
      <c r="C187" s="389"/>
      <c r="D187" s="389"/>
      <c r="E187" s="389"/>
      <c r="F187" s="422">
        <v>1560</v>
      </c>
    </row>
    <row r="188" spans="1:6" s="411" customFormat="1" ht="14.25" customHeight="1">
      <c r="A188" s="385" t="s">
        <v>280</v>
      </c>
      <c r="B188" s="389" t="s">
        <v>2693</v>
      </c>
      <c r="C188" s="389"/>
      <c r="D188" s="389"/>
      <c r="E188" s="389"/>
      <c r="F188" s="422">
        <v>1560</v>
      </c>
    </row>
    <row r="189" spans="1:6" s="411" customFormat="1" ht="14.25" customHeight="1">
      <c r="A189" s="385" t="s">
        <v>280</v>
      </c>
      <c r="B189" s="389" t="s">
        <v>2698</v>
      </c>
      <c r="C189" s="389"/>
      <c r="D189" s="389"/>
      <c r="E189" s="389"/>
      <c r="F189" s="422">
        <v>1320</v>
      </c>
    </row>
    <row r="190" spans="1:6" s="411" customFormat="1" ht="14.25" customHeight="1">
      <c r="A190" s="385" t="s">
        <v>280</v>
      </c>
      <c r="B190" s="389" t="s">
        <v>2703</v>
      </c>
      <c r="C190" s="389"/>
      <c r="D190" s="389"/>
      <c r="E190" s="389"/>
      <c r="F190" s="422">
        <v>1320</v>
      </c>
    </row>
    <row r="191" spans="1:6" s="411" customFormat="1" ht="14.25" customHeight="1">
      <c r="A191" s="385" t="s">
        <v>280</v>
      </c>
      <c r="B191" s="389" t="s">
        <v>2708</v>
      </c>
      <c r="C191" s="389"/>
      <c r="D191" s="389"/>
      <c r="E191" s="389"/>
      <c r="F191" s="422">
        <v>1320</v>
      </c>
    </row>
    <row r="192" spans="1:6" s="411" customFormat="1" ht="14.25" customHeight="1">
      <c r="A192" s="385" t="s">
        <v>280</v>
      </c>
      <c r="B192" s="389" t="s">
        <v>2712</v>
      </c>
      <c r="C192" s="389"/>
      <c r="D192" s="389"/>
      <c r="E192" s="389"/>
      <c r="F192" s="422">
        <v>1100</v>
      </c>
    </row>
    <row r="193" spans="1:6" s="411" customFormat="1" ht="14.25" customHeight="1">
      <c r="A193" s="385" t="s">
        <v>280</v>
      </c>
      <c r="B193" s="389" t="s">
        <v>2716</v>
      </c>
      <c r="C193" s="389"/>
      <c r="D193" s="389"/>
      <c r="E193" s="389"/>
      <c r="F193" s="422">
        <v>1100</v>
      </c>
    </row>
    <row r="194" spans="1:6" s="411" customFormat="1" ht="14.25" customHeight="1">
      <c r="A194" s="385" t="s">
        <v>280</v>
      </c>
      <c r="B194" s="389" t="s">
        <v>2720</v>
      </c>
      <c r="C194" s="389"/>
      <c r="D194" s="389"/>
      <c r="E194" s="389"/>
      <c r="F194" s="422">
        <v>1080</v>
      </c>
    </row>
    <row r="195" spans="1:6" s="411" customFormat="1" ht="14.25" customHeight="1">
      <c r="A195" s="385" t="s">
        <v>280</v>
      </c>
      <c r="B195" s="389" t="s">
        <v>2724</v>
      </c>
      <c r="C195" s="389"/>
      <c r="D195" s="389"/>
      <c r="E195" s="389"/>
      <c r="F195" s="422">
        <v>1270</v>
      </c>
    </row>
    <row r="196" spans="1:6" s="411" customFormat="1" ht="14.25" customHeight="1">
      <c r="A196" s="385" t="s">
        <v>280</v>
      </c>
      <c r="B196" s="389" t="s">
        <v>2728</v>
      </c>
      <c r="C196" s="389"/>
      <c r="D196" s="389"/>
      <c r="E196" s="389"/>
      <c r="F196" s="422">
        <v>1150</v>
      </c>
    </row>
    <row r="197" spans="1:6" s="411" customFormat="1" ht="14.25" customHeight="1">
      <c r="A197" s="385" t="s">
        <v>280</v>
      </c>
      <c r="B197" s="389" t="s">
        <v>2732</v>
      </c>
      <c r="C197" s="389"/>
      <c r="D197" s="389"/>
      <c r="E197" s="389"/>
      <c r="F197" s="422">
        <v>1330</v>
      </c>
    </row>
    <row r="198" spans="1:6" s="411" customFormat="1" ht="14.25" customHeight="1">
      <c r="A198" s="385" t="s">
        <v>280</v>
      </c>
      <c r="B198" s="389" t="s">
        <v>2735</v>
      </c>
      <c r="C198" s="389"/>
      <c r="D198" s="389"/>
      <c r="E198" s="389"/>
      <c r="F198" s="422">
        <v>1170</v>
      </c>
    </row>
    <row r="199" spans="1:6" s="411" customFormat="1" ht="14.25" customHeight="1">
      <c r="A199" s="385" t="s">
        <v>280</v>
      </c>
      <c r="B199" s="389" t="s">
        <v>2738</v>
      </c>
      <c r="C199" s="389"/>
      <c r="D199" s="389"/>
      <c r="E199" s="389"/>
      <c r="F199" s="422">
        <v>1120</v>
      </c>
    </row>
    <row r="200" spans="1:6" s="411" customFormat="1" ht="14.25" customHeight="1">
      <c r="A200" s="385" t="s">
        <v>280</v>
      </c>
      <c r="B200" s="389" t="s">
        <v>2741</v>
      </c>
      <c r="C200" s="389"/>
      <c r="D200" s="389"/>
      <c r="E200" s="389"/>
      <c r="F200" s="422">
        <v>1120</v>
      </c>
    </row>
    <row r="201" spans="1:6" s="411" customFormat="1" ht="14.25" customHeight="1">
      <c r="A201" s="385" t="s">
        <v>280</v>
      </c>
      <c r="B201" s="389" t="s">
        <v>2744</v>
      </c>
      <c r="C201" s="389"/>
      <c r="D201" s="389"/>
      <c r="E201" s="389"/>
      <c r="F201" s="422">
        <v>1540</v>
      </c>
    </row>
    <row r="202" spans="1:6" s="411" customFormat="1" ht="14.25" customHeight="1">
      <c r="A202" s="385" t="s">
        <v>280</v>
      </c>
      <c r="B202" s="389" t="s">
        <v>2747</v>
      </c>
      <c r="C202" s="389"/>
      <c r="D202" s="389"/>
      <c r="E202" s="389"/>
      <c r="F202" s="422">
        <v>1310</v>
      </c>
    </row>
    <row r="203" spans="1:6" s="411" customFormat="1" ht="14.25" customHeight="1">
      <c r="A203" s="385" t="s">
        <v>280</v>
      </c>
      <c r="B203" s="389" t="s">
        <v>2750</v>
      </c>
      <c r="C203" s="389"/>
      <c r="D203" s="389"/>
      <c r="E203" s="389"/>
      <c r="F203" s="422">
        <v>1310</v>
      </c>
    </row>
    <row r="204" spans="1:6" s="411" customFormat="1" ht="14.25" customHeight="1">
      <c r="A204" s="385" t="s">
        <v>280</v>
      </c>
      <c r="B204" s="389" t="s">
        <v>2752</v>
      </c>
      <c r="C204" s="389"/>
      <c r="D204" s="389"/>
      <c r="E204" s="389"/>
      <c r="F204" s="422">
        <v>1080</v>
      </c>
    </row>
    <row r="205" spans="1:6" s="411" customFormat="1" ht="14.25" customHeight="1">
      <c r="A205" s="385" t="s">
        <v>280</v>
      </c>
      <c r="B205" s="389" t="s">
        <v>2754</v>
      </c>
      <c r="C205" s="389"/>
      <c r="D205" s="389"/>
      <c r="E205" s="389"/>
      <c r="F205" s="422">
        <v>1080</v>
      </c>
    </row>
    <row r="206" spans="1:6" s="411" customFormat="1" ht="14.25" customHeight="1">
      <c r="A206" s="385" t="s">
        <v>285</v>
      </c>
      <c r="B206" s="386" t="s">
        <v>2422</v>
      </c>
      <c r="C206" s="386">
        <v>5450</v>
      </c>
      <c r="D206" s="386">
        <v>5430</v>
      </c>
      <c r="E206" s="386">
        <v>5700</v>
      </c>
      <c r="F206" s="419">
        <v>1020</v>
      </c>
    </row>
    <row r="207" spans="1:6" s="411" customFormat="1" ht="14.25" customHeight="1">
      <c r="A207" s="385" t="s">
        <v>285</v>
      </c>
      <c r="B207" s="389" t="s">
        <v>2435</v>
      </c>
      <c r="C207" s="389">
        <v>5860</v>
      </c>
      <c r="D207" s="389">
        <v>5820</v>
      </c>
      <c r="E207" s="389">
        <v>6050</v>
      </c>
      <c r="F207" s="422">
        <v>1080</v>
      </c>
    </row>
    <row r="208" spans="1:6" s="411" customFormat="1" ht="14.25" customHeight="1">
      <c r="A208" s="385" t="s">
        <v>285</v>
      </c>
      <c r="B208" s="389" t="s">
        <v>2449</v>
      </c>
      <c r="C208" s="389">
        <v>4630</v>
      </c>
      <c r="D208" s="389">
        <v>4600</v>
      </c>
      <c r="E208" s="389">
        <v>4840</v>
      </c>
      <c r="F208" s="422">
        <v>900</v>
      </c>
    </row>
    <row r="209" spans="1:6" s="411" customFormat="1" ht="14.25" customHeight="1">
      <c r="A209" s="385" t="s">
        <v>285</v>
      </c>
      <c r="B209" s="389" t="s">
        <v>2461</v>
      </c>
      <c r="C209" s="389">
        <v>5320</v>
      </c>
      <c r="D209" s="389">
        <v>5270</v>
      </c>
      <c r="E209" s="389">
        <v>5540</v>
      </c>
      <c r="F209" s="422">
        <v>980</v>
      </c>
    </row>
    <row r="210" spans="1:6" s="411" customFormat="1" ht="14.25" customHeight="1">
      <c r="A210" s="385" t="s">
        <v>285</v>
      </c>
      <c r="B210" s="389" t="s">
        <v>2473</v>
      </c>
      <c r="C210" s="389">
        <v>5760</v>
      </c>
      <c r="D210" s="389">
        <v>5710</v>
      </c>
      <c r="E210" s="389">
        <v>6010</v>
      </c>
      <c r="F210" s="422">
        <v>870</v>
      </c>
    </row>
    <row r="211" spans="1:6" s="411" customFormat="1" ht="14.25" customHeight="1">
      <c r="A211" s="385" t="s">
        <v>285</v>
      </c>
      <c r="B211" s="389" t="s">
        <v>2484</v>
      </c>
      <c r="C211" s="389">
        <v>4160</v>
      </c>
      <c r="D211" s="389">
        <v>4100</v>
      </c>
      <c r="E211" s="389">
        <v>4270</v>
      </c>
      <c r="F211" s="422">
        <v>790</v>
      </c>
    </row>
    <row r="212" spans="1:6" s="411" customFormat="1" ht="14.25" customHeight="1">
      <c r="A212" s="385" t="s">
        <v>285</v>
      </c>
      <c r="B212" s="389" t="s">
        <v>2495</v>
      </c>
      <c r="C212" s="389">
        <v>4880</v>
      </c>
      <c r="D212" s="389">
        <v>4850</v>
      </c>
      <c r="E212" s="389">
        <v>5110</v>
      </c>
      <c r="F212" s="422">
        <v>940</v>
      </c>
    </row>
    <row r="213" spans="1:6" s="411" customFormat="1" ht="14.25" customHeight="1">
      <c r="A213" s="385" t="s">
        <v>285</v>
      </c>
      <c r="B213" s="389" t="s">
        <v>2506</v>
      </c>
      <c r="C213" s="389">
        <v>4640</v>
      </c>
      <c r="D213" s="389">
        <v>4590</v>
      </c>
      <c r="E213" s="389">
        <v>4700</v>
      </c>
      <c r="F213" s="422">
        <v>1030</v>
      </c>
    </row>
    <row r="214" spans="1:6" s="411" customFormat="1" ht="14.25" customHeight="1">
      <c r="A214" s="385" t="s">
        <v>285</v>
      </c>
      <c r="B214" s="389" t="s">
        <v>2516</v>
      </c>
      <c r="C214" s="389">
        <v>4540</v>
      </c>
      <c r="D214" s="389">
        <v>4490</v>
      </c>
      <c r="E214" s="389">
        <v>4610</v>
      </c>
      <c r="F214" s="425"/>
    </row>
    <row r="215" spans="1:6" s="411" customFormat="1" ht="14.25" customHeight="1">
      <c r="A215" s="385" t="s">
        <v>285</v>
      </c>
      <c r="B215" s="389" t="s">
        <v>2526</v>
      </c>
      <c r="C215" s="389">
        <v>5280</v>
      </c>
      <c r="D215" s="389">
        <v>5250</v>
      </c>
      <c r="E215" s="389">
        <v>5520</v>
      </c>
      <c r="F215" s="422">
        <v>1000</v>
      </c>
    </row>
    <row r="216" spans="1:6" s="411" customFormat="1" ht="14.25" customHeight="1">
      <c r="A216" s="385" t="s">
        <v>285</v>
      </c>
      <c r="B216" s="389" t="s">
        <v>2536</v>
      </c>
      <c r="C216" s="389">
        <v>5100</v>
      </c>
      <c r="D216" s="389">
        <v>5050</v>
      </c>
      <c r="E216" s="389">
        <v>5300</v>
      </c>
      <c r="F216" s="422">
        <v>950</v>
      </c>
    </row>
    <row r="217" spans="1:6" s="411" customFormat="1" ht="14.25" customHeight="1">
      <c r="A217" s="385" t="s">
        <v>285</v>
      </c>
      <c r="B217" s="389" t="s">
        <v>2546</v>
      </c>
      <c r="C217" s="389">
        <v>5370</v>
      </c>
      <c r="D217" s="389">
        <v>5320</v>
      </c>
      <c r="E217" s="389">
        <v>5410</v>
      </c>
      <c r="F217" s="422">
        <v>950</v>
      </c>
    </row>
    <row r="218" spans="1:6" s="411" customFormat="1" ht="14.25" customHeight="1">
      <c r="A218" s="385" t="s">
        <v>285</v>
      </c>
      <c r="B218" s="389" t="s">
        <v>2555</v>
      </c>
      <c r="C218" s="389">
        <v>5540</v>
      </c>
      <c r="D218" s="389">
        <v>5480</v>
      </c>
      <c r="E218" s="389">
        <v>5740</v>
      </c>
      <c r="F218" s="422">
        <v>1020</v>
      </c>
    </row>
    <row r="219" spans="1:6" s="411" customFormat="1" ht="14.25" customHeight="1">
      <c r="A219" s="385" t="s">
        <v>285</v>
      </c>
      <c r="B219" s="389" t="s">
        <v>2565</v>
      </c>
      <c r="C219" s="389">
        <v>5140</v>
      </c>
      <c r="D219" s="389">
        <v>5100</v>
      </c>
      <c r="E219" s="389">
        <v>5350</v>
      </c>
      <c r="F219" s="422">
        <v>1120</v>
      </c>
    </row>
    <row r="220" spans="1:6" s="411" customFormat="1" ht="14.25" customHeight="1">
      <c r="A220" s="385" t="s">
        <v>285</v>
      </c>
      <c r="B220" s="389" t="s">
        <v>2574</v>
      </c>
      <c r="C220" s="389">
        <v>5040</v>
      </c>
      <c r="D220" s="389">
        <v>5000</v>
      </c>
      <c r="E220" s="389">
        <v>5240</v>
      </c>
      <c r="F220" s="422">
        <v>980</v>
      </c>
    </row>
    <row r="221" spans="1:6" s="411" customFormat="1" ht="14.25" customHeight="1">
      <c r="A221" s="385" t="s">
        <v>285</v>
      </c>
      <c r="B221" s="389" t="s">
        <v>2584</v>
      </c>
      <c r="C221" s="428"/>
      <c r="D221" s="428"/>
      <c r="E221" s="428"/>
      <c r="F221" s="422">
        <v>1070</v>
      </c>
    </row>
    <row r="222" spans="1:6" s="411" customFormat="1" ht="14.25" customHeight="1">
      <c r="A222" s="385" t="s">
        <v>285</v>
      </c>
      <c r="B222" s="389" t="s">
        <v>2594</v>
      </c>
      <c r="C222" s="428"/>
      <c r="D222" s="428"/>
      <c r="E222" s="428"/>
      <c r="F222" s="422">
        <v>870</v>
      </c>
    </row>
    <row r="223" spans="1:6" s="411" customFormat="1" ht="14.25" customHeight="1">
      <c r="A223" s="385" t="s">
        <v>285</v>
      </c>
      <c r="B223" s="389" t="s">
        <v>2604</v>
      </c>
      <c r="C223" s="428"/>
      <c r="D223" s="428"/>
      <c r="E223" s="428"/>
      <c r="F223" s="422">
        <v>940</v>
      </c>
    </row>
    <row r="224" spans="1:6" s="411" customFormat="1" ht="14.25" customHeight="1">
      <c r="A224" s="385" t="s">
        <v>285</v>
      </c>
      <c r="B224" s="389" t="s">
        <v>2614</v>
      </c>
      <c r="C224" s="428"/>
      <c r="D224" s="428"/>
      <c r="E224" s="428"/>
      <c r="F224" s="422">
        <v>990</v>
      </c>
    </row>
    <row r="225" spans="1:6" s="411" customFormat="1" ht="14.25" customHeight="1">
      <c r="A225" s="385" t="s">
        <v>285</v>
      </c>
      <c r="B225" s="389" t="s">
        <v>2623</v>
      </c>
      <c r="C225" s="389">
        <v>5730</v>
      </c>
      <c r="D225" s="389">
        <v>5680</v>
      </c>
      <c r="E225" s="389">
        <v>6020</v>
      </c>
      <c r="F225" s="422">
        <v>1000</v>
      </c>
    </row>
    <row r="226" spans="1:6" s="411" customFormat="1" ht="14.25" customHeight="1">
      <c r="A226" s="385" t="s">
        <v>285</v>
      </c>
      <c r="B226" s="389" t="s">
        <v>2631</v>
      </c>
      <c r="C226" s="389">
        <v>4970</v>
      </c>
      <c r="D226" s="389">
        <v>4940</v>
      </c>
      <c r="E226" s="389">
        <v>5180</v>
      </c>
      <c r="F226" s="422">
        <v>960</v>
      </c>
    </row>
    <row r="227" spans="1:6" s="411" customFormat="1" ht="14.25" customHeight="1">
      <c r="A227" s="385" t="s">
        <v>285</v>
      </c>
      <c r="B227" s="389" t="s">
        <v>2639</v>
      </c>
      <c r="C227" s="389">
        <v>5550</v>
      </c>
      <c r="D227" s="389">
        <v>5500</v>
      </c>
      <c r="E227" s="389">
        <v>5780</v>
      </c>
      <c r="F227" s="422">
        <v>940</v>
      </c>
    </row>
    <row r="228" spans="1:6" s="411" customFormat="1" ht="14.25" customHeight="1">
      <c r="A228" s="385" t="s">
        <v>285</v>
      </c>
      <c r="B228" s="389" t="s">
        <v>2646</v>
      </c>
      <c r="C228" s="389">
        <v>5460</v>
      </c>
      <c r="D228" s="389">
        <v>5420</v>
      </c>
      <c r="E228" s="389">
        <v>5690</v>
      </c>
      <c r="F228" s="422">
        <v>910</v>
      </c>
    </row>
    <row r="229" spans="1:6" s="411" customFormat="1" ht="14.25" customHeight="1">
      <c r="A229" s="385" t="s">
        <v>285</v>
      </c>
      <c r="B229" s="389" t="s">
        <v>2653</v>
      </c>
      <c r="C229" s="389">
        <v>5310</v>
      </c>
      <c r="D229" s="389">
        <v>5270</v>
      </c>
      <c r="E229" s="389">
        <v>5510</v>
      </c>
      <c r="F229" s="425"/>
    </row>
    <row r="230" spans="1:6" s="411" customFormat="1" ht="14.25" customHeight="1">
      <c r="A230" s="385" t="s">
        <v>285</v>
      </c>
      <c r="B230" s="389" t="s">
        <v>2660</v>
      </c>
      <c r="C230" s="389">
        <v>4540</v>
      </c>
      <c r="D230" s="389">
        <v>4500</v>
      </c>
      <c r="E230" s="389">
        <v>4730</v>
      </c>
      <c r="F230" s="425"/>
    </row>
    <row r="231" spans="1:6" s="411" customFormat="1" ht="14.25" customHeight="1">
      <c r="A231" s="385" t="s">
        <v>285</v>
      </c>
      <c r="B231" s="389" t="s">
        <v>2667</v>
      </c>
      <c r="C231" s="389">
        <v>4480</v>
      </c>
      <c r="D231" s="389">
        <v>4410</v>
      </c>
      <c r="E231" s="389">
        <v>4640</v>
      </c>
      <c r="F231" s="425"/>
    </row>
    <row r="232" spans="1:6" s="411" customFormat="1" ht="14.25" customHeight="1">
      <c r="A232" s="385" t="s">
        <v>285</v>
      </c>
      <c r="B232" s="389" t="s">
        <v>2674</v>
      </c>
      <c r="C232" s="389">
        <v>5670</v>
      </c>
      <c r="D232" s="389">
        <v>5600</v>
      </c>
      <c r="E232" s="389">
        <v>5890</v>
      </c>
      <c r="F232" s="422">
        <v>1150</v>
      </c>
    </row>
    <row r="233" spans="1:6" s="411" customFormat="1" ht="14.25" customHeight="1">
      <c r="A233" s="385" t="s">
        <v>285</v>
      </c>
      <c r="B233" s="389" t="s">
        <v>2679</v>
      </c>
      <c r="C233" s="389">
        <v>4590</v>
      </c>
      <c r="D233" s="389">
        <v>4500</v>
      </c>
      <c r="E233" s="389">
        <v>4600</v>
      </c>
      <c r="F233" s="425"/>
    </row>
    <row r="234" spans="1:6" s="411" customFormat="1" ht="14.25" customHeight="1">
      <c r="A234" s="385" t="s">
        <v>285</v>
      </c>
      <c r="B234" s="389" t="s">
        <v>2684</v>
      </c>
      <c r="C234" s="389">
        <v>3990</v>
      </c>
      <c r="D234" s="389">
        <v>3950</v>
      </c>
      <c r="E234" s="389">
        <v>4180</v>
      </c>
      <c r="F234" s="425"/>
    </row>
    <row r="235" spans="1:6" s="411" customFormat="1" ht="14.25" customHeight="1">
      <c r="A235" s="385" t="s">
        <v>285</v>
      </c>
      <c r="B235" s="389" t="s">
        <v>2689</v>
      </c>
      <c r="C235" s="389">
        <v>5590</v>
      </c>
      <c r="D235" s="389">
        <v>5540</v>
      </c>
      <c r="E235" s="389">
        <v>5810</v>
      </c>
      <c r="F235" s="422">
        <v>970</v>
      </c>
    </row>
    <row r="236" spans="1:6" s="411" customFormat="1" ht="14.25" customHeight="1">
      <c r="A236" s="385" t="s">
        <v>285</v>
      </c>
      <c r="B236" s="389" t="s">
        <v>2694</v>
      </c>
      <c r="C236" s="389"/>
      <c r="D236" s="389"/>
      <c r="E236" s="389"/>
      <c r="F236" s="422">
        <v>1020</v>
      </c>
    </row>
    <row r="237" spans="1:6" s="411" customFormat="1" ht="14.25" customHeight="1">
      <c r="A237" s="385" t="s">
        <v>285</v>
      </c>
      <c r="B237" s="389" t="s">
        <v>2699</v>
      </c>
      <c r="C237" s="389"/>
      <c r="D237" s="389"/>
      <c r="E237" s="389"/>
      <c r="F237" s="422">
        <v>960</v>
      </c>
    </row>
    <row r="238" spans="1:6" s="411" customFormat="1" ht="14.25" customHeight="1">
      <c r="A238" s="385" t="s">
        <v>285</v>
      </c>
      <c r="B238" s="389" t="s">
        <v>2704</v>
      </c>
      <c r="C238" s="389"/>
      <c r="D238" s="389"/>
      <c r="E238" s="389"/>
      <c r="F238" s="422">
        <v>960</v>
      </c>
    </row>
    <row r="239" spans="1:6" s="411" customFormat="1" ht="14.25" customHeight="1">
      <c r="A239" s="385" t="s">
        <v>285</v>
      </c>
      <c r="B239" s="389" t="s">
        <v>2709</v>
      </c>
      <c r="C239" s="389"/>
      <c r="D239" s="389"/>
      <c r="E239" s="389"/>
      <c r="F239" s="422">
        <v>960</v>
      </c>
    </row>
    <row r="240" spans="1:6" s="411" customFormat="1" ht="14.25" customHeight="1">
      <c r="A240" s="385" t="s">
        <v>285</v>
      </c>
      <c r="B240" s="389" t="s">
        <v>2713</v>
      </c>
      <c r="C240" s="389"/>
      <c r="D240" s="389"/>
      <c r="E240" s="389"/>
      <c r="F240" s="422">
        <v>990</v>
      </c>
    </row>
    <row r="241" spans="1:6" s="411" customFormat="1" ht="14.25" customHeight="1">
      <c r="A241" s="385" t="s">
        <v>285</v>
      </c>
      <c r="B241" s="389" t="s">
        <v>2717</v>
      </c>
      <c r="C241" s="389"/>
      <c r="D241" s="389"/>
      <c r="E241" s="389"/>
      <c r="F241" s="422">
        <v>1000</v>
      </c>
    </row>
    <row r="242" spans="1:6" s="411" customFormat="1" ht="14.25" customHeight="1">
      <c r="A242" s="385" t="s">
        <v>285</v>
      </c>
      <c r="B242" s="389" t="s">
        <v>2721</v>
      </c>
      <c r="C242" s="389"/>
      <c r="D242" s="389"/>
      <c r="E242" s="389"/>
      <c r="F242" s="422">
        <v>980</v>
      </c>
    </row>
    <row r="243" spans="1:6" s="411" customFormat="1" ht="14.25" customHeight="1">
      <c r="A243" s="385" t="s">
        <v>285</v>
      </c>
      <c r="B243" s="389" t="s">
        <v>2725</v>
      </c>
      <c r="C243" s="389"/>
      <c r="D243" s="389"/>
      <c r="E243" s="389"/>
      <c r="F243" s="422">
        <v>970</v>
      </c>
    </row>
    <row r="244" spans="1:6" s="411" customFormat="1" ht="14.25" customHeight="1">
      <c r="A244" s="385" t="s">
        <v>285</v>
      </c>
      <c r="B244" s="400" t="s">
        <v>2729</v>
      </c>
      <c r="C244" s="400"/>
      <c r="D244" s="400"/>
      <c r="E244" s="400"/>
      <c r="F244" s="424">
        <v>970</v>
      </c>
    </row>
    <row r="245" spans="1:6" s="411" customFormat="1" ht="14.25" customHeight="1">
      <c r="A245" s="385" t="s">
        <v>288</v>
      </c>
      <c r="B245" s="386" t="s">
        <v>2423</v>
      </c>
      <c r="C245" s="386">
        <v>4050</v>
      </c>
      <c r="D245" s="386">
        <v>4020</v>
      </c>
      <c r="E245" s="386">
        <v>4160</v>
      </c>
      <c r="F245" s="419">
        <v>840</v>
      </c>
    </row>
    <row r="246" spans="1:6" s="411" customFormat="1" ht="14.25" customHeight="1">
      <c r="A246" s="385" t="s">
        <v>288</v>
      </c>
      <c r="B246" s="389" t="s">
        <v>2436</v>
      </c>
      <c r="C246" s="389">
        <v>4010</v>
      </c>
      <c r="D246" s="389">
        <v>3960</v>
      </c>
      <c r="E246" s="389">
        <v>4130</v>
      </c>
      <c r="F246" s="422">
        <v>840</v>
      </c>
    </row>
    <row r="247" spans="1:6" s="411" customFormat="1" ht="14.25" customHeight="1">
      <c r="A247" s="385" t="s">
        <v>288</v>
      </c>
      <c r="B247" s="389" t="s">
        <v>2450</v>
      </c>
      <c r="C247" s="389">
        <v>3170</v>
      </c>
      <c r="D247" s="389">
        <v>3140</v>
      </c>
      <c r="E247" s="389">
        <v>3270</v>
      </c>
      <c r="F247" s="422">
        <v>640</v>
      </c>
    </row>
    <row r="248" spans="1:6" s="411" customFormat="1" ht="14.25" customHeight="1">
      <c r="A248" s="385" t="s">
        <v>288</v>
      </c>
      <c r="B248" s="389" t="s">
        <v>2462</v>
      </c>
      <c r="C248" s="389">
        <v>3140</v>
      </c>
      <c r="D248" s="389">
        <v>3120</v>
      </c>
      <c r="E248" s="389">
        <v>3240</v>
      </c>
      <c r="F248" s="422">
        <v>620</v>
      </c>
    </row>
    <row r="249" spans="1:6" s="411" customFormat="1" ht="14.25" customHeight="1">
      <c r="A249" s="385" t="s">
        <v>288</v>
      </c>
      <c r="B249" s="389" t="s">
        <v>2474</v>
      </c>
      <c r="C249" s="389">
        <v>3200</v>
      </c>
      <c r="D249" s="389">
        <v>3100</v>
      </c>
      <c r="E249" s="389">
        <v>3230</v>
      </c>
      <c r="F249" s="422">
        <v>750</v>
      </c>
    </row>
    <row r="250" spans="1:6" s="411" customFormat="1" ht="14.25" customHeight="1">
      <c r="A250" s="385" t="s">
        <v>288</v>
      </c>
      <c r="B250" s="389" t="s">
        <v>2485</v>
      </c>
      <c r="C250" s="389">
        <v>4060</v>
      </c>
      <c r="D250" s="389">
        <v>4000</v>
      </c>
      <c r="E250" s="389">
        <v>4140</v>
      </c>
      <c r="F250" s="422">
        <v>790</v>
      </c>
    </row>
    <row r="251" spans="1:6" s="411" customFormat="1" ht="14.25" customHeight="1">
      <c r="A251" s="385" t="s">
        <v>288</v>
      </c>
      <c r="B251" s="389" t="s">
        <v>2496</v>
      </c>
      <c r="C251" s="389">
        <v>3990</v>
      </c>
      <c r="D251" s="389">
        <v>3970</v>
      </c>
      <c r="E251" s="389">
        <v>4110</v>
      </c>
      <c r="F251" s="422">
        <v>730</v>
      </c>
    </row>
    <row r="252" spans="1:6" s="411" customFormat="1" ht="14.25" customHeight="1">
      <c r="A252" s="385" t="s">
        <v>288</v>
      </c>
      <c r="B252" s="389" t="s">
        <v>2507</v>
      </c>
      <c r="C252" s="389">
        <v>3560</v>
      </c>
      <c r="D252" s="389">
        <v>3530</v>
      </c>
      <c r="E252" s="389">
        <v>3650</v>
      </c>
      <c r="F252" s="422">
        <v>750</v>
      </c>
    </row>
    <row r="253" spans="1:6" s="411" customFormat="1" ht="14.25" customHeight="1">
      <c r="A253" s="385" t="s">
        <v>288</v>
      </c>
      <c r="B253" s="389" t="s">
        <v>2517</v>
      </c>
      <c r="C253" s="389">
        <v>3780</v>
      </c>
      <c r="D253" s="389">
        <v>3750</v>
      </c>
      <c r="E253" s="389">
        <v>3870</v>
      </c>
      <c r="F253" s="422">
        <v>770</v>
      </c>
    </row>
    <row r="254" spans="1:6" s="411" customFormat="1" ht="14.25" customHeight="1">
      <c r="A254" s="385" t="s">
        <v>288</v>
      </c>
      <c r="B254" s="389" t="s">
        <v>2527</v>
      </c>
      <c r="C254" s="428"/>
      <c r="D254" s="428"/>
      <c r="E254" s="428"/>
      <c r="F254" s="422">
        <v>740</v>
      </c>
    </row>
    <row r="255" spans="1:6" s="411" customFormat="1" ht="14.25" customHeight="1">
      <c r="A255" s="385" t="s">
        <v>288</v>
      </c>
      <c r="B255" s="389" t="s">
        <v>2537</v>
      </c>
      <c r="C255" s="428"/>
      <c r="D255" s="428"/>
      <c r="E255" s="428"/>
      <c r="F255" s="422">
        <v>760</v>
      </c>
    </row>
    <row r="256" spans="1:6" s="411" customFormat="1" ht="14.25" customHeight="1">
      <c r="A256" s="385" t="s">
        <v>288</v>
      </c>
      <c r="B256" s="389" t="s">
        <v>2547</v>
      </c>
      <c r="C256" s="389">
        <v>3760</v>
      </c>
      <c r="D256" s="389">
        <v>3730</v>
      </c>
      <c r="E256" s="389">
        <v>3870</v>
      </c>
      <c r="F256" s="422">
        <v>830</v>
      </c>
    </row>
    <row r="257" spans="1:6" s="411" customFormat="1" ht="14.25" customHeight="1">
      <c r="A257" s="385" t="s">
        <v>288</v>
      </c>
      <c r="B257" s="389" t="s">
        <v>2556</v>
      </c>
      <c r="C257" s="389">
        <v>3570</v>
      </c>
      <c r="D257" s="389">
        <v>3540</v>
      </c>
      <c r="E257" s="389">
        <v>3650</v>
      </c>
      <c r="F257" s="422">
        <v>790</v>
      </c>
    </row>
    <row r="258" spans="1:6" s="411" customFormat="1" ht="14.25" customHeight="1">
      <c r="A258" s="385" t="s">
        <v>288</v>
      </c>
      <c r="B258" s="389" t="s">
        <v>2566</v>
      </c>
      <c r="C258" s="389">
        <v>3410</v>
      </c>
      <c r="D258" s="389">
        <v>3380</v>
      </c>
      <c r="E258" s="389">
        <v>3500</v>
      </c>
      <c r="F258" s="422">
        <v>830</v>
      </c>
    </row>
    <row r="259" spans="1:6" s="411" customFormat="1" ht="14.25" customHeight="1">
      <c r="A259" s="385" t="s">
        <v>288</v>
      </c>
      <c r="B259" s="389" t="s">
        <v>2575</v>
      </c>
      <c r="C259" s="389">
        <v>3870</v>
      </c>
      <c r="D259" s="389">
        <v>3840</v>
      </c>
      <c r="E259" s="389">
        <v>3970</v>
      </c>
      <c r="F259" s="422">
        <v>830</v>
      </c>
    </row>
    <row r="260" spans="1:6" s="411" customFormat="1" ht="14.25" customHeight="1">
      <c r="A260" s="385" t="s">
        <v>288</v>
      </c>
      <c r="B260" s="389" t="s">
        <v>2585</v>
      </c>
      <c r="C260" s="389">
        <v>3700</v>
      </c>
      <c r="D260" s="389">
        <v>3660</v>
      </c>
      <c r="E260" s="389">
        <v>3810</v>
      </c>
      <c r="F260" s="422">
        <v>790</v>
      </c>
    </row>
    <row r="261" spans="1:6" s="411" customFormat="1" ht="14.25" customHeight="1">
      <c r="A261" s="385" t="s">
        <v>288</v>
      </c>
      <c r="B261" s="389" t="s">
        <v>2595</v>
      </c>
      <c r="C261" s="389">
        <v>3470</v>
      </c>
      <c r="D261" s="389">
        <v>3430</v>
      </c>
      <c r="E261" s="389">
        <v>3640</v>
      </c>
      <c r="F261" s="422">
        <v>760</v>
      </c>
    </row>
    <row r="262" spans="1:6" s="411" customFormat="1" ht="14.25" customHeight="1">
      <c r="A262" s="385" t="s">
        <v>288</v>
      </c>
      <c r="B262" s="389" t="s">
        <v>2605</v>
      </c>
      <c r="C262" s="389">
        <v>3510</v>
      </c>
      <c r="D262" s="389">
        <v>3470</v>
      </c>
      <c r="E262" s="389">
        <v>3680</v>
      </c>
      <c r="F262" s="425"/>
    </row>
    <row r="263" spans="1:6" s="411" customFormat="1" ht="14.25" customHeight="1">
      <c r="A263" s="385" t="s">
        <v>288</v>
      </c>
      <c r="B263" s="389" t="s">
        <v>2615</v>
      </c>
      <c r="C263" s="389">
        <v>3960</v>
      </c>
      <c r="D263" s="389">
        <v>3930</v>
      </c>
      <c r="E263" s="389">
        <v>4070</v>
      </c>
      <c r="F263" s="422">
        <v>830</v>
      </c>
    </row>
    <row r="264" spans="1:6" s="411" customFormat="1" ht="14.25" customHeight="1">
      <c r="A264" s="385" t="s">
        <v>288</v>
      </c>
      <c r="B264" s="389" t="s">
        <v>2624</v>
      </c>
      <c r="C264" s="389">
        <v>4010</v>
      </c>
      <c r="D264" s="389">
        <v>3980</v>
      </c>
      <c r="E264" s="389">
        <v>4150</v>
      </c>
      <c r="F264" s="422">
        <v>760</v>
      </c>
    </row>
    <row r="265" spans="1:6" s="411" customFormat="1" ht="14.25" customHeight="1">
      <c r="A265" s="385" t="s">
        <v>288</v>
      </c>
      <c r="B265" s="389" t="s">
        <v>2632</v>
      </c>
      <c r="C265" s="389">
        <v>3910</v>
      </c>
      <c r="D265" s="389">
        <v>3890</v>
      </c>
      <c r="E265" s="389">
        <v>4040</v>
      </c>
      <c r="F265" s="422">
        <v>780</v>
      </c>
    </row>
    <row r="266" spans="1:6" s="411" customFormat="1" ht="14.25" customHeight="1">
      <c r="A266" s="385" t="s">
        <v>288</v>
      </c>
      <c r="B266" s="389" t="s">
        <v>2640</v>
      </c>
      <c r="C266" s="389">
        <v>3930</v>
      </c>
      <c r="D266" s="389">
        <v>3900</v>
      </c>
      <c r="E266" s="389">
        <v>4080</v>
      </c>
      <c r="F266" s="422">
        <v>770</v>
      </c>
    </row>
    <row r="267" spans="1:6" s="411" customFormat="1" ht="14.25" customHeight="1">
      <c r="A267" s="385" t="s">
        <v>288</v>
      </c>
      <c r="B267" s="389" t="s">
        <v>2647</v>
      </c>
      <c r="C267" s="389">
        <v>3800</v>
      </c>
      <c r="D267" s="389">
        <v>3780</v>
      </c>
      <c r="E267" s="389">
        <v>3930</v>
      </c>
      <c r="F267" s="425"/>
    </row>
    <row r="268" spans="1:6" s="411" customFormat="1" ht="14.25" customHeight="1">
      <c r="A268" s="385" t="s">
        <v>288</v>
      </c>
      <c r="B268" s="389" t="s">
        <v>2654</v>
      </c>
      <c r="C268" s="389">
        <v>3460</v>
      </c>
      <c r="D268" s="389">
        <v>3430</v>
      </c>
      <c r="E268" s="389">
        <v>3560</v>
      </c>
      <c r="F268" s="422">
        <v>840</v>
      </c>
    </row>
    <row r="269" spans="1:6" s="411" customFormat="1" ht="14.25" customHeight="1">
      <c r="A269" s="385" t="s">
        <v>288</v>
      </c>
      <c r="B269" s="389" t="s">
        <v>2661</v>
      </c>
      <c r="C269" s="389">
        <v>3210</v>
      </c>
      <c r="D269" s="389">
        <v>3190</v>
      </c>
      <c r="E269" s="389">
        <v>3310</v>
      </c>
      <c r="F269" s="422">
        <v>730</v>
      </c>
    </row>
    <row r="270" spans="1:6" s="411" customFormat="1" ht="14.25" customHeight="1">
      <c r="A270" s="385" t="s">
        <v>288</v>
      </c>
      <c r="B270" s="389" t="s">
        <v>2668</v>
      </c>
      <c r="C270" s="389">
        <v>3240</v>
      </c>
      <c r="D270" s="389">
        <v>3210</v>
      </c>
      <c r="E270" s="389">
        <v>3390</v>
      </c>
      <c r="F270" s="422">
        <v>820</v>
      </c>
    </row>
    <row r="271" spans="1:6" s="411" customFormat="1" ht="14.25" customHeight="1">
      <c r="A271" s="385" t="s">
        <v>288</v>
      </c>
      <c r="B271" s="389" t="s">
        <v>2675</v>
      </c>
      <c r="C271" s="389">
        <v>3300</v>
      </c>
      <c r="D271" s="389">
        <v>3270</v>
      </c>
      <c r="E271" s="389">
        <v>3380</v>
      </c>
      <c r="F271" s="422">
        <v>750</v>
      </c>
    </row>
    <row r="272" spans="1:6" s="411" customFormat="1" ht="14.25" customHeight="1">
      <c r="A272" s="385" t="s">
        <v>288</v>
      </c>
      <c r="B272" s="389" t="s">
        <v>2680</v>
      </c>
      <c r="C272" s="428"/>
      <c r="D272" s="428"/>
      <c r="E272" s="428"/>
      <c r="F272" s="422">
        <v>740</v>
      </c>
    </row>
    <row r="273" spans="1:6" s="411" customFormat="1" ht="14.25" customHeight="1">
      <c r="A273" s="385" t="s">
        <v>288</v>
      </c>
      <c r="B273" s="389" t="s">
        <v>2685</v>
      </c>
      <c r="C273" s="389">
        <v>3130</v>
      </c>
      <c r="D273" s="389">
        <v>3100</v>
      </c>
      <c r="E273" s="389">
        <v>3230</v>
      </c>
      <c r="F273" s="422">
        <v>700</v>
      </c>
    </row>
    <row r="274" spans="1:6" s="411" customFormat="1" ht="14.25" customHeight="1">
      <c r="A274" s="385" t="s">
        <v>288</v>
      </c>
      <c r="B274" s="389" t="s">
        <v>2690</v>
      </c>
      <c r="C274" s="389">
        <v>3460</v>
      </c>
      <c r="D274" s="389">
        <v>3430</v>
      </c>
      <c r="E274" s="389">
        <v>3560</v>
      </c>
      <c r="F274" s="422">
        <v>690</v>
      </c>
    </row>
    <row r="275" spans="1:6" s="411" customFormat="1" ht="14.25" customHeight="1">
      <c r="A275" s="385" t="s">
        <v>288</v>
      </c>
      <c r="B275" s="389" t="s">
        <v>2695</v>
      </c>
      <c r="C275" s="389">
        <v>4040</v>
      </c>
      <c r="D275" s="389">
        <v>4020</v>
      </c>
      <c r="E275" s="389">
        <v>4160</v>
      </c>
      <c r="F275" s="422">
        <v>820</v>
      </c>
    </row>
    <row r="276" spans="1:6" s="411" customFormat="1" ht="14.25" customHeight="1">
      <c r="A276" s="385" t="s">
        <v>288</v>
      </c>
      <c r="B276" s="389" t="s">
        <v>2700</v>
      </c>
      <c r="C276" s="389">
        <v>3270</v>
      </c>
      <c r="D276" s="389">
        <v>3240</v>
      </c>
      <c r="E276" s="389">
        <v>3350</v>
      </c>
      <c r="F276" s="422">
        <v>680</v>
      </c>
    </row>
    <row r="277" spans="1:6" s="411" customFormat="1" ht="14.25" customHeight="1">
      <c r="A277" s="385" t="s">
        <v>288</v>
      </c>
      <c r="B277" s="389" t="s">
        <v>2705</v>
      </c>
      <c r="C277" s="389">
        <v>2930</v>
      </c>
      <c r="D277" s="389">
        <v>2900</v>
      </c>
      <c r="E277" s="389">
        <v>3000</v>
      </c>
      <c r="F277" s="422">
        <v>640</v>
      </c>
    </row>
    <row r="278" spans="1:6" s="411" customFormat="1" ht="14.25" customHeight="1">
      <c r="A278" s="385" t="s">
        <v>288</v>
      </c>
      <c r="B278" s="389" t="s">
        <v>2710</v>
      </c>
      <c r="C278" s="389">
        <v>4080</v>
      </c>
      <c r="D278" s="389">
        <v>4030</v>
      </c>
      <c r="E278" s="389">
        <v>4140</v>
      </c>
      <c r="F278" s="422">
        <v>850</v>
      </c>
    </row>
    <row r="279" spans="1:6" s="411" customFormat="1" ht="14.25" customHeight="1">
      <c r="A279" s="385" t="s">
        <v>288</v>
      </c>
      <c r="B279" s="389" t="s">
        <v>2714</v>
      </c>
      <c r="C279" s="389"/>
      <c r="D279" s="389"/>
      <c r="E279" s="389"/>
      <c r="F279" s="422">
        <v>760</v>
      </c>
    </row>
    <row r="280" spans="1:6" s="411" customFormat="1" ht="14.25" customHeight="1">
      <c r="A280" s="385" t="s">
        <v>288</v>
      </c>
      <c r="B280" s="389" t="s">
        <v>2718</v>
      </c>
      <c r="C280" s="389"/>
      <c r="D280" s="389"/>
      <c r="E280" s="389"/>
      <c r="F280" s="422">
        <v>760</v>
      </c>
    </row>
    <row r="281" spans="1:6" s="411" customFormat="1" ht="14.25" customHeight="1">
      <c r="A281" s="385" t="s">
        <v>288</v>
      </c>
      <c r="B281" s="389" t="s">
        <v>2722</v>
      </c>
      <c r="C281" s="389"/>
      <c r="D281" s="389"/>
      <c r="E281" s="389"/>
      <c r="F281" s="422">
        <v>780</v>
      </c>
    </row>
    <row r="282" spans="1:6" s="411" customFormat="1" ht="14.25" customHeight="1">
      <c r="A282" s="385" t="s">
        <v>288</v>
      </c>
      <c r="B282" s="389" t="s">
        <v>2726</v>
      </c>
      <c r="C282" s="389"/>
      <c r="D282" s="389"/>
      <c r="E282" s="389"/>
      <c r="F282" s="422">
        <v>730</v>
      </c>
    </row>
    <row r="283" spans="1:6" s="411" customFormat="1" ht="14.25" customHeight="1">
      <c r="A283" s="385" t="s">
        <v>288</v>
      </c>
      <c r="B283" s="389" t="s">
        <v>2730</v>
      </c>
      <c r="C283" s="389"/>
      <c r="D283" s="389"/>
      <c r="E283" s="389"/>
      <c r="F283" s="422">
        <v>770</v>
      </c>
    </row>
    <row r="284" spans="1:6" s="411" customFormat="1" ht="14.25" customHeight="1">
      <c r="A284" s="385" t="s">
        <v>288</v>
      </c>
      <c r="B284" s="389" t="s">
        <v>2733</v>
      </c>
      <c r="C284" s="389"/>
      <c r="D284" s="389"/>
      <c r="E284" s="389"/>
      <c r="F284" s="422">
        <v>640</v>
      </c>
    </row>
    <row r="285" spans="1:6" s="411" customFormat="1" ht="14.25" customHeight="1">
      <c r="A285" s="385" t="s">
        <v>288</v>
      </c>
      <c r="B285" s="389" t="s">
        <v>2736</v>
      </c>
      <c r="C285" s="389"/>
      <c r="D285" s="389"/>
      <c r="E285" s="389"/>
      <c r="F285" s="422">
        <v>640</v>
      </c>
    </row>
    <row r="286" spans="1:6" s="411" customFormat="1" ht="14.25" customHeight="1">
      <c r="A286" s="385" t="s">
        <v>288</v>
      </c>
      <c r="B286" s="389" t="s">
        <v>2739</v>
      </c>
      <c r="C286" s="389"/>
      <c r="D286" s="389"/>
      <c r="E286" s="389"/>
      <c r="F286" s="422">
        <v>850</v>
      </c>
    </row>
    <row r="287" spans="1:6" s="411" customFormat="1" ht="14.25" customHeight="1">
      <c r="A287" s="385" t="s">
        <v>288</v>
      </c>
      <c r="B287" s="389" t="s">
        <v>2742</v>
      </c>
      <c r="C287" s="389"/>
      <c r="D287" s="389"/>
      <c r="E287" s="389"/>
      <c r="F287" s="422">
        <v>760</v>
      </c>
    </row>
    <row r="288" spans="1:6" s="411" customFormat="1" ht="14.25" customHeight="1">
      <c r="A288" s="385" t="s">
        <v>288</v>
      </c>
      <c r="B288" s="389" t="s">
        <v>2745</v>
      </c>
      <c r="C288" s="389"/>
      <c r="D288" s="389"/>
      <c r="E288" s="389"/>
      <c r="F288" s="422">
        <v>830</v>
      </c>
    </row>
    <row r="289" spans="1:6" s="411" customFormat="1" ht="14.25" customHeight="1">
      <c r="A289" s="385" t="s">
        <v>288</v>
      </c>
      <c r="B289" s="400" t="s">
        <v>2748</v>
      </c>
      <c r="C289" s="400"/>
      <c r="D289" s="400"/>
      <c r="E289" s="400"/>
      <c r="F289" s="424">
        <v>680</v>
      </c>
    </row>
    <row r="290" spans="1:6" s="411" customFormat="1" ht="14.25" customHeight="1">
      <c r="A290" s="385" t="s">
        <v>291</v>
      </c>
      <c r="B290" s="386" t="s">
        <v>2424</v>
      </c>
      <c r="C290" s="386">
        <v>2770</v>
      </c>
      <c r="D290" s="386">
        <v>2740</v>
      </c>
      <c r="E290" s="386">
        <v>2720</v>
      </c>
      <c r="F290" s="429"/>
    </row>
    <row r="291" spans="1:6" s="411" customFormat="1" ht="14.25" customHeight="1">
      <c r="A291" s="385" t="s">
        <v>291</v>
      </c>
      <c r="B291" s="389" t="s">
        <v>2437</v>
      </c>
      <c r="C291" s="389">
        <v>2670</v>
      </c>
      <c r="D291" s="389">
        <v>2640</v>
      </c>
      <c r="E291" s="389">
        <v>2620</v>
      </c>
      <c r="F291" s="425"/>
    </row>
    <row r="292" spans="1:6" s="411" customFormat="1" ht="14.25" customHeight="1">
      <c r="A292" s="385" t="s">
        <v>291</v>
      </c>
      <c r="B292" s="389" t="s">
        <v>2451</v>
      </c>
      <c r="C292" s="389">
        <v>2180</v>
      </c>
      <c r="D292" s="389">
        <v>2140</v>
      </c>
      <c r="E292" s="389">
        <v>2120</v>
      </c>
      <c r="F292" s="422">
        <v>490</v>
      </c>
    </row>
    <row r="293" spans="1:6" s="411" customFormat="1" ht="14.25" customHeight="1">
      <c r="A293" s="385" t="s">
        <v>291</v>
      </c>
      <c r="B293" s="389" t="s">
        <v>2755</v>
      </c>
      <c r="C293" s="389"/>
      <c r="D293" s="389"/>
      <c r="E293" s="389"/>
      <c r="F293" s="422">
        <v>470</v>
      </c>
    </row>
    <row r="294" spans="1:6" s="411" customFormat="1" ht="14.25" customHeight="1">
      <c r="A294" s="385" t="s">
        <v>291</v>
      </c>
      <c r="B294" s="389" t="s">
        <v>2463</v>
      </c>
      <c r="C294" s="389">
        <v>2730</v>
      </c>
      <c r="D294" s="389">
        <v>2700</v>
      </c>
      <c r="E294" s="389">
        <v>2680</v>
      </c>
      <c r="F294" s="422">
        <v>490</v>
      </c>
    </row>
    <row r="295" spans="1:6" s="411" customFormat="1" ht="14.25" customHeight="1">
      <c r="A295" s="385" t="s">
        <v>291</v>
      </c>
      <c r="B295" s="389" t="s">
        <v>2475</v>
      </c>
      <c r="C295" s="389">
        <v>2380</v>
      </c>
      <c r="D295" s="389">
        <v>2350</v>
      </c>
      <c r="E295" s="389">
        <v>2330</v>
      </c>
      <c r="F295" s="422">
        <v>530</v>
      </c>
    </row>
    <row r="296" spans="1:6" s="411" customFormat="1" ht="14.25" customHeight="1">
      <c r="A296" s="385" t="s">
        <v>291</v>
      </c>
      <c r="B296" s="389" t="s">
        <v>2486</v>
      </c>
      <c r="C296" s="389">
        <v>2650</v>
      </c>
      <c r="D296" s="389">
        <v>2620</v>
      </c>
      <c r="E296" s="389">
        <v>2590</v>
      </c>
      <c r="F296" s="422">
        <v>590</v>
      </c>
    </row>
    <row r="297" spans="1:6" s="411" customFormat="1" ht="14.25" customHeight="1">
      <c r="A297" s="385" t="s">
        <v>291</v>
      </c>
      <c r="B297" s="389" t="s">
        <v>2497</v>
      </c>
      <c r="C297" s="389">
        <v>2700</v>
      </c>
      <c r="D297" s="389">
        <v>2670</v>
      </c>
      <c r="E297" s="389">
        <v>2650</v>
      </c>
      <c r="F297" s="422">
        <v>630</v>
      </c>
    </row>
    <row r="298" spans="1:6" s="411" customFormat="1" ht="14.25" customHeight="1">
      <c r="A298" s="385" t="s">
        <v>291</v>
      </c>
      <c r="B298" s="389" t="s">
        <v>2508</v>
      </c>
      <c r="C298" s="389">
        <v>2650</v>
      </c>
      <c r="D298" s="389">
        <v>2620</v>
      </c>
      <c r="E298" s="389">
        <v>2590</v>
      </c>
      <c r="F298" s="422">
        <v>640</v>
      </c>
    </row>
    <row r="299" spans="1:6" s="411" customFormat="1" ht="14.25" customHeight="1">
      <c r="A299" s="385" t="s">
        <v>291</v>
      </c>
      <c r="B299" s="389" t="s">
        <v>2518</v>
      </c>
      <c r="C299" s="389">
        <v>2500</v>
      </c>
      <c r="D299" s="389">
        <v>2480</v>
      </c>
      <c r="E299" s="389">
        <v>2460</v>
      </c>
      <c r="F299" s="425"/>
    </row>
    <row r="300" spans="1:6" s="411" customFormat="1" ht="14.25" customHeight="1">
      <c r="A300" s="385" t="s">
        <v>291</v>
      </c>
      <c r="B300" s="389" t="s">
        <v>2528</v>
      </c>
      <c r="C300" s="389">
        <v>2760</v>
      </c>
      <c r="D300" s="389">
        <v>2730</v>
      </c>
      <c r="E300" s="389">
        <v>2700</v>
      </c>
      <c r="F300" s="422">
        <v>630</v>
      </c>
    </row>
    <row r="301" spans="1:6" s="411" customFormat="1" ht="14.25" customHeight="1">
      <c r="A301" s="385" t="s">
        <v>291</v>
      </c>
      <c r="B301" s="389" t="s">
        <v>2538</v>
      </c>
      <c r="C301" s="389">
        <v>2510</v>
      </c>
      <c r="D301" s="389">
        <v>2480</v>
      </c>
      <c r="E301" s="389">
        <v>2460</v>
      </c>
      <c r="F301" s="425"/>
    </row>
    <row r="302" spans="1:6" s="411" customFormat="1" ht="14.25" customHeight="1">
      <c r="A302" s="385" t="s">
        <v>291</v>
      </c>
      <c r="B302" s="389" t="s">
        <v>2548</v>
      </c>
      <c r="C302" s="389">
        <v>2480</v>
      </c>
      <c r="D302" s="389">
        <v>2450</v>
      </c>
      <c r="E302" s="389">
        <v>2420</v>
      </c>
      <c r="F302" s="422">
        <v>600</v>
      </c>
    </row>
    <row r="303" spans="1:6" s="411" customFormat="1" ht="14.25" customHeight="1">
      <c r="A303" s="385" t="s">
        <v>291</v>
      </c>
      <c r="B303" s="389" t="s">
        <v>2557</v>
      </c>
      <c r="C303" s="389">
        <v>2270</v>
      </c>
      <c r="D303" s="389">
        <v>2240</v>
      </c>
      <c r="E303" s="389">
        <v>2210</v>
      </c>
      <c r="F303" s="422">
        <v>540</v>
      </c>
    </row>
    <row r="304" spans="1:6" s="411" customFormat="1" ht="14.25" customHeight="1">
      <c r="A304" s="385" t="s">
        <v>291</v>
      </c>
      <c r="B304" s="389" t="s">
        <v>2567</v>
      </c>
      <c r="C304" s="389">
        <v>2310</v>
      </c>
      <c r="D304" s="389">
        <v>2290</v>
      </c>
      <c r="E304" s="389">
        <v>2270</v>
      </c>
      <c r="F304" s="425"/>
    </row>
    <row r="305" spans="1:6" s="411" customFormat="1" ht="14.25" customHeight="1">
      <c r="A305" s="385" t="s">
        <v>291</v>
      </c>
      <c r="B305" s="389" t="s">
        <v>2576</v>
      </c>
      <c r="C305" s="389">
        <v>2490</v>
      </c>
      <c r="D305" s="389">
        <v>2470</v>
      </c>
      <c r="E305" s="389">
        <v>2440</v>
      </c>
      <c r="F305" s="422">
        <v>560</v>
      </c>
    </row>
    <row r="306" spans="1:6" s="411" customFormat="1" ht="14.25" customHeight="1">
      <c r="A306" s="385" t="s">
        <v>291</v>
      </c>
      <c r="B306" s="389" t="s">
        <v>2586</v>
      </c>
      <c r="C306" s="389">
        <v>2420</v>
      </c>
      <c r="D306" s="389">
        <v>2400</v>
      </c>
      <c r="E306" s="389">
        <v>2380</v>
      </c>
      <c r="F306" s="425"/>
    </row>
    <row r="307" spans="1:6" s="411" customFormat="1" ht="14.25" customHeight="1">
      <c r="A307" s="385" t="s">
        <v>291</v>
      </c>
      <c r="B307" s="389" t="s">
        <v>2596</v>
      </c>
      <c r="C307" s="389">
        <v>2770</v>
      </c>
      <c r="D307" s="389">
        <v>2740</v>
      </c>
      <c r="E307" s="389">
        <v>2710</v>
      </c>
      <c r="F307" s="422">
        <v>650</v>
      </c>
    </row>
    <row r="308" spans="1:6" s="411" customFormat="1" ht="14.25" customHeight="1">
      <c r="A308" s="385" t="s">
        <v>291</v>
      </c>
      <c r="B308" s="389" t="s">
        <v>2606</v>
      </c>
      <c r="C308" s="389">
        <v>2610</v>
      </c>
      <c r="D308" s="389">
        <v>2580</v>
      </c>
      <c r="E308" s="389">
        <v>2550</v>
      </c>
      <c r="F308" s="422">
        <v>580</v>
      </c>
    </row>
    <row r="309" spans="1:6" s="411" customFormat="1" ht="14.25" customHeight="1">
      <c r="A309" s="385" t="s">
        <v>291</v>
      </c>
      <c r="B309" s="389" t="s">
        <v>2616</v>
      </c>
      <c r="C309" s="389">
        <v>2690</v>
      </c>
      <c r="D309" s="389">
        <v>2670</v>
      </c>
      <c r="E309" s="389">
        <v>2650</v>
      </c>
      <c r="F309" s="425"/>
    </row>
    <row r="310" spans="1:6" s="411" customFormat="1" ht="14.25" customHeight="1">
      <c r="A310" s="385" t="s">
        <v>291</v>
      </c>
      <c r="B310" s="389" t="s">
        <v>2625</v>
      </c>
      <c r="C310" s="389">
        <v>2360</v>
      </c>
      <c r="D310" s="389">
        <v>2330</v>
      </c>
      <c r="E310" s="389">
        <v>2310</v>
      </c>
      <c r="F310" s="422">
        <v>560</v>
      </c>
    </row>
    <row r="311" spans="1:6" s="411" customFormat="1" ht="14.25" customHeight="1">
      <c r="A311" s="385" t="s">
        <v>291</v>
      </c>
      <c r="B311" s="389" t="s">
        <v>2633</v>
      </c>
      <c r="C311" s="389">
        <v>1970</v>
      </c>
      <c r="D311" s="389">
        <v>1950</v>
      </c>
      <c r="E311" s="389">
        <v>1920</v>
      </c>
      <c r="F311" s="422">
        <v>470</v>
      </c>
    </row>
    <row r="312" spans="1:6" s="411" customFormat="1" ht="14.25" customHeight="1">
      <c r="A312" s="385" t="s">
        <v>291</v>
      </c>
      <c r="B312" s="389" t="s">
        <v>2641</v>
      </c>
      <c r="C312" s="389">
        <v>2230</v>
      </c>
      <c r="D312" s="389">
        <v>2200</v>
      </c>
      <c r="E312" s="389">
        <v>2170</v>
      </c>
      <c r="F312" s="422">
        <v>460</v>
      </c>
    </row>
    <row r="313" spans="1:6" s="411" customFormat="1" ht="14.25" customHeight="1">
      <c r="A313" s="385" t="s">
        <v>291</v>
      </c>
      <c r="B313" s="389" t="s">
        <v>2648</v>
      </c>
      <c r="C313" s="389">
        <v>2770</v>
      </c>
      <c r="D313" s="389">
        <v>2740</v>
      </c>
      <c r="E313" s="389">
        <v>2710</v>
      </c>
      <c r="F313" s="422">
        <v>610</v>
      </c>
    </row>
    <row r="314" spans="1:6" s="411" customFormat="1" ht="14.25" customHeight="1">
      <c r="A314" s="385" t="s">
        <v>291</v>
      </c>
      <c r="B314" s="389" t="s">
        <v>2655</v>
      </c>
      <c r="C314" s="389"/>
      <c r="D314" s="389"/>
      <c r="E314" s="389"/>
      <c r="F314" s="422">
        <v>490</v>
      </c>
    </row>
    <row r="315" spans="1:6" s="411" customFormat="1" ht="14.25" customHeight="1">
      <c r="A315" s="385" t="s">
        <v>291</v>
      </c>
      <c r="B315" s="389" t="s">
        <v>2662</v>
      </c>
      <c r="C315" s="389"/>
      <c r="D315" s="389"/>
      <c r="E315" s="389"/>
      <c r="F315" s="422">
        <v>520</v>
      </c>
    </row>
    <row r="316" spans="1:6" s="411" customFormat="1" ht="14.25" customHeight="1">
      <c r="A316" s="385" t="s">
        <v>291</v>
      </c>
      <c r="B316" s="400" t="s">
        <v>2669</v>
      </c>
      <c r="C316" s="400"/>
      <c r="D316" s="400"/>
      <c r="E316" s="400"/>
      <c r="F316" s="424">
        <v>460</v>
      </c>
    </row>
    <row r="317" spans="1:6" s="411" customFormat="1" ht="14.25" customHeight="1">
      <c r="A317" s="385" t="s">
        <v>294</v>
      </c>
      <c r="B317" s="386" t="s">
        <v>2425</v>
      </c>
      <c r="C317" s="386">
        <v>1200</v>
      </c>
      <c r="D317" s="386">
        <v>1180</v>
      </c>
      <c r="E317" s="386">
        <v>1160</v>
      </c>
      <c r="F317" s="419">
        <v>370</v>
      </c>
    </row>
    <row r="318" spans="1:6" s="411" customFormat="1" ht="14.25" customHeight="1">
      <c r="A318" s="385" t="s">
        <v>294</v>
      </c>
      <c r="B318" s="389" t="s">
        <v>2438</v>
      </c>
      <c r="C318" s="389">
        <v>1090</v>
      </c>
      <c r="D318" s="389">
        <v>1060</v>
      </c>
      <c r="E318" s="389">
        <v>1040</v>
      </c>
      <c r="F318" s="425"/>
    </row>
    <row r="319" spans="1:6" s="411" customFormat="1" ht="14.25" customHeight="1">
      <c r="A319" s="385" t="s">
        <v>294</v>
      </c>
      <c r="B319" s="389" t="s">
        <v>2452</v>
      </c>
      <c r="C319" s="389">
        <v>1520</v>
      </c>
      <c r="D319" s="389">
        <v>1470</v>
      </c>
      <c r="E319" s="389">
        <v>1440</v>
      </c>
      <c r="F319" s="422">
        <v>370</v>
      </c>
    </row>
    <row r="320" spans="1:6" s="411" customFormat="1" ht="14.25" customHeight="1">
      <c r="A320" s="385" t="s">
        <v>294</v>
      </c>
      <c r="B320" s="389" t="s">
        <v>2464</v>
      </c>
      <c r="C320" s="389">
        <v>1360</v>
      </c>
      <c r="D320" s="389">
        <v>1300</v>
      </c>
      <c r="E320" s="389">
        <v>1270</v>
      </c>
      <c r="F320" s="425"/>
    </row>
    <row r="321" spans="1:6" s="411" customFormat="1" ht="14.25" customHeight="1">
      <c r="A321" s="385" t="s">
        <v>294</v>
      </c>
      <c r="B321" s="389" t="s">
        <v>2476</v>
      </c>
      <c r="C321" s="389">
        <v>1750</v>
      </c>
      <c r="D321" s="389">
        <v>1690</v>
      </c>
      <c r="E321" s="389">
        <v>1660</v>
      </c>
      <c r="F321" s="425"/>
    </row>
    <row r="322" spans="1:6" s="411" customFormat="1" ht="14.25" customHeight="1">
      <c r="A322" s="385" t="s">
        <v>294</v>
      </c>
      <c r="B322" s="389" t="s">
        <v>2487</v>
      </c>
      <c r="C322" s="389">
        <v>1650</v>
      </c>
      <c r="D322" s="389">
        <v>1610</v>
      </c>
      <c r="E322" s="389">
        <v>1580</v>
      </c>
      <c r="F322" s="422">
        <v>500</v>
      </c>
    </row>
    <row r="323" spans="1:6" s="411" customFormat="1" ht="14.25" customHeight="1">
      <c r="A323" s="385" t="s">
        <v>294</v>
      </c>
      <c r="B323" s="389" t="s">
        <v>2498</v>
      </c>
      <c r="C323" s="389">
        <v>1780</v>
      </c>
      <c r="D323" s="389">
        <v>1740</v>
      </c>
      <c r="E323" s="389">
        <v>1720</v>
      </c>
      <c r="F323" s="425"/>
    </row>
    <row r="324" spans="1:6" s="411" customFormat="1" ht="14.25" customHeight="1">
      <c r="A324" s="385" t="s">
        <v>294</v>
      </c>
      <c r="B324" s="389" t="s">
        <v>2509</v>
      </c>
      <c r="C324" s="389">
        <v>1650</v>
      </c>
      <c r="D324" s="389">
        <v>1610</v>
      </c>
      <c r="E324" s="389">
        <v>1580</v>
      </c>
      <c r="F324" s="425"/>
    </row>
    <row r="325" spans="1:6" s="411" customFormat="1" ht="14.25" customHeight="1">
      <c r="A325" s="385" t="s">
        <v>294</v>
      </c>
      <c r="B325" s="389" t="s">
        <v>2519</v>
      </c>
      <c r="C325" s="389">
        <v>1330</v>
      </c>
      <c r="D325" s="389">
        <v>1270</v>
      </c>
      <c r="E325" s="389">
        <v>1240</v>
      </c>
      <c r="F325" s="422">
        <v>430</v>
      </c>
    </row>
    <row r="326" spans="1:6" s="411" customFormat="1" ht="14.25" customHeight="1">
      <c r="A326" s="385" t="s">
        <v>294</v>
      </c>
      <c r="B326" s="389" t="s">
        <v>2529</v>
      </c>
      <c r="C326" s="389">
        <v>1470</v>
      </c>
      <c r="D326" s="389">
        <v>1430</v>
      </c>
      <c r="E326" s="389">
        <v>1400</v>
      </c>
      <c r="F326" s="425"/>
    </row>
    <row r="327" spans="1:6" s="411" customFormat="1" ht="14.25" customHeight="1">
      <c r="A327" s="385" t="s">
        <v>294</v>
      </c>
      <c r="B327" s="389" t="s">
        <v>2539</v>
      </c>
      <c r="C327" s="389">
        <v>1420</v>
      </c>
      <c r="D327" s="389">
        <v>1380</v>
      </c>
      <c r="E327" s="389">
        <v>1360</v>
      </c>
      <c r="F327" s="422">
        <v>420</v>
      </c>
    </row>
    <row r="328" spans="1:6" s="411" customFormat="1" ht="14.25" customHeight="1">
      <c r="A328" s="385" t="s">
        <v>294</v>
      </c>
      <c r="B328" s="389" t="s">
        <v>2549</v>
      </c>
      <c r="C328" s="389">
        <v>1400</v>
      </c>
      <c r="D328" s="389">
        <v>1360</v>
      </c>
      <c r="E328" s="389">
        <v>1330</v>
      </c>
      <c r="F328" s="422">
        <v>460</v>
      </c>
    </row>
    <row r="329" spans="1:6" s="411" customFormat="1" ht="14.25" customHeight="1">
      <c r="A329" s="385" t="s">
        <v>294</v>
      </c>
      <c r="B329" s="389" t="s">
        <v>2558</v>
      </c>
      <c r="C329" s="389">
        <v>1640</v>
      </c>
      <c r="D329" s="389">
        <v>1610</v>
      </c>
      <c r="E329" s="389">
        <v>1580</v>
      </c>
      <c r="F329" s="422">
        <v>410</v>
      </c>
    </row>
    <row r="330" spans="1:6" s="411" customFormat="1" ht="14.25" customHeight="1">
      <c r="A330" s="385" t="s">
        <v>294</v>
      </c>
      <c r="B330" s="389" t="s">
        <v>2568</v>
      </c>
      <c r="C330" s="389">
        <v>1260</v>
      </c>
      <c r="D330" s="389">
        <v>1220</v>
      </c>
      <c r="E330" s="389">
        <v>1200</v>
      </c>
      <c r="F330" s="425"/>
    </row>
    <row r="331" spans="1:6" s="411" customFormat="1" ht="14.25" customHeight="1">
      <c r="A331" s="385" t="s">
        <v>294</v>
      </c>
      <c r="B331" s="389" t="s">
        <v>2577</v>
      </c>
      <c r="C331" s="389">
        <v>1620</v>
      </c>
      <c r="D331" s="389">
        <v>1560</v>
      </c>
      <c r="E331" s="389">
        <v>1530</v>
      </c>
      <c r="F331" s="422">
        <v>490</v>
      </c>
    </row>
    <row r="332" spans="1:6" s="411" customFormat="1" ht="14.25" customHeight="1">
      <c r="A332" s="385" t="s">
        <v>294</v>
      </c>
      <c r="B332" s="389" t="s">
        <v>2587</v>
      </c>
      <c r="C332" s="389">
        <v>1520</v>
      </c>
      <c r="D332" s="389">
        <v>1470</v>
      </c>
      <c r="E332" s="389">
        <v>1440</v>
      </c>
      <c r="F332" s="422">
        <v>440</v>
      </c>
    </row>
    <row r="333" spans="1:6" s="411" customFormat="1" ht="14.25" customHeight="1">
      <c r="A333" s="385" t="s">
        <v>294</v>
      </c>
      <c r="B333" s="389" t="s">
        <v>2597</v>
      </c>
      <c r="C333" s="389">
        <v>1370</v>
      </c>
      <c r="D333" s="389">
        <v>1320</v>
      </c>
      <c r="E333" s="389">
        <v>1300</v>
      </c>
      <c r="F333" s="422">
        <v>460</v>
      </c>
    </row>
    <row r="334" spans="1:6" s="411" customFormat="1" ht="14.25" customHeight="1">
      <c r="A334" s="385" t="s">
        <v>294</v>
      </c>
      <c r="B334" s="389" t="s">
        <v>2607</v>
      </c>
      <c r="C334" s="389">
        <v>1410</v>
      </c>
      <c r="D334" s="389">
        <v>1340</v>
      </c>
      <c r="E334" s="389">
        <v>1310</v>
      </c>
      <c r="F334" s="422">
        <v>410</v>
      </c>
    </row>
    <row r="335" spans="1:6" s="411" customFormat="1" ht="14.25" customHeight="1">
      <c r="A335" s="385" t="s">
        <v>294</v>
      </c>
      <c r="B335" s="389" t="s">
        <v>2617</v>
      </c>
      <c r="C335" s="389">
        <v>1260</v>
      </c>
      <c r="D335" s="389">
        <v>1220</v>
      </c>
      <c r="E335" s="389">
        <v>1200</v>
      </c>
      <c r="F335" s="425"/>
    </row>
    <row r="336" spans="1:6" s="411" customFormat="1" ht="14.25" customHeight="1">
      <c r="A336" s="385" t="s">
        <v>294</v>
      </c>
      <c r="B336" s="389" t="s">
        <v>2626</v>
      </c>
      <c r="C336" s="389">
        <v>1160</v>
      </c>
      <c r="D336" s="389">
        <v>1140</v>
      </c>
      <c r="E336" s="389">
        <v>1120</v>
      </c>
      <c r="F336" s="422">
        <v>430</v>
      </c>
    </row>
    <row r="337" spans="1:6" s="411" customFormat="1" ht="14.25" customHeight="1">
      <c r="A337" s="385" t="s">
        <v>294</v>
      </c>
      <c r="B337" s="400" t="s">
        <v>2634</v>
      </c>
      <c r="C337" s="400"/>
      <c r="D337" s="400"/>
      <c r="E337" s="400"/>
      <c r="F337" s="424">
        <v>380</v>
      </c>
    </row>
    <row r="338" spans="1:6" s="411" customFormat="1" ht="14.25" customHeight="1">
      <c r="A338" s="385" t="s">
        <v>297</v>
      </c>
      <c r="B338" s="386" t="s">
        <v>2426</v>
      </c>
      <c r="C338" s="386">
        <v>880</v>
      </c>
      <c r="D338" s="386">
        <v>850</v>
      </c>
      <c r="E338" s="386">
        <v>830</v>
      </c>
      <c r="F338" s="429"/>
    </row>
    <row r="339" spans="1:6" s="411" customFormat="1" ht="14.25" customHeight="1">
      <c r="A339" s="385" t="s">
        <v>297</v>
      </c>
      <c r="B339" s="389" t="s">
        <v>2439</v>
      </c>
      <c r="C339" s="389">
        <v>830</v>
      </c>
      <c r="D339" s="389">
        <v>800</v>
      </c>
      <c r="E339" s="389">
        <v>780</v>
      </c>
      <c r="F339" s="425"/>
    </row>
    <row r="340" spans="1:6" s="411" customFormat="1" ht="14.25" customHeight="1">
      <c r="A340" s="385" t="s">
        <v>297</v>
      </c>
      <c r="B340" s="389" t="s">
        <v>2453</v>
      </c>
      <c r="C340" s="389">
        <v>980</v>
      </c>
      <c r="D340" s="389">
        <v>950</v>
      </c>
      <c r="E340" s="389">
        <v>920</v>
      </c>
      <c r="F340" s="425"/>
    </row>
    <row r="341" spans="1:6" s="411" customFormat="1" ht="14.25" customHeight="1">
      <c r="A341" s="385" t="s">
        <v>297</v>
      </c>
      <c r="B341" s="389" t="s">
        <v>2465</v>
      </c>
      <c r="C341" s="389">
        <v>760</v>
      </c>
      <c r="D341" s="389">
        <v>720</v>
      </c>
      <c r="E341" s="389">
        <v>690</v>
      </c>
      <c r="F341" s="422">
        <v>350</v>
      </c>
    </row>
    <row r="342" spans="1:6" s="411" customFormat="1" ht="14.25" customHeight="1">
      <c r="A342" s="385" t="s">
        <v>297</v>
      </c>
      <c r="B342" s="389" t="s">
        <v>2477</v>
      </c>
      <c r="C342" s="389">
        <v>910</v>
      </c>
      <c r="D342" s="389">
        <v>870</v>
      </c>
      <c r="E342" s="389">
        <v>850</v>
      </c>
      <c r="F342" s="422">
        <v>370</v>
      </c>
    </row>
    <row r="343" spans="1:6" s="411" customFormat="1" ht="14.25" customHeight="1">
      <c r="A343" s="385" t="s">
        <v>297</v>
      </c>
      <c r="B343" s="389" t="s">
        <v>2488</v>
      </c>
      <c r="C343" s="389">
        <v>800</v>
      </c>
      <c r="D343" s="389">
        <v>760</v>
      </c>
      <c r="E343" s="389">
        <v>730</v>
      </c>
      <c r="F343" s="422">
        <v>340</v>
      </c>
    </row>
    <row r="344" spans="1:6" s="411" customFormat="1" ht="14.25" customHeight="1">
      <c r="A344" s="385" t="s">
        <v>297</v>
      </c>
      <c r="B344" s="400" t="s">
        <v>2499</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87" t="str">
        <f>IF(项目基本情况!B9="房地产市场价值","估价结果一览表","结果表-2")</f>
        <v>估价结果一览表</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9"/>
      <c r="B3" s="2989"/>
      <c r="C3" s="2989"/>
      <c r="D3" s="2864" t="s">
        <v>110</v>
      </c>
      <c r="E3" s="2864" t="s">
        <v>111</v>
      </c>
      <c r="F3" s="2864" t="s">
        <v>110</v>
      </c>
      <c r="G3" s="2864" t="s">
        <v>111</v>
      </c>
      <c r="H3" s="2864" t="s">
        <v>110</v>
      </c>
      <c r="I3" s="2864" t="s">
        <v>111</v>
      </c>
    </row>
    <row r="4" spans="1:9" ht="15">
      <c r="A4" s="2865" t="str">
        <f>项目基本情况!S2</f>
        <v>北京市房地产</v>
      </c>
      <c r="B4" s="2864">
        <f>项目基本情况!C17</f>
        <v>1837.06</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89" t="s">
        <v>112</v>
      </c>
      <c r="B5" s="2989"/>
      <c r="C5" s="2989"/>
      <c r="D5" s="2990" t="e">
        <f ca="1">结果表!D119</f>
        <v>#REF!</v>
      </c>
      <c r="E5" s="2990"/>
      <c r="F5" s="2990" t="e">
        <f ca="1">结果表!F119</f>
        <v>#REF!</v>
      </c>
      <c r="G5" s="2990"/>
      <c r="H5" s="2990" t="e">
        <f ca="1">结果表!H119</f>
        <v>#REF!</v>
      </c>
      <c r="I5" s="2990"/>
    </row>
    <row r="6" spans="1:9" ht="15.75">
      <c r="A6" s="2991" t="str">
        <f>结果表!A120</f>
        <v/>
      </c>
      <c r="B6" s="2991"/>
      <c r="C6" s="2991"/>
      <c r="D6" s="2991">
        <f>结果表!D120</f>
        <v>0</v>
      </c>
      <c r="E6" s="2991"/>
      <c r="F6" s="2991"/>
      <c r="G6" s="2991"/>
      <c r="H6" s="2991"/>
      <c r="I6" s="2991"/>
    </row>
    <row r="7" spans="1:9" ht="15">
      <c r="A7" s="2989" t="s">
        <v>112</v>
      </c>
      <c r="B7" s="2989"/>
      <c r="C7" s="2989"/>
      <c r="D7" s="2992" t="str">
        <f>结果表!D121</f>
        <v>零元整</v>
      </c>
      <c r="E7" s="2993"/>
      <c r="F7" s="2993"/>
      <c r="G7" s="2993"/>
      <c r="H7" s="2993"/>
      <c r="I7" s="2994"/>
    </row>
    <row r="8" spans="1:9" ht="15.75">
      <c r="A8" s="2991" t="str">
        <f>结果表!A122</f>
        <v/>
      </c>
      <c r="B8" s="2991"/>
      <c r="C8" s="2991"/>
      <c r="D8" s="2991" t="e">
        <f ca="1">结果表!D122</f>
        <v>#REF!</v>
      </c>
      <c r="E8" s="2991"/>
      <c r="F8" s="2991"/>
      <c r="G8" s="2991"/>
      <c r="H8" s="2991"/>
      <c r="I8" s="2991"/>
    </row>
    <row r="9" spans="1:9" ht="15">
      <c r="A9" s="2989" t="s">
        <v>112</v>
      </c>
      <c r="B9" s="2989"/>
      <c r="C9" s="2989"/>
      <c r="D9" s="2990" t="e">
        <f ca="1">结果表!D123</f>
        <v>#REF!</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112</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
      <c r="A13" s="2995" t="s">
        <v>112</v>
      </c>
      <c r="B13" s="2995"/>
      <c r="C13" s="2995"/>
      <c r="D13" s="2996" t="e">
        <f>结果表!D127</f>
        <v>#VALUE!</v>
      </c>
      <c r="E13" s="2996"/>
      <c r="F13" s="2996"/>
      <c r="G13" s="2996"/>
      <c r="H13" s="2996"/>
      <c r="I13" s="2996"/>
    </row>
    <row r="14" spans="1:9">
      <c r="A14" s="2997" t="s">
        <v>113</v>
      </c>
      <c r="B14" s="2997"/>
      <c r="C14" s="2997"/>
      <c r="D14" s="2997"/>
      <c r="E14" s="2997"/>
      <c r="F14" s="2997"/>
      <c r="G14" s="2997"/>
      <c r="H14" s="2997"/>
      <c r="I14" s="2997"/>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400" t="s">
        <v>2756</v>
      </c>
      <c r="B1" s="3400"/>
    </row>
    <row r="2" spans="1:6">
      <c r="A2" s="381"/>
      <c r="B2" s="381"/>
    </row>
    <row r="3" spans="1:6">
      <c r="A3" s="381"/>
      <c r="B3" s="381"/>
      <c r="C3" s="382" t="s">
        <v>459</v>
      </c>
      <c r="D3" s="382" t="s">
        <v>1988</v>
      </c>
      <c r="E3" s="382" t="s">
        <v>1989</v>
      </c>
      <c r="F3" s="382" t="s">
        <v>1990</v>
      </c>
    </row>
    <row r="4" spans="1:6">
      <c r="A4" s="383" t="s">
        <v>2427</v>
      </c>
      <c r="B4" s="384" t="s">
        <v>2440</v>
      </c>
      <c r="C4" s="382"/>
      <c r="D4" s="382"/>
      <c r="E4" s="382"/>
      <c r="F4" s="382"/>
    </row>
    <row r="5" spans="1:6">
      <c r="A5" s="385" t="s">
        <v>232</v>
      </c>
      <c r="B5" s="386" t="s">
        <v>2415</v>
      </c>
      <c r="C5" s="387">
        <v>8.8999999999999996E-2</v>
      </c>
      <c r="D5" s="387">
        <v>7.3999999999999996E-2</v>
      </c>
      <c r="E5" s="387">
        <v>7.4999999999999997E-2</v>
      </c>
      <c r="F5" s="388">
        <v>0.1</v>
      </c>
    </row>
    <row r="6" spans="1:6">
      <c r="A6" s="385" t="s">
        <v>232</v>
      </c>
      <c r="B6" s="389" t="s">
        <v>2428</v>
      </c>
      <c r="C6" s="390">
        <v>0.1</v>
      </c>
      <c r="D6" s="390">
        <v>9.0999999999999998E-2</v>
      </c>
      <c r="E6" s="390">
        <v>9.0999999999999998E-2</v>
      </c>
      <c r="F6" s="391">
        <v>0.1</v>
      </c>
    </row>
    <row r="7" spans="1:6">
      <c r="A7" s="385" t="s">
        <v>232</v>
      </c>
      <c r="B7" s="392" t="s">
        <v>2442</v>
      </c>
      <c r="C7" s="390">
        <v>8.5999999999999993E-2</v>
      </c>
      <c r="D7" s="390">
        <v>9.6000000000000002E-2</v>
      </c>
      <c r="E7" s="390">
        <v>7.5999999999999998E-2</v>
      </c>
      <c r="F7" s="391">
        <v>0.1</v>
      </c>
    </row>
    <row r="8" spans="1:6">
      <c r="A8" s="385" t="s">
        <v>232</v>
      </c>
      <c r="B8" s="389" t="s">
        <v>2454</v>
      </c>
      <c r="C8" s="390">
        <v>9.9000000000000005E-2</v>
      </c>
      <c r="D8" s="390">
        <v>9.8000000000000004E-2</v>
      </c>
      <c r="E8" s="390">
        <v>9.8000000000000004E-2</v>
      </c>
      <c r="F8" s="391">
        <v>0.1</v>
      </c>
    </row>
    <row r="9" spans="1:6">
      <c r="A9" s="393" t="s">
        <v>232</v>
      </c>
      <c r="B9" s="394" t="s">
        <v>2466</v>
      </c>
      <c r="C9" s="395">
        <v>0.05</v>
      </c>
      <c r="D9" s="396"/>
      <c r="E9" s="396"/>
      <c r="F9" s="397"/>
    </row>
    <row r="10" spans="1:6">
      <c r="A10" s="385" t="s">
        <v>243</v>
      </c>
      <c r="B10" s="386" t="s">
        <v>2416</v>
      </c>
      <c r="C10" s="387">
        <v>8.8999999999999996E-2</v>
      </c>
      <c r="D10" s="387">
        <v>7.2999999999999995E-2</v>
      </c>
      <c r="E10" s="387">
        <v>8.2000000000000003E-2</v>
      </c>
      <c r="F10" s="388">
        <v>0.1</v>
      </c>
    </row>
    <row r="11" spans="1:6">
      <c r="A11" s="385" t="s">
        <v>243</v>
      </c>
      <c r="B11" s="392" t="s">
        <v>2429</v>
      </c>
      <c r="C11" s="390">
        <v>8.8999999999999996E-2</v>
      </c>
      <c r="D11" s="390">
        <v>7.2999999999999995E-2</v>
      </c>
      <c r="E11" s="390">
        <v>8.2000000000000003E-2</v>
      </c>
      <c r="F11" s="391">
        <v>0.1</v>
      </c>
    </row>
    <row r="12" spans="1:6">
      <c r="A12" s="385" t="s">
        <v>243</v>
      </c>
      <c r="B12" s="392" t="s">
        <v>2443</v>
      </c>
      <c r="C12" s="390">
        <v>6.0999999999999999E-2</v>
      </c>
      <c r="D12" s="390">
        <v>7.0999999999999994E-2</v>
      </c>
      <c r="E12" s="390">
        <v>9.6000000000000002E-2</v>
      </c>
      <c r="F12" s="391">
        <v>0.1</v>
      </c>
    </row>
    <row r="13" spans="1:6">
      <c r="A13" s="385" t="s">
        <v>243</v>
      </c>
      <c r="B13" s="392" t="s">
        <v>2455</v>
      </c>
      <c r="C13" s="390">
        <v>6.9000000000000006E-2</v>
      </c>
      <c r="D13" s="390">
        <v>6.5000000000000002E-2</v>
      </c>
      <c r="E13" s="390">
        <v>6.6000000000000003E-2</v>
      </c>
      <c r="F13" s="391">
        <v>0.1</v>
      </c>
    </row>
    <row r="14" spans="1:6">
      <c r="A14" s="385" t="s">
        <v>243</v>
      </c>
      <c r="B14" s="392" t="s">
        <v>2467</v>
      </c>
      <c r="C14" s="390">
        <v>0.1</v>
      </c>
      <c r="D14" s="390">
        <v>6.5000000000000002E-2</v>
      </c>
      <c r="E14" s="390">
        <v>7.0000000000000007E-2</v>
      </c>
      <c r="F14" s="391">
        <v>0.1</v>
      </c>
    </row>
    <row r="15" spans="1:6">
      <c r="A15" s="385" t="s">
        <v>243</v>
      </c>
      <c r="B15" s="392" t="s">
        <v>2478</v>
      </c>
      <c r="C15" s="390">
        <v>9.8000000000000004E-2</v>
      </c>
      <c r="D15" s="390">
        <v>8.8999999999999996E-2</v>
      </c>
      <c r="E15" s="390">
        <v>8.8999999999999996E-2</v>
      </c>
      <c r="F15" s="391">
        <v>0.1</v>
      </c>
    </row>
    <row r="16" spans="1:6">
      <c r="A16" s="385" t="s">
        <v>243</v>
      </c>
      <c r="B16" s="392" t="s">
        <v>2489</v>
      </c>
      <c r="C16" s="390">
        <v>7.0000000000000007E-2</v>
      </c>
      <c r="D16" s="390">
        <v>9.2999999999999999E-2</v>
      </c>
      <c r="E16" s="390">
        <v>9.6000000000000002E-2</v>
      </c>
      <c r="F16" s="391">
        <v>0.1</v>
      </c>
    </row>
    <row r="17" spans="1:6">
      <c r="A17" s="385" t="s">
        <v>243</v>
      </c>
      <c r="B17" s="392" t="s">
        <v>2500</v>
      </c>
      <c r="C17" s="390">
        <v>9.5000000000000001E-2</v>
      </c>
      <c r="D17" s="390">
        <v>0.1</v>
      </c>
      <c r="E17" s="390">
        <v>0.1</v>
      </c>
      <c r="F17" s="398"/>
    </row>
    <row r="18" spans="1:6">
      <c r="A18" s="385" t="s">
        <v>243</v>
      </c>
      <c r="B18" s="392" t="s">
        <v>2510</v>
      </c>
      <c r="C18" s="390">
        <v>7.3999999999999996E-2</v>
      </c>
      <c r="D18" s="390">
        <v>9.9000000000000005E-2</v>
      </c>
      <c r="E18" s="390">
        <v>0.1</v>
      </c>
      <c r="F18" s="398"/>
    </row>
    <row r="19" spans="1:6">
      <c r="A19" s="385" t="s">
        <v>243</v>
      </c>
      <c r="B19" s="392" t="s">
        <v>2520</v>
      </c>
      <c r="C19" s="390">
        <v>9.9000000000000005E-2</v>
      </c>
      <c r="D19" s="390">
        <v>7.5999999999999998E-2</v>
      </c>
      <c r="E19" s="390">
        <v>8.6999999999999994E-2</v>
      </c>
      <c r="F19" s="398"/>
    </row>
    <row r="20" spans="1:6">
      <c r="A20" s="385" t="s">
        <v>243</v>
      </c>
      <c r="B20" s="392" t="s">
        <v>2530</v>
      </c>
      <c r="C20" s="390">
        <v>9.8000000000000004E-2</v>
      </c>
      <c r="D20" s="390">
        <v>8.5000000000000006E-2</v>
      </c>
      <c r="E20" s="390">
        <v>8.2000000000000003E-2</v>
      </c>
      <c r="F20" s="398"/>
    </row>
    <row r="21" spans="1:6">
      <c r="A21" s="385" t="s">
        <v>243</v>
      </c>
      <c r="B21" s="392" t="s">
        <v>2540</v>
      </c>
      <c r="C21" s="390">
        <v>6.6000000000000003E-2</v>
      </c>
      <c r="D21" s="390">
        <v>6.4000000000000001E-2</v>
      </c>
      <c r="E21" s="390">
        <v>6.5000000000000002E-2</v>
      </c>
      <c r="F21" s="398"/>
    </row>
    <row r="22" spans="1:6">
      <c r="A22" s="385" t="s">
        <v>243</v>
      </c>
      <c r="B22" s="392" t="s">
        <v>2550</v>
      </c>
      <c r="C22" s="390">
        <v>0.08</v>
      </c>
      <c r="D22" s="390">
        <v>9.8000000000000004E-2</v>
      </c>
      <c r="E22" s="390">
        <v>9.8000000000000004E-2</v>
      </c>
      <c r="F22" s="398"/>
    </row>
    <row r="23" spans="1:6">
      <c r="A23" s="385" t="s">
        <v>243</v>
      </c>
      <c r="B23" s="392" t="s">
        <v>2559</v>
      </c>
      <c r="C23" s="390">
        <v>9.9000000000000005E-2</v>
      </c>
      <c r="D23" s="390">
        <v>9.8000000000000004E-2</v>
      </c>
      <c r="E23" s="390">
        <v>9.0999999999999998E-2</v>
      </c>
      <c r="F23" s="398"/>
    </row>
    <row r="24" spans="1:6">
      <c r="A24" s="385" t="s">
        <v>243</v>
      </c>
      <c r="B24" s="392" t="s">
        <v>2569</v>
      </c>
      <c r="C24" s="390">
        <v>8.8999999999999996E-2</v>
      </c>
      <c r="D24" s="390">
        <v>9.7000000000000003E-2</v>
      </c>
      <c r="E24" s="390">
        <v>7.0000000000000007E-2</v>
      </c>
      <c r="F24" s="398"/>
    </row>
    <row r="25" spans="1:6">
      <c r="A25" s="385" t="s">
        <v>243</v>
      </c>
      <c r="B25" s="392" t="s">
        <v>2578</v>
      </c>
      <c r="C25" s="390">
        <v>8.8999999999999996E-2</v>
      </c>
      <c r="D25" s="390">
        <v>0.1</v>
      </c>
      <c r="E25" s="390">
        <v>8.1000000000000003E-2</v>
      </c>
      <c r="F25" s="398"/>
    </row>
    <row r="26" spans="1:6">
      <c r="A26" s="385" t="s">
        <v>243</v>
      </c>
      <c r="B26" s="392" t="s">
        <v>2588</v>
      </c>
      <c r="C26" s="399"/>
      <c r="D26" s="390">
        <v>9.6000000000000002E-2</v>
      </c>
      <c r="E26" s="390">
        <v>9.2999999999999999E-2</v>
      </c>
      <c r="F26" s="398"/>
    </row>
    <row r="27" spans="1:6">
      <c r="A27" s="385" t="s">
        <v>243</v>
      </c>
      <c r="B27" s="392" t="s">
        <v>2598</v>
      </c>
      <c r="C27" s="399"/>
      <c r="D27" s="390">
        <v>7.5999999999999998E-2</v>
      </c>
      <c r="E27" s="390">
        <v>9.1999999999999998E-2</v>
      </c>
      <c r="F27" s="398"/>
    </row>
    <row r="28" spans="1:6">
      <c r="A28" s="393" t="s">
        <v>243</v>
      </c>
      <c r="B28" s="394" t="s">
        <v>2608</v>
      </c>
      <c r="C28" s="396"/>
      <c r="D28" s="395">
        <v>7.5999999999999998E-2</v>
      </c>
      <c r="E28" s="395">
        <v>9.1999999999999998E-2</v>
      </c>
      <c r="F28" s="397"/>
    </row>
    <row r="29" spans="1:6">
      <c r="A29" s="385" t="s">
        <v>253</v>
      </c>
      <c r="B29" s="386" t="s">
        <v>2417</v>
      </c>
      <c r="C29" s="387">
        <v>6.4000000000000001E-2</v>
      </c>
      <c r="D29" s="387">
        <v>6.5000000000000002E-2</v>
      </c>
      <c r="E29" s="387">
        <v>6.9000000000000006E-2</v>
      </c>
      <c r="F29" s="388">
        <v>0.1</v>
      </c>
    </row>
    <row r="30" spans="1:6">
      <c r="A30" s="385" t="s">
        <v>253</v>
      </c>
      <c r="B30" s="392" t="s">
        <v>2430</v>
      </c>
      <c r="C30" s="390">
        <v>6.4000000000000001E-2</v>
      </c>
      <c r="D30" s="390">
        <v>9.9000000000000005E-2</v>
      </c>
      <c r="E30" s="390">
        <v>0.1</v>
      </c>
      <c r="F30" s="391">
        <v>0.1</v>
      </c>
    </row>
    <row r="31" spans="1:6">
      <c r="A31" s="385" t="s">
        <v>253</v>
      </c>
      <c r="B31" s="392" t="s">
        <v>2444</v>
      </c>
      <c r="C31" s="390">
        <v>0.1</v>
      </c>
      <c r="D31" s="390">
        <v>9.5000000000000001E-2</v>
      </c>
      <c r="E31" s="390">
        <v>8.8999999999999996E-2</v>
      </c>
      <c r="F31" s="391">
        <v>0.1</v>
      </c>
    </row>
    <row r="32" spans="1:6">
      <c r="A32" s="385" t="s">
        <v>253</v>
      </c>
      <c r="B32" s="392" t="s">
        <v>2456</v>
      </c>
      <c r="C32" s="390">
        <v>0.05</v>
      </c>
      <c r="D32" s="390">
        <v>0.05</v>
      </c>
      <c r="E32" s="390">
        <v>8.7999999999999995E-2</v>
      </c>
      <c r="F32" s="391">
        <v>0.1</v>
      </c>
    </row>
    <row r="33" spans="1:6">
      <c r="A33" s="385" t="s">
        <v>253</v>
      </c>
      <c r="B33" s="392" t="s">
        <v>2468</v>
      </c>
      <c r="C33" s="390">
        <v>7.4999999999999997E-2</v>
      </c>
      <c r="D33" s="390">
        <v>9.4E-2</v>
      </c>
      <c r="E33" s="390">
        <v>9.7000000000000003E-2</v>
      </c>
      <c r="F33" s="391">
        <v>0.1</v>
      </c>
    </row>
    <row r="34" spans="1:6">
      <c r="A34" s="385" t="s">
        <v>253</v>
      </c>
      <c r="B34" s="392" t="s">
        <v>2479</v>
      </c>
      <c r="C34" s="390">
        <v>9.8000000000000004E-2</v>
      </c>
      <c r="D34" s="390">
        <v>8.5999999999999993E-2</v>
      </c>
      <c r="E34" s="390">
        <v>9.7000000000000003E-2</v>
      </c>
      <c r="F34" s="391">
        <v>0.1</v>
      </c>
    </row>
    <row r="35" spans="1:6">
      <c r="A35" s="385" t="s">
        <v>253</v>
      </c>
      <c r="B35" s="392" t="s">
        <v>2490</v>
      </c>
      <c r="C35" s="390">
        <v>5.8999999999999997E-2</v>
      </c>
      <c r="D35" s="390">
        <v>6.5000000000000002E-2</v>
      </c>
      <c r="E35" s="390">
        <v>7.0000000000000007E-2</v>
      </c>
      <c r="F35" s="391">
        <v>0.1</v>
      </c>
    </row>
    <row r="36" spans="1:6">
      <c r="A36" s="385" t="s">
        <v>253</v>
      </c>
      <c r="B36" s="392" t="s">
        <v>2501</v>
      </c>
      <c r="C36" s="390">
        <v>6.3E-2</v>
      </c>
      <c r="D36" s="390">
        <v>0.1</v>
      </c>
      <c r="E36" s="390">
        <v>0.1</v>
      </c>
      <c r="F36" s="391">
        <v>0.1</v>
      </c>
    </row>
    <row r="37" spans="1:6">
      <c r="A37" s="385" t="s">
        <v>253</v>
      </c>
      <c r="B37" s="392" t="s">
        <v>2511</v>
      </c>
      <c r="C37" s="390">
        <v>7.3999999999999996E-2</v>
      </c>
      <c r="D37" s="390">
        <v>0.1</v>
      </c>
      <c r="E37" s="390">
        <v>0.1</v>
      </c>
      <c r="F37" s="391">
        <v>0.1</v>
      </c>
    </row>
    <row r="38" spans="1:6">
      <c r="A38" s="385" t="s">
        <v>253</v>
      </c>
      <c r="B38" s="392" t="s">
        <v>2521</v>
      </c>
      <c r="C38" s="390">
        <v>0.1</v>
      </c>
      <c r="D38" s="390">
        <v>9.6000000000000002E-2</v>
      </c>
      <c r="E38" s="390">
        <v>9.6000000000000002E-2</v>
      </c>
      <c r="F38" s="398"/>
    </row>
    <row r="39" spans="1:6">
      <c r="A39" s="385" t="s">
        <v>253</v>
      </c>
      <c r="B39" s="392" t="s">
        <v>2531</v>
      </c>
      <c r="C39" s="390">
        <v>0.1</v>
      </c>
      <c r="D39" s="390">
        <v>9.6000000000000002E-2</v>
      </c>
      <c r="E39" s="390">
        <v>9.6000000000000002E-2</v>
      </c>
      <c r="F39" s="398"/>
    </row>
    <row r="40" spans="1:6">
      <c r="A40" s="385" t="s">
        <v>253</v>
      </c>
      <c r="B40" s="392" t="s">
        <v>2541</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2560</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2579</v>
      </c>
      <c r="C44" s="390">
        <v>8.5999999999999993E-2</v>
      </c>
      <c r="D44" s="390">
        <v>7.9000000000000001E-2</v>
      </c>
      <c r="E44" s="390">
        <v>7.0999999999999994E-2</v>
      </c>
      <c r="F44" s="398"/>
    </row>
    <row r="45" spans="1:6">
      <c r="A45" s="385" t="s">
        <v>253</v>
      </c>
      <c r="B45" s="392" t="s">
        <v>2589</v>
      </c>
      <c r="C45" s="390">
        <v>9.8000000000000004E-2</v>
      </c>
      <c r="D45" s="390">
        <v>9.6000000000000002E-2</v>
      </c>
      <c r="E45" s="390">
        <v>9.6000000000000002E-2</v>
      </c>
      <c r="F45" s="398"/>
    </row>
    <row r="46" spans="1:6">
      <c r="A46" s="385" t="s">
        <v>253</v>
      </c>
      <c r="B46" s="392" t="s">
        <v>2599</v>
      </c>
      <c r="C46" s="390">
        <v>8.5999999999999993E-2</v>
      </c>
      <c r="D46" s="390">
        <v>9.8000000000000004E-2</v>
      </c>
      <c r="E46" s="390">
        <v>8.7999999999999995E-2</v>
      </c>
      <c r="F46" s="398"/>
    </row>
    <row r="47" spans="1:6">
      <c r="A47" s="385" t="s">
        <v>253</v>
      </c>
      <c r="B47" s="392" t="s">
        <v>2609</v>
      </c>
      <c r="C47" s="390">
        <v>9.6000000000000002E-2</v>
      </c>
      <c r="D47" s="399"/>
      <c r="E47" s="390">
        <v>6.9000000000000006E-2</v>
      </c>
      <c r="F47" s="398"/>
    </row>
    <row r="48" spans="1:6">
      <c r="A48" s="393" t="s">
        <v>253</v>
      </c>
      <c r="B48" s="394" t="s">
        <v>2618</v>
      </c>
      <c r="C48" s="395">
        <v>9.8000000000000004E-2</v>
      </c>
      <c r="D48" s="396"/>
      <c r="E48" s="395">
        <v>9.5000000000000001E-2</v>
      </c>
      <c r="F48" s="397"/>
    </row>
    <row r="49" spans="1:6">
      <c r="A49" s="385" t="s">
        <v>261</v>
      </c>
      <c r="B49" s="386" t="s">
        <v>2418</v>
      </c>
      <c r="C49" s="387">
        <v>9.7000000000000003E-2</v>
      </c>
      <c r="D49" s="387">
        <v>9.5000000000000001E-2</v>
      </c>
      <c r="E49" s="387">
        <v>9.7000000000000003E-2</v>
      </c>
      <c r="F49" s="388">
        <v>0.1</v>
      </c>
    </row>
    <row r="50" spans="1:6">
      <c r="A50" s="385" t="s">
        <v>261</v>
      </c>
      <c r="B50" s="389" t="s">
        <v>2431</v>
      </c>
      <c r="C50" s="390">
        <v>7.4999999999999997E-2</v>
      </c>
      <c r="D50" s="390">
        <v>9.5000000000000001E-2</v>
      </c>
      <c r="E50" s="390">
        <v>0.1</v>
      </c>
      <c r="F50" s="391">
        <v>0.1</v>
      </c>
    </row>
    <row r="51" spans="1:6">
      <c r="A51" s="385" t="s">
        <v>261</v>
      </c>
      <c r="B51" s="389" t="s">
        <v>2445</v>
      </c>
      <c r="C51" s="390">
        <v>9.8000000000000004E-2</v>
      </c>
      <c r="D51" s="390">
        <v>8.8999999999999996E-2</v>
      </c>
      <c r="E51" s="390">
        <v>0.1</v>
      </c>
      <c r="F51" s="391">
        <v>0.1</v>
      </c>
    </row>
    <row r="52" spans="1:6">
      <c r="A52" s="385" t="s">
        <v>261</v>
      </c>
      <c r="B52" s="389" t="s">
        <v>2457</v>
      </c>
      <c r="C52" s="390">
        <v>9.8000000000000004E-2</v>
      </c>
      <c r="D52" s="390">
        <v>9.7000000000000003E-2</v>
      </c>
      <c r="E52" s="390">
        <v>8.1000000000000003E-2</v>
      </c>
      <c r="F52" s="391">
        <v>0.1</v>
      </c>
    </row>
    <row r="53" spans="1:6">
      <c r="A53" s="385" t="s">
        <v>261</v>
      </c>
      <c r="B53" s="389" t="s">
        <v>2469</v>
      </c>
      <c r="C53" s="390">
        <v>9.7000000000000003E-2</v>
      </c>
      <c r="D53" s="390">
        <v>7.5999999999999998E-2</v>
      </c>
      <c r="E53" s="390">
        <v>7.0999999999999994E-2</v>
      </c>
      <c r="F53" s="391">
        <v>0.1</v>
      </c>
    </row>
    <row r="54" spans="1:6">
      <c r="A54" s="385" t="s">
        <v>261</v>
      </c>
      <c r="B54" s="389" t="s">
        <v>2480</v>
      </c>
      <c r="C54" s="390">
        <v>7.5999999999999998E-2</v>
      </c>
      <c r="D54" s="390">
        <v>0.1</v>
      </c>
      <c r="E54" s="390">
        <v>9.9000000000000005E-2</v>
      </c>
      <c r="F54" s="391">
        <v>0.1</v>
      </c>
    </row>
    <row r="55" spans="1:6">
      <c r="A55" s="385" t="s">
        <v>261</v>
      </c>
      <c r="B55" s="389" t="s">
        <v>2491</v>
      </c>
      <c r="C55" s="390">
        <v>0.1</v>
      </c>
      <c r="D55" s="390">
        <v>0.1</v>
      </c>
      <c r="E55" s="390">
        <v>9.6000000000000002E-2</v>
      </c>
      <c r="F55" s="391">
        <v>0.1</v>
      </c>
    </row>
    <row r="56" spans="1:6">
      <c r="A56" s="385" t="s">
        <v>261</v>
      </c>
      <c r="B56" s="389" t="s">
        <v>2502</v>
      </c>
      <c r="C56" s="390">
        <v>0.1</v>
      </c>
      <c r="D56" s="390">
        <v>9.6000000000000002E-2</v>
      </c>
      <c r="E56" s="390">
        <v>5.1999999999999998E-2</v>
      </c>
      <c r="F56" s="391">
        <v>0.1</v>
      </c>
    </row>
    <row r="57" spans="1:6">
      <c r="A57" s="385" t="s">
        <v>261</v>
      </c>
      <c r="B57" s="389" t="s">
        <v>2512</v>
      </c>
      <c r="C57" s="390">
        <v>9.7000000000000003E-2</v>
      </c>
      <c r="D57" s="390">
        <v>9.6000000000000002E-2</v>
      </c>
      <c r="E57" s="390">
        <v>9.6000000000000002E-2</v>
      </c>
      <c r="F57" s="391">
        <v>0.1</v>
      </c>
    </row>
    <row r="58" spans="1:6">
      <c r="A58" s="385" t="s">
        <v>261</v>
      </c>
      <c r="B58" s="389" t="s">
        <v>2522</v>
      </c>
      <c r="C58" s="390">
        <v>9.6000000000000002E-2</v>
      </c>
      <c r="D58" s="390">
        <v>9.9000000000000005E-2</v>
      </c>
      <c r="E58" s="390">
        <v>9.6000000000000002E-2</v>
      </c>
      <c r="F58" s="391">
        <v>0.1</v>
      </c>
    </row>
    <row r="59" spans="1:6">
      <c r="A59" s="385" t="s">
        <v>261</v>
      </c>
      <c r="B59" s="389" t="s">
        <v>2532</v>
      </c>
      <c r="C59" s="390">
        <v>7.1999999999999995E-2</v>
      </c>
      <c r="D59" s="390">
        <v>9.6000000000000002E-2</v>
      </c>
      <c r="E59" s="390">
        <v>7.0999999999999994E-2</v>
      </c>
      <c r="F59" s="391">
        <v>0.1</v>
      </c>
    </row>
    <row r="60" spans="1:6">
      <c r="A60" s="385" t="s">
        <v>261</v>
      </c>
      <c r="B60" s="389" t="s">
        <v>2542</v>
      </c>
      <c r="C60" s="390">
        <v>9.6000000000000002E-2</v>
      </c>
      <c r="D60" s="390">
        <v>8.8999999999999996E-2</v>
      </c>
      <c r="E60" s="390">
        <v>9.6000000000000002E-2</v>
      </c>
      <c r="F60" s="391">
        <v>0.1</v>
      </c>
    </row>
    <row r="61" spans="1:6">
      <c r="A61" s="385" t="s">
        <v>261</v>
      </c>
      <c r="B61" s="389" t="s">
        <v>2551</v>
      </c>
      <c r="C61" s="390">
        <v>8.8999999999999996E-2</v>
      </c>
      <c r="D61" s="390">
        <v>9.8000000000000004E-2</v>
      </c>
      <c r="E61" s="390">
        <v>8.7999999999999995E-2</v>
      </c>
      <c r="F61" s="398"/>
    </row>
    <row r="62" spans="1:6">
      <c r="A62" s="385" t="s">
        <v>261</v>
      </c>
      <c r="B62" s="389" t="s">
        <v>2561</v>
      </c>
      <c r="C62" s="390">
        <v>9.8000000000000004E-2</v>
      </c>
      <c r="D62" s="390">
        <v>9.2999999999999999E-2</v>
      </c>
      <c r="E62" s="390">
        <v>9.7000000000000003E-2</v>
      </c>
      <c r="F62" s="398"/>
    </row>
    <row r="63" spans="1:6">
      <c r="A63" s="385" t="s">
        <v>261</v>
      </c>
      <c r="B63" s="389" t="s">
        <v>2570</v>
      </c>
      <c r="C63" s="390">
        <v>9.6000000000000002E-2</v>
      </c>
      <c r="D63" s="390">
        <v>9.8000000000000004E-2</v>
      </c>
      <c r="E63" s="390">
        <v>0.09</v>
      </c>
      <c r="F63" s="398"/>
    </row>
    <row r="64" spans="1:6">
      <c r="A64" s="385" t="s">
        <v>261</v>
      </c>
      <c r="B64" s="389" t="s">
        <v>2580</v>
      </c>
      <c r="C64" s="390">
        <v>9.9000000000000005E-2</v>
      </c>
      <c r="D64" s="390">
        <v>9.7000000000000003E-2</v>
      </c>
      <c r="E64" s="390">
        <v>9.9000000000000005E-2</v>
      </c>
      <c r="F64" s="398"/>
    </row>
    <row r="65" spans="1:6">
      <c r="A65" s="385" t="s">
        <v>261</v>
      </c>
      <c r="B65" s="389" t="s">
        <v>2590</v>
      </c>
      <c r="C65" s="390">
        <v>9.8000000000000004E-2</v>
      </c>
      <c r="D65" s="390">
        <v>9.6000000000000002E-2</v>
      </c>
      <c r="E65" s="390">
        <v>9.6000000000000002E-2</v>
      </c>
      <c r="F65" s="398"/>
    </row>
    <row r="66" spans="1:6">
      <c r="A66" s="385" t="s">
        <v>261</v>
      </c>
      <c r="B66" s="389" t="s">
        <v>2600</v>
      </c>
      <c r="C66" s="390">
        <v>9.6000000000000002E-2</v>
      </c>
      <c r="D66" s="390">
        <v>9.1999999999999998E-2</v>
      </c>
      <c r="E66" s="390">
        <v>9.6000000000000002E-2</v>
      </c>
      <c r="F66" s="398"/>
    </row>
    <row r="67" spans="1:6">
      <c r="A67" s="385" t="s">
        <v>261</v>
      </c>
      <c r="B67" s="389" t="s">
        <v>2610</v>
      </c>
      <c r="C67" s="390">
        <v>9.4E-2</v>
      </c>
      <c r="D67" s="390">
        <v>0.1</v>
      </c>
      <c r="E67" s="390">
        <v>8.7999999999999995E-2</v>
      </c>
      <c r="F67" s="398"/>
    </row>
    <row r="68" spans="1:6">
      <c r="A68" s="385" t="s">
        <v>261</v>
      </c>
      <c r="B68" s="389" t="s">
        <v>2619</v>
      </c>
      <c r="C68" s="390">
        <v>0.1</v>
      </c>
      <c r="D68" s="390">
        <v>8.7999999999999995E-2</v>
      </c>
      <c r="E68" s="390">
        <v>9.7000000000000003E-2</v>
      </c>
      <c r="F68" s="398"/>
    </row>
    <row r="69" spans="1:6">
      <c r="A69" s="385" t="s">
        <v>261</v>
      </c>
      <c r="B69" s="389" t="s">
        <v>2627</v>
      </c>
      <c r="C69" s="390">
        <v>6.4000000000000001E-2</v>
      </c>
      <c r="D69" s="390">
        <v>0.1</v>
      </c>
      <c r="E69" s="390">
        <v>0.1</v>
      </c>
      <c r="F69" s="398"/>
    </row>
    <row r="70" spans="1:6">
      <c r="A70" s="385" t="s">
        <v>261</v>
      </c>
      <c r="B70" s="389" t="s">
        <v>2635</v>
      </c>
      <c r="C70" s="390">
        <v>9.0999999999999998E-2</v>
      </c>
      <c r="D70" s="399"/>
      <c r="E70" s="399"/>
      <c r="F70" s="398"/>
    </row>
    <row r="71" spans="1:6">
      <c r="A71" s="385" t="s">
        <v>261</v>
      </c>
      <c r="B71" s="389" t="s">
        <v>2642</v>
      </c>
      <c r="C71" s="390">
        <v>0.1</v>
      </c>
      <c r="D71" s="399"/>
      <c r="E71" s="399"/>
      <c r="F71" s="398"/>
    </row>
    <row r="72" spans="1:6">
      <c r="A72" s="385" t="s">
        <v>261</v>
      </c>
      <c r="B72" s="389" t="s">
        <v>2649</v>
      </c>
      <c r="C72" s="399"/>
      <c r="D72" s="399"/>
      <c r="E72" s="399"/>
      <c r="F72" s="391">
        <v>0.05</v>
      </c>
    </row>
    <row r="73" spans="1:6">
      <c r="A73" s="385" t="s">
        <v>261</v>
      </c>
      <c r="B73" s="389" t="s">
        <v>2656</v>
      </c>
      <c r="C73" s="399"/>
      <c r="D73" s="399"/>
      <c r="E73" s="399"/>
      <c r="F73" s="391">
        <v>0.05</v>
      </c>
    </row>
    <row r="74" spans="1:6">
      <c r="A74" s="385" t="s">
        <v>261</v>
      </c>
      <c r="B74" s="389" t="s">
        <v>2663</v>
      </c>
      <c r="C74" s="399"/>
      <c r="D74" s="399"/>
      <c r="E74" s="399"/>
      <c r="F74" s="391">
        <v>0.05</v>
      </c>
    </row>
    <row r="75" spans="1:6">
      <c r="A75" s="393" t="s">
        <v>261</v>
      </c>
      <c r="B75" s="400" t="s">
        <v>2670</v>
      </c>
      <c r="C75" s="396"/>
      <c r="D75" s="396"/>
      <c r="E75" s="396"/>
      <c r="F75" s="401">
        <v>0.05</v>
      </c>
    </row>
    <row r="76" spans="1:6">
      <c r="A76" s="385" t="s">
        <v>269</v>
      </c>
      <c r="B76" s="386" t="s">
        <v>2419</v>
      </c>
      <c r="C76" s="387">
        <v>0.1</v>
      </c>
      <c r="D76" s="387">
        <v>0.1</v>
      </c>
      <c r="E76" s="387">
        <v>0.1</v>
      </c>
      <c r="F76" s="388">
        <v>0.1</v>
      </c>
    </row>
    <row r="77" spans="1:6">
      <c r="A77" s="385" t="s">
        <v>269</v>
      </c>
      <c r="B77" s="389" t="s">
        <v>2432</v>
      </c>
      <c r="C77" s="390">
        <v>8.7999999999999995E-2</v>
      </c>
      <c r="D77" s="390">
        <v>8.6999999999999994E-2</v>
      </c>
      <c r="E77" s="390">
        <v>7.9000000000000001E-2</v>
      </c>
      <c r="F77" s="391">
        <v>0.1</v>
      </c>
    </row>
    <row r="78" spans="1:6">
      <c r="A78" s="385" t="s">
        <v>269</v>
      </c>
      <c r="B78" s="389" t="s">
        <v>2446</v>
      </c>
      <c r="C78" s="390">
        <v>8.6999999999999994E-2</v>
      </c>
      <c r="D78" s="390">
        <v>8.4000000000000005E-2</v>
      </c>
      <c r="E78" s="390">
        <v>9.6000000000000002E-2</v>
      </c>
      <c r="F78" s="391">
        <v>0.1</v>
      </c>
    </row>
    <row r="79" spans="1:6">
      <c r="A79" s="385" t="s">
        <v>269</v>
      </c>
      <c r="B79" s="389" t="s">
        <v>2458</v>
      </c>
      <c r="C79" s="390">
        <v>9.8000000000000004E-2</v>
      </c>
      <c r="D79" s="390">
        <v>9.8000000000000004E-2</v>
      </c>
      <c r="E79" s="390">
        <v>9.0999999999999998E-2</v>
      </c>
      <c r="F79" s="391">
        <v>0.1</v>
      </c>
    </row>
    <row r="80" spans="1:6">
      <c r="A80" s="385" t="s">
        <v>269</v>
      </c>
      <c r="B80" s="389" t="s">
        <v>2470</v>
      </c>
      <c r="C80" s="390">
        <v>9.6000000000000002E-2</v>
      </c>
      <c r="D80" s="390">
        <v>9.6000000000000002E-2</v>
      </c>
      <c r="E80" s="390">
        <v>0.1</v>
      </c>
      <c r="F80" s="391">
        <v>0.1</v>
      </c>
    </row>
    <row r="81" spans="1:6">
      <c r="A81" s="385" t="s">
        <v>269</v>
      </c>
      <c r="B81" s="389" t="s">
        <v>2481</v>
      </c>
      <c r="C81" s="390">
        <v>9.9000000000000005E-2</v>
      </c>
      <c r="D81" s="390">
        <v>9.9000000000000005E-2</v>
      </c>
      <c r="E81" s="390">
        <v>9.8000000000000004E-2</v>
      </c>
      <c r="F81" s="391">
        <v>0.1</v>
      </c>
    </row>
    <row r="82" spans="1:6">
      <c r="A82" s="385" t="s">
        <v>269</v>
      </c>
      <c r="B82" s="389" t="s">
        <v>2492</v>
      </c>
      <c r="C82" s="390">
        <v>9.9000000000000005E-2</v>
      </c>
      <c r="D82" s="390">
        <v>9.9000000000000005E-2</v>
      </c>
      <c r="E82" s="390">
        <v>9.7000000000000003E-2</v>
      </c>
      <c r="F82" s="391">
        <v>0.1</v>
      </c>
    </row>
    <row r="83" spans="1:6">
      <c r="A83" s="385" t="s">
        <v>269</v>
      </c>
      <c r="B83" s="389" t="s">
        <v>2503</v>
      </c>
      <c r="C83" s="390">
        <v>9.8000000000000004E-2</v>
      </c>
      <c r="D83" s="390">
        <v>9.8000000000000004E-2</v>
      </c>
      <c r="E83" s="390">
        <v>9.8000000000000004E-2</v>
      </c>
      <c r="F83" s="391">
        <v>0.1</v>
      </c>
    </row>
    <row r="84" spans="1:6">
      <c r="A84" s="385" t="s">
        <v>269</v>
      </c>
      <c r="B84" s="389" t="s">
        <v>2513</v>
      </c>
      <c r="C84" s="390">
        <v>9.9000000000000005E-2</v>
      </c>
      <c r="D84" s="390">
        <v>9.9000000000000005E-2</v>
      </c>
      <c r="E84" s="390">
        <v>9.9000000000000005E-2</v>
      </c>
      <c r="F84" s="391">
        <v>0.1</v>
      </c>
    </row>
    <row r="85" spans="1:6">
      <c r="A85" s="385" t="s">
        <v>269</v>
      </c>
      <c r="B85" s="389" t="s">
        <v>2523</v>
      </c>
      <c r="C85" s="390">
        <v>9.9000000000000005E-2</v>
      </c>
      <c r="D85" s="390">
        <v>9.9000000000000005E-2</v>
      </c>
      <c r="E85" s="390">
        <v>9.9000000000000005E-2</v>
      </c>
      <c r="F85" s="391">
        <v>0.1</v>
      </c>
    </row>
    <row r="86" spans="1:6">
      <c r="A86" s="385" t="s">
        <v>269</v>
      </c>
      <c r="B86" s="389" t="s">
        <v>2533</v>
      </c>
      <c r="C86" s="390">
        <v>0.1</v>
      </c>
      <c r="D86" s="390">
        <v>0.1</v>
      </c>
      <c r="E86" s="390">
        <v>7.6999999999999999E-2</v>
      </c>
      <c r="F86" s="391">
        <v>0.1</v>
      </c>
    </row>
    <row r="87" spans="1:6">
      <c r="A87" s="385" t="s">
        <v>269</v>
      </c>
      <c r="B87" s="389" t="s">
        <v>2543</v>
      </c>
      <c r="C87" s="390">
        <v>0.1</v>
      </c>
      <c r="D87" s="390">
        <v>0.1</v>
      </c>
      <c r="E87" s="390">
        <v>9.8000000000000004E-2</v>
      </c>
      <c r="F87" s="398"/>
    </row>
    <row r="88" spans="1:6">
      <c r="A88" s="385" t="s">
        <v>269</v>
      </c>
      <c r="B88" s="389" t="s">
        <v>2552</v>
      </c>
      <c r="C88" s="390">
        <v>9.1999999999999998E-2</v>
      </c>
      <c r="D88" s="390">
        <v>8.5000000000000006E-2</v>
      </c>
      <c r="E88" s="390">
        <v>9.6000000000000002E-2</v>
      </c>
      <c r="F88" s="398"/>
    </row>
    <row r="89" spans="1:6">
      <c r="A89" s="385" t="s">
        <v>269</v>
      </c>
      <c r="B89" s="389" t="s">
        <v>2562</v>
      </c>
      <c r="C89" s="390">
        <v>0.1</v>
      </c>
      <c r="D89" s="390">
        <v>0.1</v>
      </c>
      <c r="E89" s="390">
        <v>9.7000000000000003E-2</v>
      </c>
      <c r="F89" s="398"/>
    </row>
    <row r="90" spans="1:6">
      <c r="A90" s="385" t="s">
        <v>269</v>
      </c>
      <c r="B90" s="389" t="s">
        <v>2571</v>
      </c>
      <c r="C90" s="390">
        <v>9.8000000000000004E-2</v>
      </c>
      <c r="D90" s="390">
        <v>9.8000000000000004E-2</v>
      </c>
      <c r="E90" s="390">
        <v>8.7999999999999995E-2</v>
      </c>
      <c r="F90" s="398"/>
    </row>
    <row r="91" spans="1:6">
      <c r="A91" s="385" t="s">
        <v>269</v>
      </c>
      <c r="B91" s="389" t="s">
        <v>2581</v>
      </c>
      <c r="C91" s="390">
        <v>9.9000000000000005E-2</v>
      </c>
      <c r="D91" s="390">
        <v>9.9000000000000005E-2</v>
      </c>
      <c r="E91" s="390">
        <v>9.0999999999999998E-2</v>
      </c>
      <c r="F91" s="398"/>
    </row>
    <row r="92" spans="1:6">
      <c r="A92" s="385" t="s">
        <v>269</v>
      </c>
      <c r="B92" s="389" t="s">
        <v>2591</v>
      </c>
      <c r="C92" s="390">
        <v>9.6000000000000002E-2</v>
      </c>
      <c r="D92" s="390">
        <v>9.6000000000000002E-2</v>
      </c>
      <c r="E92" s="390">
        <v>7.2999999999999995E-2</v>
      </c>
      <c r="F92" s="398"/>
    </row>
    <row r="93" spans="1:6">
      <c r="A93" s="385" t="s">
        <v>269</v>
      </c>
      <c r="B93" s="389" t="s">
        <v>2601</v>
      </c>
      <c r="C93" s="390">
        <v>9.6000000000000002E-2</v>
      </c>
      <c r="D93" s="390">
        <v>9.6000000000000002E-2</v>
      </c>
      <c r="E93" s="390">
        <v>9.9000000000000005E-2</v>
      </c>
      <c r="F93" s="398"/>
    </row>
    <row r="94" spans="1:6">
      <c r="A94" s="385" t="s">
        <v>269</v>
      </c>
      <c r="B94" s="389" t="s">
        <v>2611</v>
      </c>
      <c r="C94" s="390">
        <v>7.5999999999999998E-2</v>
      </c>
      <c r="D94" s="390">
        <v>7.3999999999999996E-2</v>
      </c>
      <c r="E94" s="390">
        <v>9.7000000000000003E-2</v>
      </c>
      <c r="F94" s="398"/>
    </row>
    <row r="95" spans="1:6">
      <c r="A95" s="385" t="s">
        <v>269</v>
      </c>
      <c r="B95" s="389" t="s">
        <v>2620</v>
      </c>
      <c r="C95" s="390">
        <v>9.9000000000000005E-2</v>
      </c>
      <c r="D95" s="390">
        <v>9.4E-2</v>
      </c>
      <c r="E95" s="390">
        <v>9.6000000000000002E-2</v>
      </c>
      <c r="F95" s="398"/>
    </row>
    <row r="96" spans="1:6">
      <c r="A96" s="385" t="s">
        <v>269</v>
      </c>
      <c r="B96" s="389" t="s">
        <v>2628</v>
      </c>
      <c r="C96" s="390">
        <v>9.9000000000000005E-2</v>
      </c>
      <c r="D96" s="390">
        <v>9.9000000000000005E-2</v>
      </c>
      <c r="E96" s="390">
        <v>9.9000000000000005E-2</v>
      </c>
      <c r="F96" s="398"/>
    </row>
    <row r="97" spans="1:6">
      <c r="A97" s="385" t="s">
        <v>269</v>
      </c>
      <c r="B97" s="389" t="s">
        <v>2636</v>
      </c>
      <c r="C97" s="390">
        <v>9.8000000000000004E-2</v>
      </c>
      <c r="D97" s="390">
        <v>9.8000000000000004E-2</v>
      </c>
      <c r="E97" s="390">
        <v>9.7000000000000003E-2</v>
      </c>
      <c r="F97" s="398"/>
    </row>
    <row r="98" spans="1:6">
      <c r="A98" s="385" t="s">
        <v>269</v>
      </c>
      <c r="B98" s="389" t="s">
        <v>2643</v>
      </c>
      <c r="C98" s="390">
        <v>0.1</v>
      </c>
      <c r="D98" s="390">
        <v>0.1</v>
      </c>
      <c r="E98" s="390">
        <v>9.7000000000000003E-2</v>
      </c>
      <c r="F98" s="398"/>
    </row>
    <row r="99" spans="1:6">
      <c r="A99" s="385" t="s">
        <v>269</v>
      </c>
      <c r="B99" s="389" t="s">
        <v>2650</v>
      </c>
      <c r="C99" s="390">
        <v>0.1</v>
      </c>
      <c r="D99" s="390">
        <v>0.1</v>
      </c>
      <c r="E99" s="399"/>
      <c r="F99" s="398"/>
    </row>
    <row r="100" spans="1:6">
      <c r="A100" s="385" t="s">
        <v>269</v>
      </c>
      <c r="B100" s="389" t="s">
        <v>2657</v>
      </c>
      <c r="C100" s="390">
        <v>0.09</v>
      </c>
      <c r="D100" s="390">
        <v>8.8999999999999996E-2</v>
      </c>
      <c r="E100" s="399"/>
      <c r="F100" s="398"/>
    </row>
    <row r="101" spans="1:6">
      <c r="A101" s="385" t="s">
        <v>269</v>
      </c>
      <c r="B101" s="389" t="s">
        <v>2664</v>
      </c>
      <c r="C101" s="390">
        <v>9.8000000000000004E-2</v>
      </c>
      <c r="D101" s="390">
        <v>9.7000000000000003E-2</v>
      </c>
      <c r="E101" s="399"/>
      <c r="F101" s="398"/>
    </row>
    <row r="102" spans="1:6">
      <c r="A102" s="385" t="s">
        <v>269</v>
      </c>
      <c r="B102" s="389" t="s">
        <v>2671</v>
      </c>
      <c r="C102" s="399"/>
      <c r="D102" s="399"/>
      <c r="E102" s="399"/>
      <c r="F102" s="391">
        <v>0.05</v>
      </c>
    </row>
    <row r="103" spans="1:6" ht="24">
      <c r="A103" s="385" t="s">
        <v>269</v>
      </c>
      <c r="B103" s="389" t="s">
        <v>2676</v>
      </c>
      <c r="C103" s="399"/>
      <c r="D103" s="399"/>
      <c r="E103" s="399"/>
      <c r="F103" s="391">
        <v>0.05</v>
      </c>
    </row>
    <row r="104" spans="1:6">
      <c r="A104" s="385" t="s">
        <v>269</v>
      </c>
      <c r="B104" s="389" t="s">
        <v>2681</v>
      </c>
      <c r="C104" s="399"/>
      <c r="D104" s="399"/>
      <c r="E104" s="399"/>
      <c r="F104" s="391">
        <v>0.05</v>
      </c>
    </row>
    <row r="105" spans="1:6">
      <c r="A105" s="385" t="s">
        <v>269</v>
      </c>
      <c r="B105" s="389" t="s">
        <v>2686</v>
      </c>
      <c r="C105" s="399"/>
      <c r="D105" s="399"/>
      <c r="E105" s="399"/>
      <c r="F105" s="391">
        <v>0.05</v>
      </c>
    </row>
    <row r="106" spans="1:6">
      <c r="A106" s="385" t="s">
        <v>269</v>
      </c>
      <c r="B106" s="389" t="s">
        <v>2691</v>
      </c>
      <c r="C106" s="399"/>
      <c r="D106" s="399"/>
      <c r="E106" s="399"/>
      <c r="F106" s="391">
        <v>0.05</v>
      </c>
    </row>
    <row r="107" spans="1:6" ht="24">
      <c r="A107" s="385" t="s">
        <v>269</v>
      </c>
      <c r="B107" s="389" t="s">
        <v>2696</v>
      </c>
      <c r="C107" s="399"/>
      <c r="D107" s="399"/>
      <c r="E107" s="399"/>
      <c r="F107" s="391">
        <v>0.05</v>
      </c>
    </row>
    <row r="108" spans="1:6" ht="24">
      <c r="A108" s="385" t="s">
        <v>269</v>
      </c>
      <c r="B108" s="389" t="s">
        <v>2701</v>
      </c>
      <c r="C108" s="399"/>
      <c r="D108" s="399"/>
      <c r="E108" s="399"/>
      <c r="F108" s="391">
        <v>0.05</v>
      </c>
    </row>
    <row r="109" spans="1:6" ht="24">
      <c r="A109" s="393" t="s">
        <v>269</v>
      </c>
      <c r="B109" s="400" t="s">
        <v>2706</v>
      </c>
      <c r="C109" s="396"/>
      <c r="D109" s="396"/>
      <c r="E109" s="396"/>
      <c r="F109" s="401">
        <v>0.05</v>
      </c>
    </row>
    <row r="110" spans="1:6">
      <c r="A110" s="385" t="s">
        <v>275</v>
      </c>
      <c r="B110" s="386" t="s">
        <v>2420</v>
      </c>
      <c r="C110" s="387">
        <v>0.129</v>
      </c>
      <c r="D110" s="387">
        <v>0.129</v>
      </c>
      <c r="E110" s="387">
        <v>0.126</v>
      </c>
      <c r="F110" s="388">
        <v>0.13</v>
      </c>
    </row>
    <row r="111" spans="1:6">
      <c r="A111" s="385" t="s">
        <v>275</v>
      </c>
      <c r="B111" s="389" t="s">
        <v>2433</v>
      </c>
      <c r="C111" s="390">
        <v>0.11</v>
      </c>
      <c r="D111" s="390">
        <v>0.11</v>
      </c>
      <c r="E111" s="390">
        <v>9.9000000000000005E-2</v>
      </c>
      <c r="F111" s="391">
        <v>0.128</v>
      </c>
    </row>
    <row r="112" spans="1:6">
      <c r="A112" s="385" t="s">
        <v>275</v>
      </c>
      <c r="B112" s="389" t="s">
        <v>2447</v>
      </c>
      <c r="C112" s="390">
        <v>0.125</v>
      </c>
      <c r="D112" s="390">
        <v>0.125</v>
      </c>
      <c r="E112" s="390">
        <v>0.12</v>
      </c>
      <c r="F112" s="391">
        <v>0.125</v>
      </c>
    </row>
    <row r="113" spans="1:6">
      <c r="A113" s="385" t="s">
        <v>275</v>
      </c>
      <c r="B113" s="389" t="s">
        <v>2459</v>
      </c>
      <c r="C113" s="390">
        <v>0.13</v>
      </c>
      <c r="D113" s="390">
        <v>0.13</v>
      </c>
      <c r="E113" s="390">
        <v>0.13</v>
      </c>
      <c r="F113" s="391">
        <v>0.13</v>
      </c>
    </row>
    <row r="114" spans="1:6">
      <c r="A114" s="385" t="s">
        <v>275</v>
      </c>
      <c r="B114" s="389" t="s">
        <v>2471</v>
      </c>
      <c r="C114" s="390">
        <v>0.123</v>
      </c>
      <c r="D114" s="390">
        <v>0.123</v>
      </c>
      <c r="E114" s="390">
        <v>0.12</v>
      </c>
      <c r="F114" s="391">
        <v>0.13</v>
      </c>
    </row>
    <row r="115" spans="1:6">
      <c r="A115" s="385" t="s">
        <v>275</v>
      </c>
      <c r="B115" s="389" t="s">
        <v>2482</v>
      </c>
      <c r="C115" s="390">
        <v>0.125</v>
      </c>
      <c r="D115" s="390">
        <v>0.125</v>
      </c>
      <c r="E115" s="390">
        <v>0.11700000000000001</v>
      </c>
      <c r="F115" s="391">
        <v>0.13</v>
      </c>
    </row>
    <row r="116" spans="1:6">
      <c r="A116" s="385" t="s">
        <v>275</v>
      </c>
      <c r="B116" s="389" t="s">
        <v>2493</v>
      </c>
      <c r="C116" s="390">
        <v>0.11700000000000001</v>
      </c>
      <c r="D116" s="390">
        <v>0.11700000000000001</v>
      </c>
      <c r="E116" s="390">
        <v>8.7999999999999995E-2</v>
      </c>
      <c r="F116" s="391">
        <v>0.13</v>
      </c>
    </row>
    <row r="117" spans="1:6">
      <c r="A117" s="385" t="s">
        <v>275</v>
      </c>
      <c r="B117" s="389" t="s">
        <v>2504</v>
      </c>
      <c r="C117" s="390">
        <v>0.13</v>
      </c>
      <c r="D117" s="390">
        <v>0.13</v>
      </c>
      <c r="E117" s="390">
        <v>0.129</v>
      </c>
      <c r="F117" s="391">
        <v>0.13</v>
      </c>
    </row>
    <row r="118" spans="1:6">
      <c r="A118" s="385" t="s">
        <v>275</v>
      </c>
      <c r="B118" s="389" t="s">
        <v>2514</v>
      </c>
      <c r="C118" s="390">
        <v>0.123</v>
      </c>
      <c r="D118" s="390">
        <v>0.123</v>
      </c>
      <c r="E118" s="390">
        <v>0.11600000000000001</v>
      </c>
      <c r="F118" s="391">
        <v>0.13</v>
      </c>
    </row>
    <row r="119" spans="1:6">
      <c r="A119" s="385" t="s">
        <v>275</v>
      </c>
      <c r="B119" s="389" t="s">
        <v>2524</v>
      </c>
      <c r="C119" s="390">
        <v>0.127</v>
      </c>
      <c r="D119" s="390">
        <v>0.127</v>
      </c>
      <c r="E119" s="390">
        <v>0.124</v>
      </c>
      <c r="F119" s="391">
        <v>0.13</v>
      </c>
    </row>
    <row r="120" spans="1:6">
      <c r="A120" s="385" t="s">
        <v>275</v>
      </c>
      <c r="B120" s="389" t="s">
        <v>2534</v>
      </c>
      <c r="C120" s="390">
        <v>0.125</v>
      </c>
      <c r="D120" s="390">
        <v>0.125</v>
      </c>
      <c r="E120" s="390">
        <v>0.122</v>
      </c>
      <c r="F120" s="391">
        <v>0.13</v>
      </c>
    </row>
    <row r="121" spans="1:6">
      <c r="A121" s="385" t="s">
        <v>275</v>
      </c>
      <c r="B121" s="389" t="s">
        <v>2544</v>
      </c>
      <c r="C121" s="390">
        <v>0.13</v>
      </c>
      <c r="D121" s="390">
        <v>0.13</v>
      </c>
      <c r="E121" s="390">
        <v>0.13</v>
      </c>
      <c r="F121" s="391">
        <v>0.13</v>
      </c>
    </row>
    <row r="122" spans="1:6">
      <c r="A122" s="385" t="s">
        <v>275</v>
      </c>
      <c r="B122" s="389" t="s">
        <v>2553</v>
      </c>
      <c r="C122" s="390">
        <v>0.13</v>
      </c>
      <c r="D122" s="390">
        <v>0.13</v>
      </c>
      <c r="E122" s="390">
        <v>0.125</v>
      </c>
      <c r="F122" s="391">
        <v>0.13</v>
      </c>
    </row>
    <row r="123" spans="1:6">
      <c r="A123" s="385" t="s">
        <v>275</v>
      </c>
      <c r="B123" s="389" t="s">
        <v>2563</v>
      </c>
      <c r="C123" s="390">
        <v>0.129</v>
      </c>
      <c r="D123" s="390">
        <v>0.129</v>
      </c>
      <c r="E123" s="390">
        <v>0.123</v>
      </c>
      <c r="F123" s="391">
        <v>0.13</v>
      </c>
    </row>
    <row r="124" spans="1:6">
      <c r="A124" s="385" t="s">
        <v>275</v>
      </c>
      <c r="B124" s="389" t="s">
        <v>2572</v>
      </c>
      <c r="C124" s="390">
        <v>0.10199999999999999</v>
      </c>
      <c r="D124" s="390">
        <v>0.10100000000000001</v>
      </c>
      <c r="E124" s="390">
        <v>0.08</v>
      </c>
      <c r="F124" s="398"/>
    </row>
    <row r="125" spans="1:6">
      <c r="A125" s="385" t="s">
        <v>275</v>
      </c>
      <c r="B125" s="389" t="s">
        <v>2582</v>
      </c>
      <c r="C125" s="390">
        <v>0.13</v>
      </c>
      <c r="D125" s="390">
        <v>0.13</v>
      </c>
      <c r="E125" s="390">
        <v>0.129</v>
      </c>
      <c r="F125" s="398"/>
    </row>
    <row r="126" spans="1:6">
      <c r="A126" s="385" t="s">
        <v>275</v>
      </c>
      <c r="B126" s="389" t="s">
        <v>2592</v>
      </c>
      <c r="C126" s="390">
        <v>0.13</v>
      </c>
      <c r="D126" s="390">
        <v>0.13</v>
      </c>
      <c r="E126" s="390">
        <v>0.126</v>
      </c>
      <c r="F126" s="398"/>
    </row>
    <row r="127" spans="1:6">
      <c r="A127" s="385" t="s">
        <v>275</v>
      </c>
      <c r="B127" s="389" t="s">
        <v>2602</v>
      </c>
      <c r="C127" s="390">
        <v>0.125</v>
      </c>
      <c r="D127" s="390">
        <v>0.125</v>
      </c>
      <c r="E127" s="390">
        <v>0.121</v>
      </c>
      <c r="F127" s="398"/>
    </row>
    <row r="128" spans="1:6">
      <c r="A128" s="385" t="s">
        <v>275</v>
      </c>
      <c r="B128" s="389" t="s">
        <v>2612</v>
      </c>
      <c r="C128" s="390">
        <v>0.12</v>
      </c>
      <c r="D128" s="390">
        <v>0.12</v>
      </c>
      <c r="E128" s="390">
        <v>0.105</v>
      </c>
      <c r="F128" s="398"/>
    </row>
    <row r="129" spans="1:6">
      <c r="A129" s="385" t="s">
        <v>275</v>
      </c>
      <c r="B129" s="389" t="s">
        <v>2621</v>
      </c>
      <c r="C129" s="390">
        <v>0.13</v>
      </c>
      <c r="D129" s="390">
        <v>0.13</v>
      </c>
      <c r="E129" s="390">
        <v>0.126</v>
      </c>
      <c r="F129" s="398"/>
    </row>
    <row r="130" spans="1:6">
      <c r="A130" s="385" t="s">
        <v>275</v>
      </c>
      <c r="B130" s="389" t="s">
        <v>2629</v>
      </c>
      <c r="C130" s="390">
        <v>0.125</v>
      </c>
      <c r="D130" s="390">
        <v>0.125</v>
      </c>
      <c r="E130" s="390">
        <v>0.122</v>
      </c>
      <c r="F130" s="398"/>
    </row>
    <row r="131" spans="1:6">
      <c r="A131" s="385" t="s">
        <v>275</v>
      </c>
      <c r="B131" s="389" t="s">
        <v>2637</v>
      </c>
      <c r="C131" s="390">
        <v>0.127</v>
      </c>
      <c r="D131" s="390">
        <v>0.126</v>
      </c>
      <c r="E131" s="390">
        <v>0.123</v>
      </c>
      <c r="F131" s="398"/>
    </row>
    <row r="132" spans="1:6">
      <c r="A132" s="385" t="s">
        <v>275</v>
      </c>
      <c r="B132" s="389" t="s">
        <v>2644</v>
      </c>
      <c r="C132" s="390">
        <v>9.0999999999999998E-2</v>
      </c>
      <c r="D132" s="390">
        <v>0.121</v>
      </c>
      <c r="E132" s="390">
        <v>9.9000000000000005E-2</v>
      </c>
      <c r="F132" s="398"/>
    </row>
    <row r="133" spans="1:6">
      <c r="A133" s="385" t="s">
        <v>275</v>
      </c>
      <c r="B133" s="389" t="s">
        <v>2651</v>
      </c>
      <c r="C133" s="390">
        <v>0.13</v>
      </c>
      <c r="D133" s="390">
        <v>0.13</v>
      </c>
      <c r="E133" s="390">
        <v>0.129</v>
      </c>
      <c r="F133" s="398"/>
    </row>
    <row r="134" spans="1:6">
      <c r="A134" s="385" t="s">
        <v>275</v>
      </c>
      <c r="B134" s="389" t="s">
        <v>2658</v>
      </c>
      <c r="C134" s="390">
        <v>6.8000000000000005E-2</v>
      </c>
      <c r="D134" s="390">
        <v>6.5000000000000002E-2</v>
      </c>
      <c r="E134" s="390">
        <v>6.5000000000000002E-2</v>
      </c>
      <c r="F134" s="391">
        <v>0.13</v>
      </c>
    </row>
    <row r="135" spans="1:6">
      <c r="A135" s="385" t="s">
        <v>275</v>
      </c>
      <c r="B135" s="389" t="s">
        <v>2665</v>
      </c>
      <c r="C135" s="390">
        <v>0.123</v>
      </c>
      <c r="D135" s="390">
        <v>0.123</v>
      </c>
      <c r="E135" s="390">
        <v>0.11</v>
      </c>
      <c r="F135" s="398"/>
    </row>
    <row r="136" spans="1:6">
      <c r="A136" s="385" t="s">
        <v>275</v>
      </c>
      <c r="B136" s="389" t="s">
        <v>2672</v>
      </c>
      <c r="C136" s="390">
        <v>0.13</v>
      </c>
      <c r="D136" s="390">
        <v>0.13</v>
      </c>
      <c r="E136" s="390">
        <v>0.125</v>
      </c>
      <c r="F136" s="398"/>
    </row>
    <row r="137" spans="1:6">
      <c r="A137" s="385" t="s">
        <v>275</v>
      </c>
      <c r="B137" s="389" t="s">
        <v>2677</v>
      </c>
      <c r="C137" s="390">
        <v>0.121</v>
      </c>
      <c r="D137" s="390">
        <v>0.122</v>
      </c>
      <c r="E137" s="390">
        <v>0.115</v>
      </c>
      <c r="F137" s="398"/>
    </row>
    <row r="138" spans="1:6">
      <c r="A138" s="385" t="s">
        <v>275</v>
      </c>
      <c r="B138" s="389" t="s">
        <v>2682</v>
      </c>
      <c r="C138" s="390">
        <v>0.105</v>
      </c>
      <c r="D138" s="390">
        <v>0.125</v>
      </c>
      <c r="E138" s="390">
        <v>0.112</v>
      </c>
      <c r="F138" s="398"/>
    </row>
    <row r="139" spans="1:6">
      <c r="A139" s="385" t="s">
        <v>275</v>
      </c>
      <c r="B139" s="389" t="s">
        <v>2687</v>
      </c>
      <c r="C139" s="390">
        <v>0.127</v>
      </c>
      <c r="D139" s="390">
        <v>0.127</v>
      </c>
      <c r="E139" s="390">
        <v>0.122</v>
      </c>
      <c r="F139" s="391">
        <v>0.13</v>
      </c>
    </row>
    <row r="140" spans="1:6">
      <c r="A140" s="385" t="s">
        <v>275</v>
      </c>
      <c r="B140" s="389" t="s">
        <v>2692</v>
      </c>
      <c r="C140" s="390">
        <v>0.125</v>
      </c>
      <c r="D140" s="390">
        <v>0.125</v>
      </c>
      <c r="E140" s="390">
        <v>0.11899999999999999</v>
      </c>
      <c r="F140" s="391">
        <v>0.13</v>
      </c>
    </row>
    <row r="141" spans="1:6">
      <c r="A141" s="385" t="s">
        <v>275</v>
      </c>
      <c r="B141" s="389" t="s">
        <v>2697</v>
      </c>
      <c r="C141" s="390">
        <v>0.125</v>
      </c>
      <c r="D141" s="390">
        <v>0.125</v>
      </c>
      <c r="E141" s="390">
        <v>0.11700000000000001</v>
      </c>
      <c r="F141" s="398"/>
    </row>
    <row r="142" spans="1:6">
      <c r="A142" s="385" t="s">
        <v>275</v>
      </c>
      <c r="B142" s="389" t="s">
        <v>2702</v>
      </c>
      <c r="C142" s="390">
        <v>0.125</v>
      </c>
      <c r="D142" s="390">
        <v>0.125</v>
      </c>
      <c r="E142" s="390">
        <v>0.115</v>
      </c>
      <c r="F142" s="398"/>
    </row>
    <row r="143" spans="1:6">
      <c r="A143" s="385" t="s">
        <v>275</v>
      </c>
      <c r="B143" s="389" t="s">
        <v>2707</v>
      </c>
      <c r="C143" s="390">
        <v>0.121</v>
      </c>
      <c r="D143" s="390">
        <v>0.121</v>
      </c>
      <c r="E143" s="390">
        <v>0.108</v>
      </c>
      <c r="F143" s="398"/>
    </row>
    <row r="144" spans="1:6">
      <c r="A144" s="385" t="s">
        <v>275</v>
      </c>
      <c r="B144" s="402" t="s">
        <v>2711</v>
      </c>
      <c r="C144" s="403">
        <v>0.126</v>
      </c>
      <c r="D144" s="403">
        <v>0.126</v>
      </c>
      <c r="E144" s="403">
        <v>0.121</v>
      </c>
      <c r="F144" s="398"/>
    </row>
    <row r="145" spans="1:6">
      <c r="A145" s="393" t="s">
        <v>275</v>
      </c>
      <c r="B145" s="404" t="s">
        <v>2715</v>
      </c>
      <c r="C145" s="405"/>
      <c r="D145" s="405"/>
      <c r="E145" s="405"/>
      <c r="F145" s="406">
        <v>0.05</v>
      </c>
    </row>
    <row r="146" spans="1:6" ht="24">
      <c r="A146" s="407" t="s">
        <v>275</v>
      </c>
      <c r="B146" s="392" t="s">
        <v>2719</v>
      </c>
      <c r="C146" s="399"/>
      <c r="D146" s="399"/>
      <c r="E146" s="399"/>
      <c r="F146" s="408">
        <v>0.05</v>
      </c>
    </row>
    <row r="147" spans="1:6" ht="24">
      <c r="A147" s="385" t="s">
        <v>275</v>
      </c>
      <c r="B147" s="389" t="s">
        <v>2723</v>
      </c>
      <c r="C147" s="399"/>
      <c r="D147" s="399"/>
      <c r="E147" s="399"/>
      <c r="F147" s="391">
        <v>0.05</v>
      </c>
    </row>
    <row r="148" spans="1:6" ht="24">
      <c r="A148" s="385" t="s">
        <v>275</v>
      </c>
      <c r="B148" s="389" t="s">
        <v>2727</v>
      </c>
      <c r="C148" s="399"/>
      <c r="D148" s="399"/>
      <c r="E148" s="399"/>
      <c r="F148" s="391">
        <v>0.05</v>
      </c>
    </row>
    <row r="149" spans="1:6" ht="24">
      <c r="A149" s="385" t="s">
        <v>275</v>
      </c>
      <c r="B149" s="389" t="s">
        <v>2731</v>
      </c>
      <c r="C149" s="399"/>
      <c r="D149" s="399"/>
      <c r="E149" s="399"/>
      <c r="F149" s="391">
        <v>0.05</v>
      </c>
    </row>
    <row r="150" spans="1:6" ht="24">
      <c r="A150" s="385" t="s">
        <v>275</v>
      </c>
      <c r="B150" s="389" t="s">
        <v>2734</v>
      </c>
      <c r="C150" s="399"/>
      <c r="D150" s="399"/>
      <c r="E150" s="399"/>
      <c r="F150" s="391">
        <v>0.05</v>
      </c>
    </row>
    <row r="151" spans="1:6" ht="24">
      <c r="A151" s="385" t="s">
        <v>275</v>
      </c>
      <c r="B151" s="389" t="s">
        <v>2737</v>
      </c>
      <c r="C151" s="399"/>
      <c r="D151" s="399"/>
      <c r="E151" s="399"/>
      <c r="F151" s="391">
        <v>0.05</v>
      </c>
    </row>
    <row r="152" spans="1:6" ht="24">
      <c r="A152" s="385" t="s">
        <v>275</v>
      </c>
      <c r="B152" s="389" t="s">
        <v>2740</v>
      </c>
      <c r="C152" s="399"/>
      <c r="D152" s="399"/>
      <c r="E152" s="399"/>
      <c r="F152" s="391">
        <v>0.05</v>
      </c>
    </row>
    <row r="153" spans="1:6">
      <c r="A153" s="385" t="s">
        <v>275</v>
      </c>
      <c r="B153" s="389" t="s">
        <v>2743</v>
      </c>
      <c r="C153" s="399"/>
      <c r="D153" s="399"/>
      <c r="E153" s="399"/>
      <c r="F153" s="391">
        <v>0.05</v>
      </c>
    </row>
    <row r="154" spans="1:6">
      <c r="A154" s="385" t="s">
        <v>275</v>
      </c>
      <c r="B154" s="389" t="s">
        <v>2746</v>
      </c>
      <c r="C154" s="399"/>
      <c r="D154" s="399"/>
      <c r="E154" s="399"/>
      <c r="F154" s="391">
        <v>0.05</v>
      </c>
    </row>
    <row r="155" spans="1:6" ht="24">
      <c r="A155" s="385" t="s">
        <v>275</v>
      </c>
      <c r="B155" s="389" t="s">
        <v>2749</v>
      </c>
      <c r="C155" s="399"/>
      <c r="D155" s="399"/>
      <c r="E155" s="399"/>
      <c r="F155" s="391">
        <v>0.05</v>
      </c>
    </row>
    <row r="156" spans="1:6" ht="24">
      <c r="A156" s="385" t="s">
        <v>275</v>
      </c>
      <c r="B156" s="389" t="s">
        <v>2751</v>
      </c>
      <c r="C156" s="399"/>
      <c r="D156" s="399"/>
      <c r="E156" s="399"/>
      <c r="F156" s="391">
        <v>0.05</v>
      </c>
    </row>
    <row r="157" spans="1:6">
      <c r="A157" s="393" t="s">
        <v>275</v>
      </c>
      <c r="B157" s="400" t="s">
        <v>2753</v>
      </c>
      <c r="C157" s="396"/>
      <c r="D157" s="396"/>
      <c r="E157" s="396"/>
      <c r="F157" s="401">
        <v>0.05</v>
      </c>
    </row>
    <row r="158" spans="1:6">
      <c r="A158" s="385" t="s">
        <v>280</v>
      </c>
      <c r="B158" s="386" t="s">
        <v>2421</v>
      </c>
      <c r="C158" s="387">
        <v>0.13</v>
      </c>
      <c r="D158" s="387">
        <v>0.13</v>
      </c>
      <c r="E158" s="387">
        <v>0.13</v>
      </c>
      <c r="F158" s="388">
        <v>0.13</v>
      </c>
    </row>
    <row r="159" spans="1:6">
      <c r="A159" s="385" t="s">
        <v>280</v>
      </c>
      <c r="B159" s="389" t="s">
        <v>2434</v>
      </c>
      <c r="C159" s="390">
        <v>0.13</v>
      </c>
      <c r="D159" s="390">
        <v>0.13</v>
      </c>
      <c r="E159" s="390">
        <v>0.13</v>
      </c>
      <c r="F159" s="391">
        <v>0.13</v>
      </c>
    </row>
    <row r="160" spans="1:6">
      <c r="A160" s="385" t="s">
        <v>280</v>
      </c>
      <c r="B160" s="389" t="s">
        <v>2448</v>
      </c>
      <c r="C160" s="390">
        <v>0.13</v>
      </c>
      <c r="D160" s="390">
        <v>0.13</v>
      </c>
      <c r="E160" s="390">
        <v>0.129</v>
      </c>
      <c r="F160" s="391">
        <v>0.13</v>
      </c>
    </row>
    <row r="161" spans="1:6">
      <c r="A161" s="385" t="s">
        <v>280</v>
      </c>
      <c r="B161" s="389" t="s">
        <v>2460</v>
      </c>
      <c r="C161" s="390">
        <v>0.128</v>
      </c>
      <c r="D161" s="390">
        <v>0.128</v>
      </c>
      <c r="E161" s="390">
        <v>0.125</v>
      </c>
      <c r="F161" s="391">
        <v>0.13</v>
      </c>
    </row>
    <row r="162" spans="1:6">
      <c r="A162" s="385" t="s">
        <v>280</v>
      </c>
      <c r="B162" s="389" t="s">
        <v>2472</v>
      </c>
      <c r="C162" s="390">
        <v>0.122</v>
      </c>
      <c r="D162" s="390">
        <v>0.122</v>
      </c>
      <c r="E162" s="390">
        <v>0.126</v>
      </c>
      <c r="F162" s="391">
        <v>0.122</v>
      </c>
    </row>
    <row r="163" spans="1:6">
      <c r="A163" s="385" t="s">
        <v>280</v>
      </c>
      <c r="B163" s="389" t="s">
        <v>2483</v>
      </c>
      <c r="C163" s="390">
        <v>0.13</v>
      </c>
      <c r="D163" s="390">
        <v>0.13</v>
      </c>
      <c r="E163" s="390">
        <v>0.125</v>
      </c>
      <c r="F163" s="391">
        <v>0.13</v>
      </c>
    </row>
    <row r="164" spans="1:6">
      <c r="A164" s="385" t="s">
        <v>280</v>
      </c>
      <c r="B164" s="389" t="s">
        <v>2494</v>
      </c>
      <c r="C164" s="390">
        <v>0.13</v>
      </c>
      <c r="D164" s="390">
        <v>0.13</v>
      </c>
      <c r="E164" s="390">
        <v>0.13</v>
      </c>
      <c r="F164" s="391">
        <v>0.13</v>
      </c>
    </row>
    <row r="165" spans="1:6">
      <c r="A165" s="385" t="s">
        <v>280</v>
      </c>
      <c r="B165" s="389" t="s">
        <v>2505</v>
      </c>
      <c r="C165" s="390">
        <v>0.13</v>
      </c>
      <c r="D165" s="390">
        <v>0.13</v>
      </c>
      <c r="E165" s="390">
        <v>0.124</v>
      </c>
      <c r="F165" s="391">
        <v>0.13</v>
      </c>
    </row>
    <row r="166" spans="1:6">
      <c r="A166" s="385" t="s">
        <v>280</v>
      </c>
      <c r="B166" s="389" t="s">
        <v>2515</v>
      </c>
      <c r="C166" s="390">
        <v>0.13</v>
      </c>
      <c r="D166" s="390">
        <v>0.13</v>
      </c>
      <c r="E166" s="390">
        <v>0.13</v>
      </c>
      <c r="F166" s="391">
        <v>0.13</v>
      </c>
    </row>
    <row r="167" spans="1:6">
      <c r="A167" s="385" t="s">
        <v>280</v>
      </c>
      <c r="B167" s="389" t="s">
        <v>2525</v>
      </c>
      <c r="C167" s="390">
        <v>0.125</v>
      </c>
      <c r="D167" s="390">
        <v>0.125</v>
      </c>
      <c r="E167" s="390">
        <v>0.121</v>
      </c>
      <c r="F167" s="398"/>
    </row>
    <row r="168" spans="1:6">
      <c r="A168" s="385" t="s">
        <v>280</v>
      </c>
      <c r="B168" s="389" t="s">
        <v>2535</v>
      </c>
      <c r="C168" s="390">
        <v>0.13</v>
      </c>
      <c r="D168" s="390">
        <v>0.13</v>
      </c>
      <c r="E168" s="390">
        <v>0.126</v>
      </c>
      <c r="F168" s="398"/>
    </row>
    <row r="169" spans="1:6">
      <c r="A169" s="385" t="s">
        <v>280</v>
      </c>
      <c r="B169" s="389" t="s">
        <v>2545</v>
      </c>
      <c r="C169" s="390">
        <v>0.128</v>
      </c>
      <c r="D169" s="390">
        <v>0.129</v>
      </c>
      <c r="E169" s="390">
        <v>0.13</v>
      </c>
      <c r="F169" s="398"/>
    </row>
    <row r="170" spans="1:6">
      <c r="A170" s="385" t="s">
        <v>280</v>
      </c>
      <c r="B170" s="389" t="s">
        <v>2554</v>
      </c>
      <c r="C170" s="390">
        <v>0.14099999999999999</v>
      </c>
      <c r="D170" s="390">
        <v>0.13</v>
      </c>
      <c r="E170" s="390">
        <v>0.125</v>
      </c>
      <c r="F170" s="398"/>
    </row>
    <row r="171" spans="1:6">
      <c r="A171" s="385" t="s">
        <v>280</v>
      </c>
      <c r="B171" s="389" t="s">
        <v>2564</v>
      </c>
      <c r="C171" s="390">
        <v>0.127</v>
      </c>
      <c r="D171" s="390">
        <v>0.126</v>
      </c>
      <c r="E171" s="390">
        <v>0.126</v>
      </c>
      <c r="F171" s="391">
        <v>0.11799999999999999</v>
      </c>
    </row>
    <row r="172" spans="1:6">
      <c r="A172" s="385" t="s">
        <v>280</v>
      </c>
      <c r="B172" s="389" t="s">
        <v>2573</v>
      </c>
      <c r="C172" s="390">
        <v>0.13</v>
      </c>
      <c r="D172" s="390">
        <v>0.13</v>
      </c>
      <c r="E172" s="390">
        <v>0.13</v>
      </c>
      <c r="F172" s="398"/>
    </row>
    <row r="173" spans="1:6">
      <c r="A173" s="385" t="s">
        <v>280</v>
      </c>
      <c r="B173" s="389" t="s">
        <v>2583</v>
      </c>
      <c r="C173" s="390">
        <v>0.13</v>
      </c>
      <c r="D173" s="390">
        <v>0.13</v>
      </c>
      <c r="E173" s="390">
        <v>0.13</v>
      </c>
      <c r="F173" s="398"/>
    </row>
    <row r="174" spans="1:6">
      <c r="A174" s="385" t="s">
        <v>280</v>
      </c>
      <c r="B174" s="389" t="s">
        <v>2593</v>
      </c>
      <c r="C174" s="390">
        <v>0.13</v>
      </c>
      <c r="D174" s="390">
        <v>0.13</v>
      </c>
      <c r="E174" s="390">
        <v>0.13</v>
      </c>
      <c r="F174" s="391">
        <v>0.13</v>
      </c>
    </row>
    <row r="175" spans="1:6">
      <c r="A175" s="385" t="s">
        <v>280</v>
      </c>
      <c r="B175" s="389" t="s">
        <v>2603</v>
      </c>
      <c r="C175" s="390">
        <v>0.13</v>
      </c>
      <c r="D175" s="390">
        <v>0.13</v>
      </c>
      <c r="E175" s="390">
        <v>0.13</v>
      </c>
      <c r="F175" s="391">
        <v>0.13</v>
      </c>
    </row>
    <row r="176" spans="1:6">
      <c r="A176" s="385" t="s">
        <v>280</v>
      </c>
      <c r="B176" s="389" t="s">
        <v>2613</v>
      </c>
      <c r="C176" s="390">
        <v>0.13</v>
      </c>
      <c r="D176" s="390">
        <v>0.13</v>
      </c>
      <c r="E176" s="390">
        <v>0.13</v>
      </c>
      <c r="F176" s="391">
        <v>0.13</v>
      </c>
    </row>
    <row r="177" spans="1:6">
      <c r="A177" s="385" t="s">
        <v>280</v>
      </c>
      <c r="B177" s="389" t="s">
        <v>2622</v>
      </c>
      <c r="C177" s="390">
        <v>0.13</v>
      </c>
      <c r="D177" s="390">
        <v>0.13</v>
      </c>
      <c r="E177" s="390">
        <v>0.13</v>
      </c>
      <c r="F177" s="391">
        <v>0.13</v>
      </c>
    </row>
    <row r="178" spans="1:6">
      <c r="A178" s="385" t="s">
        <v>280</v>
      </c>
      <c r="B178" s="389" t="s">
        <v>2630</v>
      </c>
      <c r="C178" s="390">
        <v>0.13</v>
      </c>
      <c r="D178" s="390">
        <v>0.13</v>
      </c>
      <c r="E178" s="390">
        <v>0.13</v>
      </c>
      <c r="F178" s="391">
        <v>0.127</v>
      </c>
    </row>
    <row r="179" spans="1:6">
      <c r="A179" s="385" t="s">
        <v>280</v>
      </c>
      <c r="B179" s="389" t="s">
        <v>2638</v>
      </c>
      <c r="C179" s="390">
        <v>0.13</v>
      </c>
      <c r="D179" s="390">
        <v>0.13</v>
      </c>
      <c r="E179" s="390">
        <v>0.13</v>
      </c>
      <c r="F179" s="398"/>
    </row>
    <row r="180" spans="1:6">
      <c r="A180" s="385" t="s">
        <v>280</v>
      </c>
      <c r="B180" s="389" t="s">
        <v>2645</v>
      </c>
      <c r="C180" s="390">
        <v>0.13</v>
      </c>
      <c r="D180" s="390">
        <v>0.13</v>
      </c>
      <c r="E180" s="390">
        <v>0.125</v>
      </c>
      <c r="F180" s="391">
        <v>0.13</v>
      </c>
    </row>
    <row r="181" spans="1:6">
      <c r="A181" s="385" t="s">
        <v>280</v>
      </c>
      <c r="B181" s="389" t="s">
        <v>2652</v>
      </c>
      <c r="C181" s="390">
        <v>0.122</v>
      </c>
      <c r="D181" s="390">
        <v>0.123</v>
      </c>
      <c r="E181" s="390">
        <v>0.126</v>
      </c>
      <c r="F181" s="391">
        <v>0.121</v>
      </c>
    </row>
    <row r="182" spans="1:6">
      <c r="A182" s="385" t="s">
        <v>280</v>
      </c>
      <c r="B182" s="389" t="s">
        <v>2659</v>
      </c>
      <c r="C182" s="390">
        <v>0.125</v>
      </c>
      <c r="D182" s="390">
        <v>0.125</v>
      </c>
      <c r="E182" s="390">
        <v>0.11700000000000001</v>
      </c>
      <c r="F182" s="391">
        <v>0.13</v>
      </c>
    </row>
    <row r="183" spans="1:6">
      <c r="A183" s="385" t="s">
        <v>280</v>
      </c>
      <c r="B183" s="389" t="s">
        <v>2666</v>
      </c>
      <c r="C183" s="390">
        <v>0.127</v>
      </c>
      <c r="D183" s="390">
        <v>0.127</v>
      </c>
      <c r="E183" s="390">
        <v>0.128</v>
      </c>
      <c r="F183" s="398"/>
    </row>
    <row r="184" spans="1:6">
      <c r="A184" s="385" t="s">
        <v>280</v>
      </c>
      <c r="B184" s="389" t="s">
        <v>2673</v>
      </c>
      <c r="C184" s="390">
        <v>0.125</v>
      </c>
      <c r="D184" s="390">
        <v>0.125</v>
      </c>
      <c r="E184" s="390">
        <v>0.127</v>
      </c>
      <c r="F184" s="398"/>
    </row>
    <row r="185" spans="1:6">
      <c r="A185" s="385" t="s">
        <v>280</v>
      </c>
      <c r="B185" s="389" t="s">
        <v>2678</v>
      </c>
      <c r="C185" s="390">
        <v>0.127</v>
      </c>
      <c r="D185" s="390">
        <v>0.127</v>
      </c>
      <c r="E185" s="390">
        <v>0.128</v>
      </c>
      <c r="F185" s="391">
        <v>0.13</v>
      </c>
    </row>
    <row r="186" spans="1:6" ht="24">
      <c r="A186" s="385" t="s">
        <v>280</v>
      </c>
      <c r="B186" s="389" t="s">
        <v>2683</v>
      </c>
      <c r="C186" s="399"/>
      <c r="D186" s="399"/>
      <c r="E186" s="399"/>
      <c r="F186" s="391">
        <v>0.05</v>
      </c>
    </row>
    <row r="187" spans="1:6">
      <c r="A187" s="385" t="s">
        <v>280</v>
      </c>
      <c r="B187" s="389" t="s">
        <v>2688</v>
      </c>
      <c r="C187" s="399"/>
      <c r="D187" s="399"/>
      <c r="E187" s="399"/>
      <c r="F187" s="391">
        <v>0.05</v>
      </c>
    </row>
    <row r="188" spans="1:6">
      <c r="A188" s="385" t="s">
        <v>280</v>
      </c>
      <c r="B188" s="389" t="s">
        <v>2693</v>
      </c>
      <c r="C188" s="399"/>
      <c r="D188" s="399"/>
      <c r="E188" s="399"/>
      <c r="F188" s="391">
        <v>0.05</v>
      </c>
    </row>
    <row r="189" spans="1:6" ht="24">
      <c r="A189" s="385" t="s">
        <v>280</v>
      </c>
      <c r="B189" s="389" t="s">
        <v>2698</v>
      </c>
      <c r="C189" s="399"/>
      <c r="D189" s="399"/>
      <c r="E189" s="399"/>
      <c r="F189" s="391">
        <v>0.05</v>
      </c>
    </row>
    <row r="190" spans="1:6" ht="24">
      <c r="A190" s="385" t="s">
        <v>280</v>
      </c>
      <c r="B190" s="389" t="s">
        <v>2703</v>
      </c>
      <c r="C190" s="399"/>
      <c r="D190" s="399"/>
      <c r="E190" s="399"/>
      <c r="F190" s="391">
        <v>0.05</v>
      </c>
    </row>
    <row r="191" spans="1:6" ht="24">
      <c r="A191" s="385" t="s">
        <v>280</v>
      </c>
      <c r="B191" s="389" t="s">
        <v>2708</v>
      </c>
      <c r="C191" s="399"/>
      <c r="D191" s="399"/>
      <c r="E191" s="399"/>
      <c r="F191" s="391">
        <v>0.05</v>
      </c>
    </row>
    <row r="192" spans="1:6" ht="24">
      <c r="A192" s="385" t="s">
        <v>280</v>
      </c>
      <c r="B192" s="389" t="s">
        <v>2712</v>
      </c>
      <c r="C192" s="399"/>
      <c r="D192" s="399"/>
      <c r="E192" s="399"/>
      <c r="F192" s="391">
        <v>0.05</v>
      </c>
    </row>
    <row r="193" spans="1:6" ht="24">
      <c r="A193" s="385" t="s">
        <v>280</v>
      </c>
      <c r="B193" s="389" t="s">
        <v>2716</v>
      </c>
      <c r="C193" s="399"/>
      <c r="D193" s="399"/>
      <c r="E193" s="399"/>
      <c r="F193" s="391">
        <v>0.05</v>
      </c>
    </row>
    <row r="194" spans="1:6" ht="24">
      <c r="A194" s="385" t="s">
        <v>280</v>
      </c>
      <c r="B194" s="389" t="s">
        <v>2720</v>
      </c>
      <c r="C194" s="399"/>
      <c r="D194" s="399"/>
      <c r="E194" s="399"/>
      <c r="F194" s="391">
        <v>0.05</v>
      </c>
    </row>
    <row r="195" spans="1:6">
      <c r="A195" s="385" t="s">
        <v>280</v>
      </c>
      <c r="B195" s="389" t="s">
        <v>2724</v>
      </c>
      <c r="C195" s="399"/>
      <c r="D195" s="399"/>
      <c r="E195" s="399"/>
      <c r="F195" s="391">
        <v>0.05</v>
      </c>
    </row>
    <row r="196" spans="1:6" ht="24">
      <c r="A196" s="385" t="s">
        <v>280</v>
      </c>
      <c r="B196" s="389" t="s">
        <v>2728</v>
      </c>
      <c r="C196" s="399"/>
      <c r="D196" s="399"/>
      <c r="E196" s="399"/>
      <c r="F196" s="391">
        <v>0.05</v>
      </c>
    </row>
    <row r="197" spans="1:6" ht="24">
      <c r="A197" s="385" t="s">
        <v>280</v>
      </c>
      <c r="B197" s="389" t="s">
        <v>2732</v>
      </c>
      <c r="C197" s="399"/>
      <c r="D197" s="399"/>
      <c r="E197" s="399"/>
      <c r="F197" s="391">
        <v>0.05</v>
      </c>
    </row>
    <row r="198" spans="1:6" ht="24">
      <c r="A198" s="385" t="s">
        <v>280</v>
      </c>
      <c r="B198" s="389" t="s">
        <v>2735</v>
      </c>
      <c r="C198" s="399"/>
      <c r="D198" s="399"/>
      <c r="E198" s="399"/>
      <c r="F198" s="391">
        <v>0.05</v>
      </c>
    </row>
    <row r="199" spans="1:6" ht="24">
      <c r="A199" s="385" t="s">
        <v>280</v>
      </c>
      <c r="B199" s="389" t="s">
        <v>2738</v>
      </c>
      <c r="C199" s="399"/>
      <c r="D199" s="399"/>
      <c r="E199" s="399"/>
      <c r="F199" s="391">
        <v>0.05</v>
      </c>
    </row>
    <row r="200" spans="1:6" ht="24">
      <c r="A200" s="385" t="s">
        <v>280</v>
      </c>
      <c r="B200" s="389" t="s">
        <v>2741</v>
      </c>
      <c r="C200" s="399"/>
      <c r="D200" s="399"/>
      <c r="E200" s="399"/>
      <c r="F200" s="391">
        <v>0.05</v>
      </c>
    </row>
    <row r="201" spans="1:6" ht="24">
      <c r="A201" s="385" t="s">
        <v>280</v>
      </c>
      <c r="B201" s="389" t="s">
        <v>2744</v>
      </c>
      <c r="C201" s="399"/>
      <c r="D201" s="399"/>
      <c r="E201" s="399"/>
      <c r="F201" s="391">
        <v>0.05</v>
      </c>
    </row>
    <row r="202" spans="1:6" ht="24">
      <c r="A202" s="385" t="s">
        <v>280</v>
      </c>
      <c r="B202" s="389" t="s">
        <v>2747</v>
      </c>
      <c r="C202" s="399"/>
      <c r="D202" s="399"/>
      <c r="E202" s="399"/>
      <c r="F202" s="391">
        <v>0.05</v>
      </c>
    </row>
    <row r="203" spans="1:6" ht="24">
      <c r="A203" s="385" t="s">
        <v>280</v>
      </c>
      <c r="B203" s="389" t="s">
        <v>2750</v>
      </c>
      <c r="C203" s="399"/>
      <c r="D203" s="399"/>
      <c r="E203" s="399"/>
      <c r="F203" s="391">
        <v>0.05</v>
      </c>
    </row>
    <row r="204" spans="1:6">
      <c r="A204" s="385" t="s">
        <v>280</v>
      </c>
      <c r="B204" s="389" t="s">
        <v>2752</v>
      </c>
      <c r="C204" s="399"/>
      <c r="D204" s="399"/>
      <c r="E204" s="399"/>
      <c r="F204" s="391">
        <v>0.05</v>
      </c>
    </row>
    <row r="205" spans="1:6">
      <c r="A205" s="393" t="s">
        <v>280</v>
      </c>
      <c r="B205" s="400" t="s">
        <v>2754</v>
      </c>
      <c r="C205" s="396"/>
      <c r="D205" s="396"/>
      <c r="E205" s="396"/>
      <c r="F205" s="401">
        <v>0.05</v>
      </c>
    </row>
    <row r="206" spans="1:6">
      <c r="A206" s="385" t="s">
        <v>285</v>
      </c>
      <c r="B206" s="386" t="s">
        <v>2422</v>
      </c>
      <c r="C206" s="387">
        <v>0.15</v>
      </c>
      <c r="D206" s="387">
        <v>0.15</v>
      </c>
      <c r="E206" s="387">
        <v>0.15</v>
      </c>
      <c r="F206" s="388">
        <v>0.15</v>
      </c>
    </row>
    <row r="207" spans="1:6">
      <c r="A207" s="385" t="s">
        <v>285</v>
      </c>
      <c r="B207" s="389" t="s">
        <v>2435</v>
      </c>
      <c r="C207" s="390">
        <v>0.15</v>
      </c>
      <c r="D207" s="390">
        <v>0.15</v>
      </c>
      <c r="E207" s="390">
        <v>0.15</v>
      </c>
      <c r="F207" s="391">
        <v>0.14399999999999999</v>
      </c>
    </row>
    <row r="208" spans="1:6">
      <c r="A208" s="385" t="s">
        <v>285</v>
      </c>
      <c r="B208" s="389" t="s">
        <v>2449</v>
      </c>
      <c r="C208" s="390">
        <v>0.15</v>
      </c>
      <c r="D208" s="390">
        <v>0.15</v>
      </c>
      <c r="E208" s="390">
        <v>0.15</v>
      </c>
      <c r="F208" s="391">
        <v>0.15</v>
      </c>
    </row>
    <row r="209" spans="1:6">
      <c r="A209" s="385" t="s">
        <v>285</v>
      </c>
      <c r="B209" s="389" t="s">
        <v>2461</v>
      </c>
      <c r="C209" s="390">
        <v>0.13700000000000001</v>
      </c>
      <c r="D209" s="390">
        <v>0.13700000000000001</v>
      </c>
      <c r="E209" s="390">
        <v>0.14000000000000001</v>
      </c>
      <c r="F209" s="391">
        <v>0.11700000000000001</v>
      </c>
    </row>
    <row r="210" spans="1:6">
      <c r="A210" s="385" t="s">
        <v>285</v>
      </c>
      <c r="B210" s="389" t="s">
        <v>2473</v>
      </c>
      <c r="C210" s="390">
        <v>0.15</v>
      </c>
      <c r="D210" s="390">
        <v>0.15</v>
      </c>
      <c r="E210" s="390">
        <v>0.15</v>
      </c>
      <c r="F210" s="391">
        <v>0.13800000000000001</v>
      </c>
    </row>
    <row r="211" spans="1:6">
      <c r="A211" s="385" t="s">
        <v>285</v>
      </c>
      <c r="B211" s="389" t="s">
        <v>2484</v>
      </c>
      <c r="C211" s="390">
        <v>0.13700000000000001</v>
      </c>
      <c r="D211" s="390">
        <v>0.13500000000000001</v>
      </c>
      <c r="E211" s="390">
        <v>0.13600000000000001</v>
      </c>
      <c r="F211" s="391">
        <v>0.1</v>
      </c>
    </row>
    <row r="212" spans="1:6">
      <c r="A212" s="385" t="s">
        <v>285</v>
      </c>
      <c r="B212" s="389" t="s">
        <v>2495</v>
      </c>
      <c r="C212" s="390">
        <v>0.15</v>
      </c>
      <c r="D212" s="390">
        <v>0.15</v>
      </c>
      <c r="E212" s="390">
        <v>0.14799999999999999</v>
      </c>
      <c r="F212" s="391">
        <v>0.13600000000000001</v>
      </c>
    </row>
    <row r="213" spans="1:6">
      <c r="A213" s="385" t="s">
        <v>285</v>
      </c>
      <c r="B213" s="389" t="s">
        <v>2506</v>
      </c>
      <c r="C213" s="390">
        <v>0.15</v>
      </c>
      <c r="D213" s="390">
        <v>0.15</v>
      </c>
      <c r="E213" s="390">
        <v>0.15</v>
      </c>
      <c r="F213" s="391">
        <v>0.13800000000000001</v>
      </c>
    </row>
    <row r="214" spans="1:6">
      <c r="A214" s="385" t="s">
        <v>285</v>
      </c>
      <c r="B214" s="389" t="s">
        <v>2516</v>
      </c>
      <c r="C214" s="390">
        <v>9.0999999999999998E-2</v>
      </c>
      <c r="D214" s="390">
        <v>0.09</v>
      </c>
      <c r="E214" s="390">
        <v>9.1999999999999998E-2</v>
      </c>
      <c r="F214" s="398"/>
    </row>
    <row r="215" spans="1:6">
      <c r="A215" s="385" t="s">
        <v>285</v>
      </c>
      <c r="B215" s="389" t="s">
        <v>2526</v>
      </c>
      <c r="C215" s="390">
        <v>0.15</v>
      </c>
      <c r="D215" s="390">
        <v>0.15</v>
      </c>
      <c r="E215" s="390">
        <v>0.15</v>
      </c>
      <c r="F215" s="391">
        <v>0.15</v>
      </c>
    </row>
    <row r="216" spans="1:6">
      <c r="A216" s="385" t="s">
        <v>285</v>
      </c>
      <c r="B216" s="389" t="s">
        <v>2536</v>
      </c>
      <c r="C216" s="390">
        <v>0.14699999999999999</v>
      </c>
      <c r="D216" s="390">
        <v>0.14699999999999999</v>
      </c>
      <c r="E216" s="390">
        <v>0.15</v>
      </c>
      <c r="F216" s="391">
        <v>0.14000000000000001</v>
      </c>
    </row>
    <row r="217" spans="1:6">
      <c r="A217" s="385" t="s">
        <v>285</v>
      </c>
      <c r="B217" s="389" t="s">
        <v>2546</v>
      </c>
      <c r="C217" s="390">
        <v>0.15</v>
      </c>
      <c r="D217" s="390">
        <v>0.15</v>
      </c>
      <c r="E217" s="390">
        <v>0.15</v>
      </c>
      <c r="F217" s="391">
        <v>0.15</v>
      </c>
    </row>
    <row r="218" spans="1:6">
      <c r="A218" s="385" t="s">
        <v>285</v>
      </c>
      <c r="B218" s="389" t="s">
        <v>2555</v>
      </c>
      <c r="C218" s="390">
        <v>0.15</v>
      </c>
      <c r="D218" s="390">
        <v>0.15</v>
      </c>
      <c r="E218" s="390">
        <v>0.15</v>
      </c>
      <c r="F218" s="391">
        <v>0.15</v>
      </c>
    </row>
    <row r="219" spans="1:6">
      <c r="A219" s="385" t="s">
        <v>285</v>
      </c>
      <c r="B219" s="389" t="s">
        <v>2565</v>
      </c>
      <c r="C219" s="390">
        <v>0.15</v>
      </c>
      <c r="D219" s="390">
        <v>0.15</v>
      </c>
      <c r="E219" s="390">
        <v>0.15</v>
      </c>
      <c r="F219" s="391">
        <v>0.14799999999999999</v>
      </c>
    </row>
    <row r="220" spans="1:6">
      <c r="A220" s="385" t="s">
        <v>285</v>
      </c>
      <c r="B220" s="389" t="s">
        <v>2574</v>
      </c>
      <c r="C220" s="390">
        <v>0.15</v>
      </c>
      <c r="D220" s="390">
        <v>0.15</v>
      </c>
      <c r="E220" s="390">
        <v>0.15</v>
      </c>
      <c r="F220" s="391">
        <v>0.15</v>
      </c>
    </row>
    <row r="221" spans="1:6">
      <c r="A221" s="385" t="s">
        <v>285</v>
      </c>
      <c r="B221" s="389" t="s">
        <v>2584</v>
      </c>
      <c r="C221" s="390"/>
      <c r="D221" s="399"/>
      <c r="E221" s="399"/>
      <c r="F221" s="391">
        <v>0.14799999999999999</v>
      </c>
    </row>
    <row r="222" spans="1:6">
      <c r="A222" s="385" t="s">
        <v>285</v>
      </c>
      <c r="B222" s="389" t="s">
        <v>2594</v>
      </c>
      <c r="C222" s="390"/>
      <c r="D222" s="399"/>
      <c r="E222" s="399"/>
      <c r="F222" s="391">
        <v>0.1</v>
      </c>
    </row>
    <row r="223" spans="1:6">
      <c r="A223" s="385" t="s">
        <v>285</v>
      </c>
      <c r="B223" s="389" t="s">
        <v>2604</v>
      </c>
      <c r="C223" s="390"/>
      <c r="D223" s="399"/>
      <c r="E223" s="399"/>
      <c r="F223" s="391">
        <v>0.15</v>
      </c>
    </row>
    <row r="224" spans="1:6">
      <c r="A224" s="385" t="s">
        <v>285</v>
      </c>
      <c r="B224" s="389" t="s">
        <v>2614</v>
      </c>
      <c r="C224" s="390"/>
      <c r="D224" s="399"/>
      <c r="E224" s="399"/>
      <c r="F224" s="391">
        <v>0.15</v>
      </c>
    </row>
    <row r="225" spans="1:6">
      <c r="A225" s="385" t="s">
        <v>285</v>
      </c>
      <c r="B225" s="389" t="s">
        <v>2623</v>
      </c>
      <c r="C225" s="390">
        <v>0.15</v>
      </c>
      <c r="D225" s="390">
        <v>0.15</v>
      </c>
      <c r="E225" s="390">
        <v>0.15</v>
      </c>
      <c r="F225" s="391">
        <v>0.15</v>
      </c>
    </row>
    <row r="226" spans="1:6">
      <c r="A226" s="385" t="s">
        <v>285</v>
      </c>
      <c r="B226" s="389" t="s">
        <v>2631</v>
      </c>
      <c r="C226" s="390">
        <v>0.15</v>
      </c>
      <c r="D226" s="390">
        <v>0.15</v>
      </c>
      <c r="E226" s="390">
        <v>0.15</v>
      </c>
      <c r="F226" s="391">
        <v>0.14799999999999999</v>
      </c>
    </row>
    <row r="227" spans="1:6">
      <c r="A227" s="385" t="s">
        <v>285</v>
      </c>
      <c r="B227" s="389" t="s">
        <v>2639</v>
      </c>
      <c r="C227" s="390">
        <v>0.15</v>
      </c>
      <c r="D227" s="390">
        <v>0.15</v>
      </c>
      <c r="E227" s="390">
        <v>0.15</v>
      </c>
      <c r="F227" s="391">
        <v>0.15</v>
      </c>
    </row>
    <row r="228" spans="1:6">
      <c r="A228" s="385" t="s">
        <v>285</v>
      </c>
      <c r="B228" s="389" t="s">
        <v>2646</v>
      </c>
      <c r="C228" s="390">
        <v>0.15</v>
      </c>
      <c r="D228" s="390">
        <v>0.15</v>
      </c>
      <c r="E228" s="390">
        <v>0.15</v>
      </c>
      <c r="F228" s="391">
        <v>0.15</v>
      </c>
    </row>
    <row r="229" spans="1:6">
      <c r="A229" s="385" t="s">
        <v>285</v>
      </c>
      <c r="B229" s="389" t="s">
        <v>2653</v>
      </c>
      <c r="C229" s="390">
        <v>0.15</v>
      </c>
      <c r="D229" s="390">
        <v>0.15</v>
      </c>
      <c r="E229" s="390">
        <v>0.15</v>
      </c>
      <c r="F229" s="398"/>
    </row>
    <row r="230" spans="1:6">
      <c r="A230" s="385" t="s">
        <v>285</v>
      </c>
      <c r="B230" s="389" t="s">
        <v>2660</v>
      </c>
      <c r="C230" s="390">
        <v>0.14499999999999999</v>
      </c>
      <c r="D230" s="390">
        <v>0.14499999999999999</v>
      </c>
      <c r="E230" s="390">
        <v>0.14399999999999999</v>
      </c>
      <c r="F230" s="398"/>
    </row>
    <row r="231" spans="1:6">
      <c r="A231" s="385" t="s">
        <v>285</v>
      </c>
      <c r="B231" s="389" t="s">
        <v>2667</v>
      </c>
      <c r="C231" s="390">
        <v>0.128</v>
      </c>
      <c r="D231" s="390">
        <v>0.125</v>
      </c>
      <c r="E231" s="390">
        <v>0.13200000000000001</v>
      </c>
      <c r="F231" s="398"/>
    </row>
    <row r="232" spans="1:6">
      <c r="A232" s="385" t="s">
        <v>285</v>
      </c>
      <c r="B232" s="389" t="s">
        <v>2674</v>
      </c>
      <c r="C232" s="390">
        <v>0.14499999999999999</v>
      </c>
      <c r="D232" s="390">
        <v>0.14399999999999999</v>
      </c>
      <c r="E232" s="390">
        <v>0.14599999999999999</v>
      </c>
      <c r="F232" s="391">
        <v>0.13800000000000001</v>
      </c>
    </row>
    <row r="233" spans="1:6">
      <c r="A233" s="385" t="s">
        <v>285</v>
      </c>
      <c r="B233" s="389" t="s">
        <v>2679</v>
      </c>
      <c r="C233" s="390">
        <v>0.14499999999999999</v>
      </c>
      <c r="D233" s="390">
        <v>0.14299999999999999</v>
      </c>
      <c r="E233" s="390">
        <v>0.14199999999999999</v>
      </c>
      <c r="F233" s="398"/>
    </row>
    <row r="234" spans="1:6">
      <c r="A234" s="385" t="s">
        <v>285</v>
      </c>
      <c r="B234" s="389" t="s">
        <v>2757</v>
      </c>
      <c r="C234" s="390">
        <v>0.14000000000000001</v>
      </c>
      <c r="D234" s="390">
        <v>0.14000000000000001</v>
      </c>
      <c r="E234" s="390">
        <v>0.14399999999999999</v>
      </c>
      <c r="F234" s="398"/>
    </row>
    <row r="235" spans="1:6">
      <c r="A235" s="385" t="s">
        <v>285</v>
      </c>
      <c r="B235" s="389" t="s">
        <v>2689</v>
      </c>
      <c r="C235" s="390">
        <v>0.14099999999999999</v>
      </c>
      <c r="D235" s="390">
        <v>0.14199999999999999</v>
      </c>
      <c r="E235" s="390">
        <v>0.14499999999999999</v>
      </c>
      <c r="F235" s="391">
        <v>0.15</v>
      </c>
    </row>
    <row r="236" spans="1:6">
      <c r="A236" s="385" t="s">
        <v>285</v>
      </c>
      <c r="B236" s="389" t="s">
        <v>2694</v>
      </c>
      <c r="C236" s="399"/>
      <c r="D236" s="399"/>
      <c r="E236" s="399"/>
      <c r="F236" s="391">
        <v>0.14299999999999999</v>
      </c>
    </row>
    <row r="237" spans="1:6" ht="24">
      <c r="A237" s="385" t="s">
        <v>285</v>
      </c>
      <c r="B237" s="389" t="s">
        <v>2699</v>
      </c>
      <c r="C237" s="399"/>
      <c r="D237" s="399"/>
      <c r="E237" s="399"/>
      <c r="F237" s="391">
        <v>0.05</v>
      </c>
    </row>
    <row r="238" spans="1:6" ht="24">
      <c r="A238" s="385" t="s">
        <v>285</v>
      </c>
      <c r="B238" s="389" t="s">
        <v>2704</v>
      </c>
      <c r="C238" s="399"/>
      <c r="D238" s="399"/>
      <c r="E238" s="399"/>
      <c r="F238" s="391">
        <v>0.05</v>
      </c>
    </row>
    <row r="239" spans="1:6" ht="24">
      <c r="A239" s="385" t="s">
        <v>285</v>
      </c>
      <c r="B239" s="389" t="s">
        <v>2709</v>
      </c>
      <c r="C239" s="399"/>
      <c r="D239" s="399"/>
      <c r="E239" s="399"/>
      <c r="F239" s="391">
        <v>0.05</v>
      </c>
    </row>
    <row r="240" spans="1:6" ht="24">
      <c r="A240" s="385" t="s">
        <v>285</v>
      </c>
      <c r="B240" s="389" t="s">
        <v>2713</v>
      </c>
      <c r="C240" s="399"/>
      <c r="D240" s="399"/>
      <c r="E240" s="399"/>
      <c r="F240" s="391">
        <v>0.05</v>
      </c>
    </row>
    <row r="241" spans="1:6" ht="24">
      <c r="A241" s="385" t="s">
        <v>285</v>
      </c>
      <c r="B241" s="389" t="s">
        <v>2717</v>
      </c>
      <c r="C241" s="399"/>
      <c r="D241" s="399"/>
      <c r="E241" s="399"/>
      <c r="F241" s="391">
        <v>0.05</v>
      </c>
    </row>
    <row r="242" spans="1:6" ht="24">
      <c r="A242" s="385" t="s">
        <v>285</v>
      </c>
      <c r="B242" s="389" t="s">
        <v>2721</v>
      </c>
      <c r="C242" s="399"/>
      <c r="D242" s="399"/>
      <c r="E242" s="399"/>
      <c r="F242" s="391">
        <v>0.05</v>
      </c>
    </row>
    <row r="243" spans="1:6" ht="24">
      <c r="A243" s="385" t="s">
        <v>285</v>
      </c>
      <c r="B243" s="389" t="s">
        <v>2725</v>
      </c>
      <c r="C243" s="399"/>
      <c r="D243" s="399"/>
      <c r="E243" s="399"/>
      <c r="F243" s="391">
        <v>0.05</v>
      </c>
    </row>
    <row r="244" spans="1:6" ht="24">
      <c r="A244" s="393" t="s">
        <v>285</v>
      </c>
      <c r="B244" s="400" t="s">
        <v>2729</v>
      </c>
      <c r="C244" s="396"/>
      <c r="D244" s="396"/>
      <c r="E244" s="396"/>
      <c r="F244" s="401">
        <v>0.05</v>
      </c>
    </row>
    <row r="245" spans="1:6">
      <c r="A245" s="385" t="s">
        <v>288</v>
      </c>
      <c r="B245" s="386" t="s">
        <v>2423</v>
      </c>
      <c r="C245" s="387">
        <v>0.15</v>
      </c>
      <c r="D245" s="387">
        <v>0.15</v>
      </c>
      <c r="E245" s="387">
        <v>0.15</v>
      </c>
      <c r="F245" s="388">
        <v>0.14299999999999999</v>
      </c>
    </row>
    <row r="246" spans="1:6">
      <c r="A246" s="385" t="s">
        <v>288</v>
      </c>
      <c r="B246" s="389" t="s">
        <v>2436</v>
      </c>
      <c r="C246" s="390">
        <v>0.15</v>
      </c>
      <c r="D246" s="390">
        <v>0.15</v>
      </c>
      <c r="E246" s="390">
        <v>0.15</v>
      </c>
      <c r="F246" s="391">
        <v>0.114</v>
      </c>
    </row>
    <row r="247" spans="1:6">
      <c r="A247" s="385" t="s">
        <v>288</v>
      </c>
      <c r="B247" s="389" t="s">
        <v>2450</v>
      </c>
      <c r="C247" s="390">
        <v>0.15</v>
      </c>
      <c r="D247" s="390">
        <v>0.15</v>
      </c>
      <c r="E247" s="390">
        <v>0.15</v>
      </c>
      <c r="F247" s="391">
        <v>0.15</v>
      </c>
    </row>
    <row r="248" spans="1:6">
      <c r="A248" s="385" t="s">
        <v>288</v>
      </c>
      <c r="B248" s="389" t="s">
        <v>2462</v>
      </c>
      <c r="C248" s="390">
        <v>0.15</v>
      </c>
      <c r="D248" s="390">
        <v>0.15</v>
      </c>
      <c r="E248" s="390">
        <v>0.15</v>
      </c>
      <c r="F248" s="391">
        <v>0.14000000000000001</v>
      </c>
    </row>
    <row r="249" spans="1:6">
      <c r="A249" s="385" t="s">
        <v>288</v>
      </c>
      <c r="B249" s="389" t="s">
        <v>2474</v>
      </c>
      <c r="C249" s="390">
        <v>0.15</v>
      </c>
      <c r="D249" s="390">
        <v>0.14899999999999999</v>
      </c>
      <c r="E249" s="390">
        <v>0.15</v>
      </c>
      <c r="F249" s="391">
        <v>0.1</v>
      </c>
    </row>
    <row r="250" spans="1:6">
      <c r="A250" s="385" t="s">
        <v>288</v>
      </c>
      <c r="B250" s="389" t="s">
        <v>2485</v>
      </c>
      <c r="C250" s="390">
        <v>0.15</v>
      </c>
      <c r="D250" s="390">
        <v>0.15</v>
      </c>
      <c r="E250" s="390">
        <v>0.15</v>
      </c>
      <c r="F250" s="391">
        <v>0.14399999999999999</v>
      </c>
    </row>
    <row r="251" spans="1:6">
      <c r="A251" s="385" t="s">
        <v>288</v>
      </c>
      <c r="B251" s="389" t="s">
        <v>2496</v>
      </c>
      <c r="C251" s="390">
        <v>0.15</v>
      </c>
      <c r="D251" s="390">
        <v>0.15</v>
      </c>
      <c r="E251" s="390">
        <v>0.15</v>
      </c>
      <c r="F251" s="391">
        <v>0.14299999999999999</v>
      </c>
    </row>
    <row r="252" spans="1:6">
      <c r="A252" s="385" t="s">
        <v>288</v>
      </c>
      <c r="B252" s="389" t="s">
        <v>2507</v>
      </c>
      <c r="C252" s="390">
        <v>0.15</v>
      </c>
      <c r="D252" s="390">
        <v>0.15</v>
      </c>
      <c r="E252" s="390">
        <v>0.15</v>
      </c>
      <c r="F252" s="391">
        <v>0.1</v>
      </c>
    </row>
    <row r="253" spans="1:6">
      <c r="A253" s="385" t="s">
        <v>288</v>
      </c>
      <c r="B253" s="389" t="s">
        <v>2517</v>
      </c>
      <c r="C253" s="390">
        <v>0.15</v>
      </c>
      <c r="D253" s="390">
        <v>0.15</v>
      </c>
      <c r="E253" s="390">
        <v>0.15</v>
      </c>
      <c r="F253" s="391">
        <v>0.1</v>
      </c>
    </row>
    <row r="254" spans="1:6">
      <c r="A254" s="385" t="s">
        <v>288</v>
      </c>
      <c r="B254" s="389" t="s">
        <v>2527</v>
      </c>
      <c r="C254" s="399"/>
      <c r="D254" s="399"/>
      <c r="E254" s="399"/>
      <c r="F254" s="391">
        <v>0.15</v>
      </c>
    </row>
    <row r="255" spans="1:6">
      <c r="A255" s="385" t="s">
        <v>288</v>
      </c>
      <c r="B255" s="389" t="s">
        <v>2537</v>
      </c>
      <c r="C255" s="399"/>
      <c r="D255" s="399"/>
      <c r="E255" s="399"/>
      <c r="F255" s="391">
        <v>0.14299999999999999</v>
      </c>
    </row>
    <row r="256" spans="1:6">
      <c r="A256" s="385" t="s">
        <v>288</v>
      </c>
      <c r="B256" s="389" t="s">
        <v>2547</v>
      </c>
      <c r="C256" s="390">
        <v>0.14599999999999999</v>
      </c>
      <c r="D256" s="390">
        <v>0.14699999999999999</v>
      </c>
      <c r="E256" s="390">
        <v>0.15</v>
      </c>
      <c r="F256" s="391">
        <v>0.13200000000000001</v>
      </c>
    </row>
    <row r="257" spans="1:6">
      <c r="A257" s="385" t="s">
        <v>288</v>
      </c>
      <c r="B257" s="389" t="s">
        <v>2556</v>
      </c>
      <c r="C257" s="390">
        <v>0.15</v>
      </c>
      <c r="D257" s="390">
        <v>0.15</v>
      </c>
      <c r="E257" s="390">
        <v>0.15</v>
      </c>
      <c r="F257" s="391">
        <v>0.13900000000000001</v>
      </c>
    </row>
    <row r="258" spans="1:6">
      <c r="A258" s="385" t="s">
        <v>288</v>
      </c>
      <c r="B258" s="389" t="s">
        <v>2566</v>
      </c>
      <c r="C258" s="390">
        <v>0.15</v>
      </c>
      <c r="D258" s="390">
        <v>0.15</v>
      </c>
      <c r="E258" s="390">
        <v>0.15</v>
      </c>
      <c r="F258" s="391">
        <v>0.13</v>
      </c>
    </row>
    <row r="259" spans="1:6">
      <c r="A259" s="385" t="s">
        <v>288</v>
      </c>
      <c r="B259" s="389" t="s">
        <v>2575</v>
      </c>
      <c r="C259" s="390">
        <v>0.14799999999999999</v>
      </c>
      <c r="D259" s="390">
        <v>0.14899999999999999</v>
      </c>
      <c r="E259" s="390">
        <v>0.15</v>
      </c>
      <c r="F259" s="391">
        <v>0.13700000000000001</v>
      </c>
    </row>
    <row r="260" spans="1:6">
      <c r="A260" s="385" t="s">
        <v>288</v>
      </c>
      <c r="B260" s="389" t="s">
        <v>2585</v>
      </c>
      <c r="C260" s="390">
        <v>0.15</v>
      </c>
      <c r="D260" s="390">
        <v>0.15</v>
      </c>
      <c r="E260" s="390">
        <v>0.15</v>
      </c>
      <c r="F260" s="391">
        <v>0.14199999999999999</v>
      </c>
    </row>
    <row r="261" spans="1:6">
      <c r="A261" s="385" t="s">
        <v>288</v>
      </c>
      <c r="B261" s="389" t="s">
        <v>2595</v>
      </c>
      <c r="C261" s="390">
        <v>0.15</v>
      </c>
      <c r="D261" s="390">
        <v>0.15</v>
      </c>
      <c r="E261" s="390">
        <v>0.14899999999999999</v>
      </c>
      <c r="F261" s="391">
        <v>0.14799999999999999</v>
      </c>
    </row>
    <row r="262" spans="1:6">
      <c r="A262" s="385" t="s">
        <v>288</v>
      </c>
      <c r="B262" s="389" t="s">
        <v>2605</v>
      </c>
      <c r="C262" s="390">
        <v>0.15</v>
      </c>
      <c r="D262" s="390">
        <v>0.15</v>
      </c>
      <c r="E262" s="390">
        <v>0.15</v>
      </c>
      <c r="F262" s="398"/>
    </row>
    <row r="263" spans="1:6">
      <c r="A263" s="385" t="s">
        <v>288</v>
      </c>
      <c r="B263" s="389" t="s">
        <v>2615</v>
      </c>
      <c r="C263" s="390">
        <v>0.14899999999999999</v>
      </c>
      <c r="D263" s="390">
        <v>0.14899999999999999</v>
      </c>
      <c r="E263" s="390">
        <v>0.15</v>
      </c>
      <c r="F263" s="391">
        <v>0.13</v>
      </c>
    </row>
    <row r="264" spans="1:6">
      <c r="A264" s="385" t="s">
        <v>288</v>
      </c>
      <c r="B264" s="389" t="s">
        <v>2624</v>
      </c>
      <c r="C264" s="390">
        <v>0.14799999999999999</v>
      </c>
      <c r="D264" s="390">
        <v>0.14699999999999999</v>
      </c>
      <c r="E264" s="390">
        <v>0.15</v>
      </c>
      <c r="F264" s="391">
        <v>7.8E-2</v>
      </c>
    </row>
    <row r="265" spans="1:6">
      <c r="A265" s="385" t="s">
        <v>288</v>
      </c>
      <c r="B265" s="389" t="s">
        <v>2632</v>
      </c>
      <c r="C265" s="390">
        <v>0.15</v>
      </c>
      <c r="D265" s="390">
        <v>0.15</v>
      </c>
      <c r="E265" s="390">
        <v>0.15</v>
      </c>
      <c r="F265" s="391">
        <v>7.3999999999999996E-2</v>
      </c>
    </row>
    <row r="266" spans="1:6">
      <c r="A266" s="385" t="s">
        <v>288</v>
      </c>
      <c r="B266" s="389" t="s">
        <v>2640</v>
      </c>
      <c r="C266" s="390">
        <v>0.14699999999999999</v>
      </c>
      <c r="D266" s="390">
        <v>0.14699999999999999</v>
      </c>
      <c r="E266" s="390">
        <v>0.15</v>
      </c>
      <c r="F266" s="391">
        <v>0.14299999999999999</v>
      </c>
    </row>
    <row r="267" spans="1:6">
      <c r="A267" s="385" t="s">
        <v>288</v>
      </c>
      <c r="B267" s="389" t="s">
        <v>2647</v>
      </c>
      <c r="C267" s="390">
        <v>0.14199999999999999</v>
      </c>
      <c r="D267" s="390">
        <v>0.14299999999999999</v>
      </c>
      <c r="E267" s="390">
        <v>0.15</v>
      </c>
      <c r="F267" s="398"/>
    </row>
    <row r="268" spans="1:6">
      <c r="A268" s="385" t="s">
        <v>288</v>
      </c>
      <c r="B268" s="389" t="s">
        <v>2654</v>
      </c>
      <c r="C268" s="390">
        <v>0.15</v>
      </c>
      <c r="D268" s="390">
        <v>0.15</v>
      </c>
      <c r="E268" s="390">
        <v>0.15</v>
      </c>
      <c r="F268" s="391">
        <v>0.13</v>
      </c>
    </row>
    <row r="269" spans="1:6">
      <c r="A269" s="385" t="s">
        <v>288</v>
      </c>
      <c r="B269" s="389" t="s">
        <v>2661</v>
      </c>
      <c r="C269" s="390">
        <v>0.15</v>
      </c>
      <c r="D269" s="390">
        <v>0.15</v>
      </c>
      <c r="E269" s="390">
        <v>0.15</v>
      </c>
      <c r="F269" s="391">
        <v>0.14299999999999999</v>
      </c>
    </row>
    <row r="270" spans="1:6">
      <c r="A270" s="385" t="s">
        <v>288</v>
      </c>
      <c r="B270" s="389" t="s">
        <v>2668</v>
      </c>
      <c r="C270" s="390">
        <v>0.14499999999999999</v>
      </c>
      <c r="D270" s="390">
        <v>0.14499999999999999</v>
      </c>
      <c r="E270" s="390">
        <v>0.15</v>
      </c>
      <c r="F270" s="391">
        <v>0.14699999999999999</v>
      </c>
    </row>
    <row r="271" spans="1:6">
      <c r="A271" s="385" t="s">
        <v>288</v>
      </c>
      <c r="B271" s="389" t="s">
        <v>2675</v>
      </c>
      <c r="C271" s="390">
        <v>0.15</v>
      </c>
      <c r="D271" s="390">
        <v>0.15</v>
      </c>
      <c r="E271" s="390">
        <v>0.15</v>
      </c>
      <c r="F271" s="391">
        <v>0.13800000000000001</v>
      </c>
    </row>
    <row r="272" spans="1:6">
      <c r="A272" s="385" t="s">
        <v>288</v>
      </c>
      <c r="B272" s="389" t="s">
        <v>2680</v>
      </c>
      <c r="C272" s="399"/>
      <c r="D272" s="399"/>
      <c r="E272" s="399"/>
      <c r="F272" s="391">
        <v>0.14000000000000001</v>
      </c>
    </row>
    <row r="273" spans="1:6">
      <c r="A273" s="385" t="s">
        <v>288</v>
      </c>
      <c r="B273" s="389" t="s">
        <v>2685</v>
      </c>
      <c r="C273" s="390">
        <v>0.14199999999999999</v>
      </c>
      <c r="D273" s="390">
        <v>0.14299999999999999</v>
      </c>
      <c r="E273" s="390">
        <v>0.15</v>
      </c>
      <c r="F273" s="391">
        <v>0.1</v>
      </c>
    </row>
    <row r="274" spans="1:6">
      <c r="A274" s="385" t="s">
        <v>288</v>
      </c>
      <c r="B274" s="389" t="s">
        <v>2690</v>
      </c>
      <c r="C274" s="390">
        <v>0.14799999999999999</v>
      </c>
      <c r="D274" s="390">
        <v>0.14799999999999999</v>
      </c>
      <c r="E274" s="390">
        <v>0.15</v>
      </c>
      <c r="F274" s="391">
        <v>6.7000000000000004E-2</v>
      </c>
    </row>
    <row r="275" spans="1:6">
      <c r="A275" s="385" t="s">
        <v>288</v>
      </c>
      <c r="B275" s="389" t="s">
        <v>2695</v>
      </c>
      <c r="C275" s="390">
        <v>0.15</v>
      </c>
      <c r="D275" s="390">
        <v>0.15</v>
      </c>
      <c r="E275" s="390">
        <v>0.15</v>
      </c>
      <c r="F275" s="391">
        <v>0.15</v>
      </c>
    </row>
    <row r="276" spans="1:6">
      <c r="A276" s="385" t="s">
        <v>288</v>
      </c>
      <c r="B276" s="389" t="s">
        <v>2700</v>
      </c>
      <c r="C276" s="390">
        <v>0.14499999999999999</v>
      </c>
      <c r="D276" s="390">
        <v>0.14299999999999999</v>
      </c>
      <c r="E276" s="390">
        <v>0.15</v>
      </c>
      <c r="F276" s="391">
        <v>5.8999999999999997E-2</v>
      </c>
    </row>
    <row r="277" spans="1:6">
      <c r="A277" s="385" t="s">
        <v>288</v>
      </c>
      <c r="B277" s="389" t="s">
        <v>2705</v>
      </c>
      <c r="C277" s="390">
        <v>0.15</v>
      </c>
      <c r="D277" s="390">
        <v>0.15</v>
      </c>
      <c r="E277" s="390">
        <v>0.15</v>
      </c>
      <c r="F277" s="391">
        <v>0.121</v>
      </c>
    </row>
    <row r="278" spans="1:6">
      <c r="A278" s="385" t="s">
        <v>288</v>
      </c>
      <c r="B278" s="389" t="s">
        <v>2710</v>
      </c>
      <c r="C278" s="390">
        <v>0.15</v>
      </c>
      <c r="D278" s="390">
        <v>0.15</v>
      </c>
      <c r="E278" s="390">
        <v>0.15</v>
      </c>
      <c r="F278" s="391">
        <v>0.13800000000000001</v>
      </c>
    </row>
    <row r="279" spans="1:6" ht="24">
      <c r="A279" s="385" t="s">
        <v>288</v>
      </c>
      <c r="B279" s="389" t="s">
        <v>2714</v>
      </c>
      <c r="C279" s="399"/>
      <c r="D279" s="399"/>
      <c r="E279" s="399"/>
      <c r="F279" s="391">
        <v>0.05</v>
      </c>
    </row>
    <row r="280" spans="1:6" ht="24">
      <c r="A280" s="385" t="s">
        <v>288</v>
      </c>
      <c r="B280" s="389" t="s">
        <v>2718</v>
      </c>
      <c r="C280" s="399"/>
      <c r="D280" s="399"/>
      <c r="E280" s="399"/>
      <c r="F280" s="391">
        <v>0.05</v>
      </c>
    </row>
    <row r="281" spans="1:6" ht="24">
      <c r="A281" s="385" t="s">
        <v>288</v>
      </c>
      <c r="B281" s="389" t="s">
        <v>2722</v>
      </c>
      <c r="C281" s="399"/>
      <c r="D281" s="399"/>
      <c r="E281" s="399"/>
      <c r="F281" s="391">
        <v>0.05</v>
      </c>
    </row>
    <row r="282" spans="1:6" ht="24">
      <c r="A282" s="385" t="s">
        <v>288</v>
      </c>
      <c r="B282" s="389" t="s">
        <v>2726</v>
      </c>
      <c r="C282" s="399"/>
      <c r="D282" s="399"/>
      <c r="E282" s="399"/>
      <c r="F282" s="391">
        <v>0.05</v>
      </c>
    </row>
    <row r="283" spans="1:6" ht="24">
      <c r="A283" s="385" t="s">
        <v>288</v>
      </c>
      <c r="B283" s="389" t="s">
        <v>2730</v>
      </c>
      <c r="C283" s="399"/>
      <c r="D283" s="399"/>
      <c r="E283" s="399"/>
      <c r="F283" s="391">
        <v>0.05</v>
      </c>
    </row>
    <row r="284" spans="1:6" ht="24">
      <c r="A284" s="385" t="s">
        <v>288</v>
      </c>
      <c r="B284" s="389" t="s">
        <v>2733</v>
      </c>
      <c r="C284" s="399"/>
      <c r="D284" s="399"/>
      <c r="E284" s="399"/>
      <c r="F284" s="391">
        <v>0.05</v>
      </c>
    </row>
    <row r="285" spans="1:6" ht="24">
      <c r="A285" s="385" t="s">
        <v>288</v>
      </c>
      <c r="B285" s="389" t="s">
        <v>2736</v>
      </c>
      <c r="C285" s="399"/>
      <c r="D285" s="399"/>
      <c r="E285" s="399"/>
      <c r="F285" s="391">
        <v>0.05</v>
      </c>
    </row>
    <row r="286" spans="1:6" ht="24">
      <c r="A286" s="385" t="s">
        <v>288</v>
      </c>
      <c r="B286" s="389" t="s">
        <v>2739</v>
      </c>
      <c r="C286" s="399"/>
      <c r="D286" s="399"/>
      <c r="E286" s="399"/>
      <c r="F286" s="391">
        <v>0.05</v>
      </c>
    </row>
    <row r="287" spans="1:6" ht="24">
      <c r="A287" s="385" t="s">
        <v>288</v>
      </c>
      <c r="B287" s="389" t="s">
        <v>2742</v>
      </c>
      <c r="C287" s="399"/>
      <c r="D287" s="399"/>
      <c r="E287" s="399"/>
      <c r="F287" s="391">
        <v>0.05</v>
      </c>
    </row>
    <row r="288" spans="1:6" ht="24">
      <c r="A288" s="385" t="s">
        <v>288</v>
      </c>
      <c r="B288" s="389" t="s">
        <v>2745</v>
      </c>
      <c r="C288" s="399"/>
      <c r="D288" s="399"/>
      <c r="E288" s="399"/>
      <c r="F288" s="391">
        <v>0.05</v>
      </c>
    </row>
    <row r="289" spans="1:6" ht="24">
      <c r="A289" s="393" t="s">
        <v>288</v>
      </c>
      <c r="B289" s="400" t="s">
        <v>2748</v>
      </c>
      <c r="C289" s="396"/>
      <c r="D289" s="396"/>
      <c r="E289" s="396"/>
      <c r="F289" s="401">
        <v>0.05</v>
      </c>
    </row>
    <row r="290" spans="1:6">
      <c r="A290" s="385" t="s">
        <v>291</v>
      </c>
      <c r="B290" s="386" t="s">
        <v>2424</v>
      </c>
      <c r="C290" s="387">
        <v>0.15</v>
      </c>
      <c r="D290" s="387">
        <v>0.15</v>
      </c>
      <c r="E290" s="387">
        <v>0.15</v>
      </c>
      <c r="F290" s="409"/>
    </row>
    <row r="291" spans="1:6">
      <c r="A291" s="385" t="s">
        <v>291</v>
      </c>
      <c r="B291" s="389" t="s">
        <v>2437</v>
      </c>
      <c r="C291" s="390">
        <v>0.15</v>
      </c>
      <c r="D291" s="390">
        <v>0.15</v>
      </c>
      <c r="E291" s="390">
        <v>0.15</v>
      </c>
      <c r="F291" s="398"/>
    </row>
    <row r="292" spans="1:6">
      <c r="A292" s="385" t="s">
        <v>291</v>
      </c>
      <c r="B292" s="389" t="s">
        <v>2451</v>
      </c>
      <c r="C292" s="390">
        <v>0.15</v>
      </c>
      <c r="D292" s="390">
        <v>0.15</v>
      </c>
      <c r="E292" s="390">
        <v>0.15</v>
      </c>
      <c r="F292" s="391">
        <v>0.14699999999999999</v>
      </c>
    </row>
    <row r="293" spans="1:6">
      <c r="A293" s="385" t="s">
        <v>291</v>
      </c>
      <c r="B293" s="389" t="s">
        <v>2755</v>
      </c>
      <c r="C293" s="399"/>
      <c r="D293" s="399"/>
      <c r="E293" s="399"/>
      <c r="F293" s="391">
        <v>0.1</v>
      </c>
    </row>
    <row r="294" spans="1:6">
      <c r="A294" s="385" t="s">
        <v>291</v>
      </c>
      <c r="B294" s="389" t="s">
        <v>2463</v>
      </c>
      <c r="C294" s="390">
        <v>0.15</v>
      </c>
      <c r="D294" s="390">
        <v>0.15</v>
      </c>
      <c r="E294" s="390">
        <v>0.15</v>
      </c>
      <c r="F294" s="391">
        <v>0.15</v>
      </c>
    </row>
    <row r="295" spans="1:6">
      <c r="A295" s="385" t="s">
        <v>291</v>
      </c>
      <c r="B295" s="389" t="s">
        <v>2475</v>
      </c>
      <c r="C295" s="390">
        <v>0.15</v>
      </c>
      <c r="D295" s="390">
        <v>0.15</v>
      </c>
      <c r="E295" s="390">
        <v>0.15</v>
      </c>
      <c r="F295" s="391">
        <v>0.15</v>
      </c>
    </row>
    <row r="296" spans="1:6">
      <c r="A296" s="385" t="s">
        <v>291</v>
      </c>
      <c r="B296" s="389" t="s">
        <v>2486</v>
      </c>
      <c r="C296" s="390">
        <v>0.15</v>
      </c>
      <c r="D296" s="390">
        <v>0.15</v>
      </c>
      <c r="E296" s="390">
        <v>0.15</v>
      </c>
      <c r="F296" s="391">
        <v>0.15</v>
      </c>
    </row>
    <row r="297" spans="1:6">
      <c r="A297" s="385" t="s">
        <v>291</v>
      </c>
      <c r="B297" s="389" t="s">
        <v>2497</v>
      </c>
      <c r="C297" s="390">
        <v>0.14799999999999999</v>
      </c>
      <c r="D297" s="390">
        <v>0.14899999999999999</v>
      </c>
      <c r="E297" s="390">
        <v>0.15</v>
      </c>
      <c r="F297" s="391">
        <v>0.13700000000000001</v>
      </c>
    </row>
    <row r="298" spans="1:6">
      <c r="A298" s="385" t="s">
        <v>291</v>
      </c>
      <c r="B298" s="389" t="s">
        <v>2508</v>
      </c>
      <c r="C298" s="390">
        <v>0.13400000000000001</v>
      </c>
      <c r="D298" s="390">
        <v>0.13400000000000001</v>
      </c>
      <c r="E298" s="390">
        <v>0.14499999999999999</v>
      </c>
      <c r="F298" s="391">
        <v>0.14799999999999999</v>
      </c>
    </row>
    <row r="299" spans="1:6">
      <c r="A299" s="385" t="s">
        <v>291</v>
      </c>
      <c r="B299" s="389" t="s">
        <v>2518</v>
      </c>
      <c r="C299" s="390">
        <v>0.15</v>
      </c>
      <c r="D299" s="390">
        <v>0.15</v>
      </c>
      <c r="E299" s="390">
        <v>0.15</v>
      </c>
      <c r="F299" s="398"/>
    </row>
    <row r="300" spans="1:6">
      <c r="A300" s="385" t="s">
        <v>291</v>
      </c>
      <c r="B300" s="389" t="s">
        <v>2528</v>
      </c>
      <c r="C300" s="390">
        <v>0.15</v>
      </c>
      <c r="D300" s="390">
        <v>0.15</v>
      </c>
      <c r="E300" s="390">
        <v>0.15</v>
      </c>
      <c r="F300" s="391">
        <v>0.15</v>
      </c>
    </row>
    <row r="301" spans="1:6">
      <c r="A301" s="385" t="s">
        <v>291</v>
      </c>
      <c r="B301" s="389" t="s">
        <v>2538</v>
      </c>
      <c r="C301" s="390">
        <v>0.15</v>
      </c>
      <c r="D301" s="390">
        <v>0.15</v>
      </c>
      <c r="E301" s="390">
        <v>0.15</v>
      </c>
      <c r="F301" s="398"/>
    </row>
    <row r="302" spans="1:6">
      <c r="A302" s="385" t="s">
        <v>291</v>
      </c>
      <c r="B302" s="389" t="s">
        <v>2548</v>
      </c>
      <c r="C302" s="390">
        <v>0.15</v>
      </c>
      <c r="D302" s="390">
        <v>0.15</v>
      </c>
      <c r="E302" s="390">
        <v>0.15</v>
      </c>
      <c r="F302" s="391">
        <v>0.15</v>
      </c>
    </row>
    <row r="303" spans="1:6">
      <c r="A303" s="385" t="s">
        <v>291</v>
      </c>
      <c r="B303" s="389" t="s">
        <v>2557</v>
      </c>
      <c r="C303" s="390">
        <v>0.15</v>
      </c>
      <c r="D303" s="390">
        <v>0.15</v>
      </c>
      <c r="E303" s="390">
        <v>0.15</v>
      </c>
      <c r="F303" s="391">
        <v>0.15</v>
      </c>
    </row>
    <row r="304" spans="1:6">
      <c r="A304" s="385" t="s">
        <v>291</v>
      </c>
      <c r="B304" s="389" t="s">
        <v>2567</v>
      </c>
      <c r="C304" s="390">
        <v>0.15</v>
      </c>
      <c r="D304" s="390">
        <v>0.15</v>
      </c>
      <c r="E304" s="390">
        <v>0.15</v>
      </c>
      <c r="F304" s="398"/>
    </row>
    <row r="305" spans="1:6">
      <c r="A305" s="385" t="s">
        <v>291</v>
      </c>
      <c r="B305" s="389" t="s">
        <v>2576</v>
      </c>
      <c r="C305" s="390">
        <v>0.15</v>
      </c>
      <c r="D305" s="390">
        <v>0.15</v>
      </c>
      <c r="E305" s="390">
        <v>0.15</v>
      </c>
      <c r="F305" s="391">
        <v>0.14000000000000001</v>
      </c>
    </row>
    <row r="306" spans="1:6">
      <c r="A306" s="385" t="s">
        <v>291</v>
      </c>
      <c r="B306" s="389" t="s">
        <v>2586</v>
      </c>
      <c r="C306" s="390">
        <v>0.15</v>
      </c>
      <c r="D306" s="390">
        <v>0.15</v>
      </c>
      <c r="E306" s="390">
        <v>0.15</v>
      </c>
      <c r="F306" s="398"/>
    </row>
    <row r="307" spans="1:6">
      <c r="A307" s="385" t="s">
        <v>291</v>
      </c>
      <c r="B307" s="389" t="s">
        <v>2596</v>
      </c>
      <c r="C307" s="390">
        <v>0.15</v>
      </c>
      <c r="D307" s="390">
        <v>0.15</v>
      </c>
      <c r="E307" s="390">
        <v>0.15</v>
      </c>
      <c r="F307" s="391">
        <v>0.14299999999999999</v>
      </c>
    </row>
    <row r="308" spans="1:6">
      <c r="A308" s="385" t="s">
        <v>291</v>
      </c>
      <c r="B308" s="389" t="s">
        <v>2606</v>
      </c>
      <c r="C308" s="390">
        <v>0.15</v>
      </c>
      <c r="D308" s="390">
        <v>0.15</v>
      </c>
      <c r="E308" s="390">
        <v>0.15</v>
      </c>
      <c r="F308" s="391">
        <v>0.15</v>
      </c>
    </row>
    <row r="309" spans="1:6">
      <c r="A309" s="385" t="s">
        <v>291</v>
      </c>
      <c r="B309" s="389" t="s">
        <v>2616</v>
      </c>
      <c r="C309" s="390">
        <v>0.15</v>
      </c>
      <c r="D309" s="390">
        <v>0.15</v>
      </c>
      <c r="E309" s="390">
        <v>0.15</v>
      </c>
      <c r="F309" s="398"/>
    </row>
    <row r="310" spans="1:6">
      <c r="A310" s="385" t="s">
        <v>291</v>
      </c>
      <c r="B310" s="389" t="s">
        <v>2625</v>
      </c>
      <c r="C310" s="390">
        <v>0.15</v>
      </c>
      <c r="D310" s="390">
        <v>0.15</v>
      </c>
      <c r="E310" s="390">
        <v>0.15</v>
      </c>
      <c r="F310" s="391">
        <v>0.13700000000000001</v>
      </c>
    </row>
    <row r="311" spans="1:6">
      <c r="A311" s="385" t="s">
        <v>291</v>
      </c>
      <c r="B311" s="389" t="s">
        <v>2633</v>
      </c>
      <c r="C311" s="390">
        <v>0.15</v>
      </c>
      <c r="D311" s="390">
        <v>0.15</v>
      </c>
      <c r="E311" s="390">
        <v>0.15</v>
      </c>
      <c r="F311" s="391">
        <v>0.15</v>
      </c>
    </row>
    <row r="312" spans="1:6">
      <c r="A312" s="385" t="s">
        <v>291</v>
      </c>
      <c r="B312" s="389" t="s">
        <v>2641</v>
      </c>
      <c r="C312" s="390">
        <v>0.15</v>
      </c>
      <c r="D312" s="390">
        <v>0.15</v>
      </c>
      <c r="E312" s="390">
        <v>0.15</v>
      </c>
      <c r="F312" s="391">
        <v>0.1</v>
      </c>
    </row>
    <row r="313" spans="1:6">
      <c r="A313" s="385" t="s">
        <v>291</v>
      </c>
      <c r="B313" s="389" t="s">
        <v>2648</v>
      </c>
      <c r="C313" s="390">
        <v>0.15</v>
      </c>
      <c r="D313" s="390">
        <v>0.15</v>
      </c>
      <c r="E313" s="390">
        <v>0.15</v>
      </c>
      <c r="F313" s="391">
        <v>0.15</v>
      </c>
    </row>
    <row r="314" spans="1:6" ht="24">
      <c r="A314" s="385" t="s">
        <v>291</v>
      </c>
      <c r="B314" s="389" t="s">
        <v>2655</v>
      </c>
      <c r="C314" s="399"/>
      <c r="D314" s="399"/>
      <c r="E314" s="399"/>
      <c r="F314" s="391">
        <v>0.05</v>
      </c>
    </row>
    <row r="315" spans="1:6" ht="24">
      <c r="A315" s="385" t="s">
        <v>291</v>
      </c>
      <c r="B315" s="389" t="s">
        <v>2662</v>
      </c>
      <c r="C315" s="399"/>
      <c r="D315" s="399"/>
      <c r="E315" s="399"/>
      <c r="F315" s="391">
        <v>0.05</v>
      </c>
    </row>
    <row r="316" spans="1:6" ht="24">
      <c r="A316" s="393" t="s">
        <v>291</v>
      </c>
      <c r="B316" s="400" t="s">
        <v>2669</v>
      </c>
      <c r="C316" s="396"/>
      <c r="D316" s="396"/>
      <c r="E316" s="396"/>
      <c r="F316" s="401">
        <v>0.05</v>
      </c>
    </row>
    <row r="317" spans="1:6">
      <c r="A317" s="385" t="s">
        <v>294</v>
      </c>
      <c r="B317" s="386" t="s">
        <v>2425</v>
      </c>
      <c r="C317" s="387">
        <v>0.15</v>
      </c>
      <c r="D317" s="387">
        <v>0.15</v>
      </c>
      <c r="E317" s="387">
        <v>0.15</v>
      </c>
      <c r="F317" s="388">
        <v>0.15</v>
      </c>
    </row>
    <row r="318" spans="1:6">
      <c r="A318" s="385" t="s">
        <v>294</v>
      </c>
      <c r="B318" s="389" t="s">
        <v>2438</v>
      </c>
      <c r="C318" s="390">
        <v>0.107</v>
      </c>
      <c r="D318" s="390">
        <v>0.11</v>
      </c>
      <c r="E318" s="390">
        <v>0.112</v>
      </c>
      <c r="F318" s="398"/>
    </row>
    <row r="319" spans="1:6">
      <c r="A319" s="385" t="s">
        <v>294</v>
      </c>
      <c r="B319" s="389" t="s">
        <v>2452</v>
      </c>
      <c r="C319" s="390">
        <v>0.15</v>
      </c>
      <c r="D319" s="390">
        <v>0.15</v>
      </c>
      <c r="E319" s="390">
        <v>0.15</v>
      </c>
      <c r="F319" s="391">
        <v>0.15</v>
      </c>
    </row>
    <row r="320" spans="1:6">
      <c r="A320" s="385" t="s">
        <v>294</v>
      </c>
      <c r="B320" s="389" t="s">
        <v>2464</v>
      </c>
      <c r="C320" s="390">
        <v>0.15</v>
      </c>
      <c r="D320" s="390">
        <v>0.15</v>
      </c>
      <c r="E320" s="390">
        <v>0.15</v>
      </c>
      <c r="F320" s="398"/>
    </row>
    <row r="321" spans="1:6">
      <c r="A321" s="385" t="s">
        <v>294</v>
      </c>
      <c r="B321" s="389" t="s">
        <v>2476</v>
      </c>
      <c r="C321" s="390">
        <v>0.15</v>
      </c>
      <c r="D321" s="390">
        <v>0.15</v>
      </c>
      <c r="E321" s="390">
        <v>0.15</v>
      </c>
      <c r="F321" s="398"/>
    </row>
    <row r="322" spans="1:6">
      <c r="A322" s="385" t="s">
        <v>294</v>
      </c>
      <c r="B322" s="389" t="s">
        <v>2487</v>
      </c>
      <c r="C322" s="390">
        <v>0.15</v>
      </c>
      <c r="D322" s="390">
        <v>0.15</v>
      </c>
      <c r="E322" s="390">
        <v>0.15</v>
      </c>
      <c r="F322" s="391">
        <v>0.15</v>
      </c>
    </row>
    <row r="323" spans="1:6">
      <c r="A323" s="385" t="s">
        <v>294</v>
      </c>
      <c r="B323" s="389" t="s">
        <v>2498</v>
      </c>
      <c r="C323" s="390">
        <v>0.15</v>
      </c>
      <c r="D323" s="390">
        <v>0.15</v>
      </c>
      <c r="E323" s="390">
        <v>0.15</v>
      </c>
      <c r="F323" s="398"/>
    </row>
    <row r="324" spans="1:6">
      <c r="A324" s="385" t="s">
        <v>294</v>
      </c>
      <c r="B324" s="389" t="s">
        <v>2509</v>
      </c>
      <c r="C324" s="390">
        <v>0.15</v>
      </c>
      <c r="D324" s="390">
        <v>0.15</v>
      </c>
      <c r="E324" s="390">
        <v>0.15</v>
      </c>
      <c r="F324" s="398"/>
    </row>
    <row r="325" spans="1:6">
      <c r="A325" s="385" t="s">
        <v>294</v>
      </c>
      <c r="B325" s="389" t="s">
        <v>2519</v>
      </c>
      <c r="C325" s="390">
        <v>0.15</v>
      </c>
      <c r="D325" s="390">
        <v>0.15</v>
      </c>
      <c r="E325" s="390">
        <v>0.15</v>
      </c>
      <c r="F325" s="391">
        <v>0.14699999999999999</v>
      </c>
    </row>
    <row r="326" spans="1:6">
      <c r="A326" s="385" t="s">
        <v>294</v>
      </c>
      <c r="B326" s="389" t="s">
        <v>2529</v>
      </c>
      <c r="C326" s="390">
        <v>0.15</v>
      </c>
      <c r="D326" s="390">
        <v>0.15</v>
      </c>
      <c r="E326" s="390">
        <v>0.15</v>
      </c>
      <c r="F326" s="398"/>
    </row>
    <row r="327" spans="1:6">
      <c r="A327" s="385" t="s">
        <v>294</v>
      </c>
      <c r="B327" s="389" t="s">
        <v>2539</v>
      </c>
      <c r="C327" s="390">
        <v>0.15</v>
      </c>
      <c r="D327" s="390">
        <v>0.15</v>
      </c>
      <c r="E327" s="390">
        <v>0.15</v>
      </c>
      <c r="F327" s="391">
        <v>0.15</v>
      </c>
    </row>
    <row r="328" spans="1:6">
      <c r="A328" s="385" t="s">
        <v>294</v>
      </c>
      <c r="B328" s="389" t="s">
        <v>2549</v>
      </c>
      <c r="C328" s="390">
        <v>0.15</v>
      </c>
      <c r="D328" s="390">
        <v>0.15</v>
      </c>
      <c r="E328" s="390">
        <v>0.15</v>
      </c>
      <c r="F328" s="391">
        <v>0.14099999999999999</v>
      </c>
    </row>
    <row r="329" spans="1:6">
      <c r="A329" s="385" t="s">
        <v>294</v>
      </c>
      <c r="B329" s="389" t="s">
        <v>2558</v>
      </c>
      <c r="C329" s="390">
        <v>0.15</v>
      </c>
      <c r="D329" s="390">
        <v>0.15</v>
      </c>
      <c r="E329" s="390">
        <v>0.15</v>
      </c>
      <c r="F329" s="391">
        <v>0.15</v>
      </c>
    </row>
    <row r="330" spans="1:6">
      <c r="A330" s="385" t="s">
        <v>294</v>
      </c>
      <c r="B330" s="389" t="s">
        <v>2568</v>
      </c>
      <c r="C330" s="390">
        <v>0.15</v>
      </c>
      <c r="D330" s="390">
        <v>0.15</v>
      </c>
      <c r="E330" s="390">
        <v>0.15</v>
      </c>
      <c r="F330" s="398"/>
    </row>
    <row r="331" spans="1:6">
      <c r="A331" s="385" t="s">
        <v>294</v>
      </c>
      <c r="B331" s="389" t="s">
        <v>2577</v>
      </c>
      <c r="C331" s="390">
        <v>0.15</v>
      </c>
      <c r="D331" s="390">
        <v>0.15</v>
      </c>
      <c r="E331" s="390">
        <v>0.15</v>
      </c>
      <c r="F331" s="391">
        <v>0.15</v>
      </c>
    </row>
    <row r="332" spans="1:6">
      <c r="A332" s="385" t="s">
        <v>294</v>
      </c>
      <c r="B332" s="389" t="s">
        <v>2587</v>
      </c>
      <c r="C332" s="390">
        <v>0.15</v>
      </c>
      <c r="D332" s="390">
        <v>0.15</v>
      </c>
      <c r="E332" s="390">
        <v>0.15</v>
      </c>
      <c r="F332" s="391">
        <v>0.15</v>
      </c>
    </row>
    <row r="333" spans="1:6">
      <c r="A333" s="385" t="s">
        <v>294</v>
      </c>
      <c r="B333" s="389" t="s">
        <v>2597</v>
      </c>
      <c r="C333" s="390">
        <v>0.15</v>
      </c>
      <c r="D333" s="390">
        <v>0.15</v>
      </c>
      <c r="E333" s="390">
        <v>0.15</v>
      </c>
      <c r="F333" s="391">
        <v>0.14099999999999999</v>
      </c>
    </row>
    <row r="334" spans="1:6">
      <c r="A334" s="385" t="s">
        <v>294</v>
      </c>
      <c r="B334" s="389" t="s">
        <v>2607</v>
      </c>
      <c r="C334" s="390">
        <v>0.15</v>
      </c>
      <c r="D334" s="390">
        <v>0.15</v>
      </c>
      <c r="E334" s="390">
        <v>0.15</v>
      </c>
      <c r="F334" s="391">
        <v>0.15</v>
      </c>
    </row>
    <row r="335" spans="1:6">
      <c r="A335" s="385" t="s">
        <v>294</v>
      </c>
      <c r="B335" s="389" t="s">
        <v>2617</v>
      </c>
      <c r="C335" s="390">
        <v>0.15</v>
      </c>
      <c r="D335" s="390">
        <v>0.15</v>
      </c>
      <c r="E335" s="390">
        <v>0.15</v>
      </c>
      <c r="F335" s="398"/>
    </row>
    <row r="336" spans="1:6">
      <c r="A336" s="385" t="s">
        <v>294</v>
      </c>
      <c r="B336" s="389" t="s">
        <v>2626</v>
      </c>
      <c r="C336" s="390">
        <v>0.15</v>
      </c>
      <c r="D336" s="390">
        <v>0.15</v>
      </c>
      <c r="E336" s="390">
        <v>0.15</v>
      </c>
      <c r="F336" s="391">
        <v>0.11799999999999999</v>
      </c>
    </row>
    <row r="337" spans="1:6">
      <c r="A337" s="393" t="s">
        <v>294</v>
      </c>
      <c r="B337" s="400" t="s">
        <v>2634</v>
      </c>
      <c r="C337" s="396"/>
      <c r="D337" s="396"/>
      <c r="E337" s="396"/>
      <c r="F337" s="401">
        <v>0.14299999999999999</v>
      </c>
    </row>
    <row r="338" spans="1:6">
      <c r="A338" s="385" t="s">
        <v>297</v>
      </c>
      <c r="B338" s="386" t="s">
        <v>2426</v>
      </c>
      <c r="C338" s="387">
        <v>0.15</v>
      </c>
      <c r="D338" s="387">
        <v>0.15</v>
      </c>
      <c r="E338" s="387">
        <v>0.15</v>
      </c>
      <c r="F338" s="409"/>
    </row>
    <row r="339" spans="1:6">
      <c r="A339" s="385" t="s">
        <v>297</v>
      </c>
      <c r="B339" s="389" t="s">
        <v>2439</v>
      </c>
      <c r="C339" s="390">
        <v>0.15</v>
      </c>
      <c r="D339" s="390">
        <v>0.15</v>
      </c>
      <c r="E339" s="390">
        <v>0.15</v>
      </c>
      <c r="F339" s="398"/>
    </row>
    <row r="340" spans="1:6">
      <c r="A340" s="385" t="s">
        <v>297</v>
      </c>
      <c r="B340" s="389" t="s">
        <v>2453</v>
      </c>
      <c r="C340" s="390">
        <v>0.15</v>
      </c>
      <c r="D340" s="390">
        <v>0.15</v>
      </c>
      <c r="E340" s="390">
        <v>0.15</v>
      </c>
      <c r="F340" s="398"/>
    </row>
    <row r="341" spans="1:6">
      <c r="A341" s="385" t="s">
        <v>297</v>
      </c>
      <c r="B341" s="389" t="s">
        <v>2465</v>
      </c>
      <c r="C341" s="390">
        <v>0.15</v>
      </c>
      <c r="D341" s="390">
        <v>0.15</v>
      </c>
      <c r="E341" s="390">
        <v>0.15</v>
      </c>
      <c r="F341" s="391">
        <v>0.15</v>
      </c>
    </row>
    <row r="342" spans="1:6">
      <c r="A342" s="385" t="s">
        <v>297</v>
      </c>
      <c r="B342" s="389" t="s">
        <v>2477</v>
      </c>
      <c r="C342" s="390">
        <v>0.15</v>
      </c>
      <c r="D342" s="390">
        <v>0.15</v>
      </c>
      <c r="E342" s="390">
        <v>0.15</v>
      </c>
      <c r="F342" s="391">
        <v>0.15</v>
      </c>
    </row>
    <row r="343" spans="1:6">
      <c r="A343" s="385" t="s">
        <v>297</v>
      </c>
      <c r="B343" s="389" t="s">
        <v>2488</v>
      </c>
      <c r="C343" s="390">
        <v>0.15</v>
      </c>
      <c r="D343" s="390">
        <v>0.15</v>
      </c>
      <c r="E343" s="390">
        <v>0.15</v>
      </c>
      <c r="F343" s="391">
        <v>0.15</v>
      </c>
    </row>
    <row r="344" spans="1:6">
      <c r="A344" s="393" t="s">
        <v>297</v>
      </c>
      <c r="B344" s="400" t="s">
        <v>2499</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2758</v>
      </c>
      <c r="C1" s="315">
        <f>项目基本情况!D3</f>
        <v>45422</v>
      </c>
      <c r="D1" s="314" t="s">
        <v>2759</v>
      </c>
      <c r="E1" s="316">
        <f>'数据-取费表'!B22</f>
        <v>2</v>
      </c>
      <c r="F1" s="314" t="s">
        <v>2760</v>
      </c>
      <c r="G1" s="317">
        <f ca="1">INDIRECT("d"&amp;$K$1)/100</f>
        <v>3.85E-2</v>
      </c>
      <c r="H1" s="314" t="s">
        <v>2761</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2760</v>
      </c>
      <c r="E2" s="318"/>
      <c r="F2" s="318" t="s">
        <v>2762</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2763</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2764</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2765</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2766</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2767</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2768</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2769</v>
      </c>
      <c r="C10" s="342"/>
      <c r="D10" s="342"/>
      <c r="E10" s="342"/>
      <c r="F10" s="342"/>
      <c r="G10" s="342"/>
      <c r="H10" s="342"/>
      <c r="I10" s="311"/>
      <c r="J10" s="311"/>
      <c r="K10" s="342"/>
      <c r="L10" s="343" t="s">
        <v>2770</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2771</v>
      </c>
      <c r="C11" s="346" t="s">
        <v>2772</v>
      </c>
      <c r="D11" s="347" t="s">
        <v>2773</v>
      </c>
      <c r="E11" s="348"/>
      <c r="F11" s="347" t="s">
        <v>2774</v>
      </c>
      <c r="G11" s="349"/>
      <c r="H11" s="348"/>
      <c r="I11" s="347" t="s">
        <v>2775</v>
      </c>
      <c r="J11" s="348"/>
      <c r="K11" s="344"/>
      <c r="L11" s="345" t="s">
        <v>2771</v>
      </c>
      <c r="M11" s="346" t="s">
        <v>2772</v>
      </c>
      <c r="N11" s="345" t="s">
        <v>2776</v>
      </c>
      <c r="O11" s="347" t="s">
        <v>2777</v>
      </c>
      <c r="P11" s="349"/>
      <c r="Q11" s="349"/>
      <c r="R11" s="349"/>
      <c r="S11" s="349"/>
      <c r="T11" s="348"/>
      <c r="U11" s="347" t="s">
        <v>2778</v>
      </c>
      <c r="V11" s="349"/>
      <c r="W11" s="348"/>
      <c r="X11" s="345" t="s">
        <v>2779</v>
      </c>
      <c r="Y11" s="345" t="s">
        <v>2780</v>
      </c>
      <c r="Z11" s="345" t="s">
        <v>2781</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2782</v>
      </c>
      <c r="E12" s="352" t="s">
        <v>2764</v>
      </c>
      <c r="F12" s="352" t="s">
        <v>2765</v>
      </c>
      <c r="G12" s="352" t="s">
        <v>2766</v>
      </c>
      <c r="H12" s="352" t="s">
        <v>2767</v>
      </c>
      <c r="I12" s="368" t="s">
        <v>2783</v>
      </c>
      <c r="J12" s="368" t="s">
        <v>2783</v>
      </c>
      <c r="K12" s="344"/>
      <c r="L12" s="350"/>
      <c r="M12" s="351"/>
      <c r="N12" s="350"/>
      <c r="O12" s="368" t="s">
        <v>2784</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2785</v>
      </c>
      <c r="C13" s="355">
        <v>43941</v>
      </c>
      <c r="D13" s="356">
        <v>3.85</v>
      </c>
      <c r="E13" s="356">
        <v>3.85</v>
      </c>
      <c r="F13" s="356">
        <v>3.85</v>
      </c>
      <c r="G13" s="356">
        <v>3.85</v>
      </c>
      <c r="H13" s="356">
        <v>4.6500000000000004</v>
      </c>
      <c r="I13" s="356"/>
      <c r="J13" s="356"/>
      <c r="K13" s="353"/>
      <c r="L13" s="354" t="s">
        <v>2785</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2786</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2787</v>
      </c>
      <c r="Y42" s="357" t="s">
        <v>2787</v>
      </c>
      <c r="Z42" s="357" t="s">
        <v>2787</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2787</v>
      </c>
      <c r="Y43" s="357" t="s">
        <v>2787</v>
      </c>
      <c r="Z43" s="357" t="s">
        <v>2787</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2787</v>
      </c>
      <c r="Y44" s="357" t="s">
        <v>2787</v>
      </c>
      <c r="Z44" s="357" t="s">
        <v>2787</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2787</v>
      </c>
      <c r="Y45" s="357" t="s">
        <v>2787</v>
      </c>
      <c r="Z45" s="357" t="s">
        <v>2787</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2787</v>
      </c>
      <c r="Y46" s="357" t="s">
        <v>2787</v>
      </c>
      <c r="Z46" s="357" t="s">
        <v>2787</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2787</v>
      </c>
      <c r="Y47" s="357" t="s">
        <v>2787</v>
      </c>
      <c r="Z47" s="357" t="s">
        <v>2787</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2787</v>
      </c>
      <c r="Y48" s="357" t="s">
        <v>2787</v>
      </c>
      <c r="Z48" s="357" t="s">
        <v>2787</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2787</v>
      </c>
      <c r="Y49" s="357" t="s">
        <v>2787</v>
      </c>
      <c r="Z49" s="357" t="s">
        <v>2787</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2787</v>
      </c>
      <c r="Y50" s="357" t="s">
        <v>2787</v>
      </c>
      <c r="Z50" s="357" t="s">
        <v>2787</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2787</v>
      </c>
      <c r="V51" s="357" t="s">
        <v>2787</v>
      </c>
      <c r="W51" s="357" t="s">
        <v>2787</v>
      </c>
      <c r="X51" s="357" t="s">
        <v>2787</v>
      </c>
      <c r="Y51" s="357" t="s">
        <v>2787</v>
      </c>
      <c r="Z51" s="357" t="s">
        <v>2787</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2787</v>
      </c>
      <c r="J60" s="357" t="s">
        <v>2787</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2788</v>
      </c>
      <c r="E1" s="297" t="s">
        <v>2789</v>
      </c>
      <c r="F1" s="298" t="s">
        <v>2790</v>
      </c>
    </row>
    <row r="2" spans="1:13" ht="20.25">
      <c r="A2" s="299" t="s">
        <v>2791</v>
      </c>
    </row>
    <row r="3" spans="1:13" ht="16.5">
      <c r="A3" s="300" t="s">
        <v>2792</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2793</v>
      </c>
      <c r="C5" s="301" t="s">
        <v>2794</v>
      </c>
      <c r="D5" s="301" t="s">
        <v>2795</v>
      </c>
      <c r="E5" s="301" t="s">
        <v>2793</v>
      </c>
      <c r="F5" s="301" t="s">
        <v>2794</v>
      </c>
      <c r="G5" s="301" t="s">
        <v>2795</v>
      </c>
      <c r="H5" s="301" t="s">
        <v>2793</v>
      </c>
      <c r="I5" s="301" t="s">
        <v>2794</v>
      </c>
      <c r="J5" s="301" t="s">
        <v>2795</v>
      </c>
      <c r="K5" s="301" t="s">
        <v>2793</v>
      </c>
      <c r="L5" s="301" t="s">
        <v>2794</v>
      </c>
      <c r="M5" s="301" t="s">
        <v>2795</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ROUND(F6*F8*F7*(1-F9)/10000,0)</f>
        <v>0</v>
      </c>
      <c r="D6" s="38" t="s">
        <v>2796</v>
      </c>
      <c r="E6" s="39" t="s">
        <v>1344</v>
      </c>
      <c r="F6" s="40">
        <f ca="1">INDIRECT("'数据-取费表'!u"&amp;$G$1)</f>
        <v>0</v>
      </c>
      <c r="G6" s="4"/>
      <c r="H6" s="36" t="s">
        <v>829</v>
      </c>
      <c r="I6" s="3271" t="s">
        <v>1342</v>
      </c>
      <c r="J6" s="115">
        <f ca="1">ROUND(M6*M8*M7*(1-M9)/10000,0)</f>
        <v>0</v>
      </c>
      <c r="K6" s="38" t="s">
        <v>2797</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1837.06</v>
      </c>
      <c r="G7" s="4"/>
      <c r="H7" s="45"/>
      <c r="I7" s="3272"/>
      <c r="J7" s="46"/>
      <c r="K7" s="43"/>
      <c r="L7" s="39" t="s">
        <v>1346</v>
      </c>
      <c r="M7" s="40">
        <f ca="1">F7</f>
        <v>1837.06</v>
      </c>
    </row>
    <row r="8" spans="1:37" ht="18" customHeight="1">
      <c r="A8" s="45"/>
      <c r="B8" s="3272"/>
      <c r="C8" s="46"/>
      <c r="D8" s="43"/>
      <c r="E8" s="39" t="s">
        <v>1347</v>
      </c>
      <c r="F8" s="40">
        <f ca="1">INDIRECT("'数据-取费表'!ai"&amp;$G$1)</f>
        <v>365</v>
      </c>
      <c r="G8" s="4"/>
      <c r="H8" s="45"/>
      <c r="I8" s="3272"/>
      <c r="J8" s="46"/>
      <c r="K8" s="43"/>
      <c r="L8" s="39" t="s">
        <v>1347</v>
      </c>
      <c r="M8" s="40">
        <f ca="1">INDIRECT("'数据-取费表'!ai"&amp;$G$1)</f>
        <v>365</v>
      </c>
    </row>
    <row r="9" spans="1:37" ht="18" customHeight="1">
      <c r="A9" s="45"/>
      <c r="B9" s="3273"/>
      <c r="C9" s="46"/>
      <c r="D9" s="43"/>
      <c r="E9" s="39" t="s">
        <v>1348</v>
      </c>
      <c r="F9" s="47">
        <f ca="1">INDIRECT("'数据-取费表'!w"&amp;$G$1)</f>
        <v>0.05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2798</v>
      </c>
      <c r="G10" s="4"/>
      <c r="H10" s="36" t="s">
        <v>833</v>
      </c>
      <c r="I10" s="48" t="s">
        <v>1349</v>
      </c>
      <c r="J10" s="115">
        <f ca="1">ROUND(IF(M10="押一",J6/12*M11,IF(M10="押二",J6/12*2*M11,IF(M10="押三",J6/12*3*M11,J11*M11))),0)</f>
        <v>0</v>
      </c>
      <c r="K10" s="50" t="s">
        <v>1350</v>
      </c>
      <c r="L10" s="51" t="s">
        <v>1351</v>
      </c>
      <c r="M10" s="52" t="s">
        <v>2799</v>
      </c>
    </row>
    <row r="11" spans="1:37" ht="18" customHeight="1">
      <c r="A11" s="53"/>
      <c r="B11" s="54" t="s">
        <v>2800</v>
      </c>
      <c r="C11" s="55"/>
      <c r="D11" s="56"/>
      <c r="E11" s="51" t="s">
        <v>1354</v>
      </c>
      <c r="F11" s="57">
        <f ca="1">'数据-取费表'!B39</f>
        <v>1.4999999999999999E-2</v>
      </c>
      <c r="G11" s="4"/>
      <c r="H11" s="58"/>
      <c r="I11" s="54" t="s">
        <v>2800</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790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643</v>
      </c>
      <c r="D14" s="72" t="s">
        <v>1361</v>
      </c>
      <c r="E14" s="73"/>
      <c r="F14" s="74"/>
      <c r="G14" s="4"/>
      <c r="H14" s="70" t="s">
        <v>829</v>
      </c>
      <c r="I14" s="39" t="s">
        <v>1362</v>
      </c>
      <c r="J14" s="75">
        <f ca="1">C29</f>
        <v>988</v>
      </c>
      <c r="K14" s="198"/>
      <c r="L14" s="199"/>
      <c r="M14" s="200"/>
    </row>
    <row r="15" spans="1:37" s="3" customFormat="1" ht="18" customHeight="1">
      <c r="A15" s="70" t="s">
        <v>856</v>
      </c>
      <c r="B15" s="39" t="s">
        <v>1288</v>
      </c>
      <c r="C15" s="75">
        <f ca="1">ROUND(C14*F15,0)</f>
        <v>26</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18</v>
      </c>
      <c r="K16" s="93" t="s">
        <v>1366</v>
      </c>
      <c r="L16" s="94"/>
      <c r="M16" s="35"/>
    </row>
    <row r="17" spans="1:37" s="3" customFormat="1" ht="18" customHeight="1">
      <c r="A17" s="70" t="s">
        <v>1367</v>
      </c>
      <c r="B17" s="39" t="s">
        <v>1368</v>
      </c>
      <c r="C17" s="75">
        <f ca="1">ROUND(F17*(F43+INDIRECT("'数据-取费表'!S"&amp;$G$1))/10000,0)</f>
        <v>37</v>
      </c>
      <c r="D17" s="39" t="s">
        <v>1369</v>
      </c>
      <c r="E17" s="39" t="s">
        <v>1370</v>
      </c>
      <c r="F17" s="81">
        <f>'数据-取费表'!B35</f>
        <v>200</v>
      </c>
      <c r="G17" s="78"/>
      <c r="H17" s="70" t="s">
        <v>829</v>
      </c>
      <c r="I17" s="39" t="s">
        <v>1371</v>
      </c>
      <c r="J17" s="96">
        <f ca="1">ROUND(IF(AND(项目基本情况!B11="自然人",项目基本情况!B10="北京市"),J6*M17/(1+'数据-取费表'!C42),J18+J19+J20),0)</f>
        <v>8</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10</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716</v>
      </c>
      <c r="D19" s="82" t="s">
        <v>1378</v>
      </c>
      <c r="E19" s="83"/>
      <c r="F19" s="81"/>
      <c r="G19" s="4"/>
      <c r="H19" s="70" t="s">
        <v>856</v>
      </c>
      <c r="I19" s="39" t="s">
        <v>1379</v>
      </c>
      <c r="J19" s="75">
        <f ca="1">IF(K19="按租金收入计税",ROUND(J6*M19/(1+'数据-取费表'!C42),2),ROUND(C29*M19*0.7,2))</f>
        <v>8.3000000000000007</v>
      </c>
      <c r="K19" s="100" t="s">
        <v>1380</v>
      </c>
      <c r="L19" s="39" t="s">
        <v>1364</v>
      </c>
      <c r="M19" s="80">
        <f>IF(K19="按租金收入计税",'数据-取费表'!B51,'数据-取费表'!B50)</f>
        <v>1.2E-2</v>
      </c>
    </row>
    <row r="20" spans="1:37" s="3" customFormat="1" ht="18" customHeight="1">
      <c r="A20" s="70" t="s">
        <v>833</v>
      </c>
      <c r="B20" s="39" t="s">
        <v>1381</v>
      </c>
      <c r="C20" s="75">
        <f ca="1">ROUND(C19*F20,0)</f>
        <v>14</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9.9</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35</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-18</v>
      </c>
      <c r="K25" s="112" t="s">
        <v>1403</v>
      </c>
      <c r="L25" s="113"/>
      <c r="M25" s="114"/>
    </row>
    <row r="26" spans="1:37">
      <c r="A26" s="70" t="s">
        <v>852</v>
      </c>
      <c r="B26" s="39" t="s">
        <v>1404</v>
      </c>
      <c r="C26" s="75">
        <f ca="1">ROUND((C19+C20)*F26,0)</f>
        <v>146</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988</v>
      </c>
      <c r="D29" s="90"/>
      <c r="E29" s="63"/>
      <c r="F29" s="91"/>
      <c r="G29" s="78"/>
      <c r="H29" s="92" t="s">
        <v>1117</v>
      </c>
      <c r="I29" s="122" t="s">
        <v>1418</v>
      </c>
      <c r="J29" s="123">
        <f ca="1">ROUND(J26/(1+F40)^F41,0)</f>
        <v>0</v>
      </c>
      <c r="K29" s="124" t="s">
        <v>1419</v>
      </c>
      <c r="L29" s="125"/>
      <c r="M29" s="126">
        <f ca="1">INDIRECT("'数据-取费表'!k"&amp;$G$1)</f>
        <v>1837.06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11</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9.9</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0.8</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-11</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1837.06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2801</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2797</v>
      </c>
      <c r="E49" s="148" t="s">
        <v>1446</v>
      </c>
      <c r="F49" s="149"/>
      <c r="H49" s="143"/>
      <c r="I49" s="229" t="s">
        <v>1447</v>
      </c>
      <c r="J49" s="233">
        <v>2011</v>
      </c>
      <c r="K49" s="231" t="s">
        <v>1448</v>
      </c>
      <c r="L49" s="234"/>
      <c r="O49" s="235" t="s">
        <v>1449</v>
      </c>
      <c r="P49" s="228" t="s">
        <v>1450</v>
      </c>
      <c r="Q49" s="266">
        <f ca="1">C29</f>
        <v>988</v>
      </c>
      <c r="R49" s="266" t="s">
        <v>1438</v>
      </c>
    </row>
    <row r="50" spans="1:18" s="4" customFormat="1">
      <c r="A50" s="150"/>
      <c r="B50" s="151"/>
      <c r="C50" s="152"/>
      <c r="D50" s="153"/>
      <c r="E50" s="154" t="s">
        <v>1346</v>
      </c>
      <c r="F50" s="155">
        <f ca="1">F7</f>
        <v>1837.06</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47</v>
      </c>
      <c r="K51" s="239" t="s">
        <v>1456</v>
      </c>
      <c r="L51" s="240">
        <f ca="1">ROUND(-PV(INDIRECT("'数据-取费表'!h"&amp;$G$1),J51,(C39-C13*C76),0),0)</f>
        <v>-1050</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69" t="s">
        <v>1467</v>
      </c>
      <c r="L53" s="3270"/>
      <c r="O53" s="227" t="s">
        <v>1290</v>
      </c>
      <c r="P53" s="228" t="s">
        <v>1468</v>
      </c>
      <c r="Q53" s="266">
        <f ca="1">Q47+Q48</f>
        <v>0</v>
      </c>
      <c r="R53" s="266" t="s">
        <v>1469</v>
      </c>
    </row>
    <row r="54" spans="1:18" s="4" customFormat="1">
      <c r="A54" s="162"/>
      <c r="B54" s="54" t="s">
        <v>2800</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2802</v>
      </c>
      <c r="O55" s="220" t="s">
        <v>1431</v>
      </c>
      <c r="P55" s="221" t="s">
        <v>1432</v>
      </c>
      <c r="Q55" s="265" t="s">
        <v>1433</v>
      </c>
      <c r="R55" s="265" t="s">
        <v>1434</v>
      </c>
    </row>
    <row r="56" spans="1:18" s="4" customFormat="1" ht="24">
      <c r="A56" s="165">
        <v>2</v>
      </c>
      <c r="B56" s="166" t="s">
        <v>1357</v>
      </c>
      <c r="C56" s="167">
        <f ca="1">C13</f>
        <v>790</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988</v>
      </c>
      <c r="D57" s="173"/>
      <c r="E57" s="174"/>
      <c r="F57" s="175"/>
      <c r="I57" s="255" t="s">
        <v>1475</v>
      </c>
      <c r="J57" s="256" t="str">
        <f ca="1">IF(OR(M47="住宅",J51&lt;L48,J56="是"),"——",J51-L48)</f>
        <v>——</v>
      </c>
      <c r="K57" s="229" t="s">
        <v>2803</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94</v>
      </c>
      <c r="D58" s="177" t="s">
        <v>1366</v>
      </c>
      <c r="E58" s="178"/>
      <c r="F58" s="142"/>
      <c r="I58" s="255" t="s">
        <v>1479</v>
      </c>
      <c r="J58" s="257" t="e">
        <f ca="1">IF(J55&lt;0.4,0.4,J55)</f>
        <v>#VALUE!</v>
      </c>
      <c r="K58" s="239" t="s">
        <v>2804</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83</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82.99</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9.9</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0.8</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-94</v>
      </c>
      <c r="D67" s="179" t="s">
        <v>1403</v>
      </c>
      <c r="E67" s="269"/>
      <c r="F67" s="270"/>
      <c r="O67" s="235" t="s">
        <v>1449</v>
      </c>
      <c r="P67" s="228" t="s">
        <v>1481</v>
      </c>
      <c r="Q67" s="295">
        <f ca="1">L51</f>
        <v>-1050</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-58</v>
      </c>
      <c r="R68" s="266" t="s">
        <v>1500</v>
      </c>
    </row>
    <row r="69" spans="1:18" s="4" customFormat="1">
      <c r="A69" s="273"/>
      <c r="B69" s="274"/>
      <c r="C69" s="46"/>
      <c r="D69" s="275" t="s">
        <v>1412</v>
      </c>
      <c r="E69" s="171" t="s">
        <v>1413</v>
      </c>
      <c r="F69" s="119">
        <f ca="1">F41</f>
        <v>0</v>
      </c>
      <c r="O69" s="235" t="s">
        <v>1501</v>
      </c>
      <c r="P69" s="294" t="s">
        <v>1502</v>
      </c>
      <c r="Q69" s="266">
        <f ca="1">C39</f>
        <v>-11</v>
      </c>
      <c r="R69" s="266" t="s">
        <v>1438</v>
      </c>
    </row>
    <row r="70" spans="1:18" s="4" customFormat="1">
      <c r="A70" s="276"/>
      <c r="B70" s="277"/>
      <c r="C70" s="67"/>
      <c r="D70" s="184"/>
      <c r="E70" s="171" t="s">
        <v>1416</v>
      </c>
      <c r="F70" s="159"/>
      <c r="O70" s="235" t="s">
        <v>1503</v>
      </c>
      <c r="P70" s="294" t="s">
        <v>1504</v>
      </c>
      <c r="Q70" s="266">
        <f ca="1">C13</f>
        <v>790</v>
      </c>
      <c r="R70" s="266" t="s">
        <v>1438</v>
      </c>
    </row>
    <row r="71" spans="1:18" s="4" customFormat="1">
      <c r="A71" s="278" t="s">
        <v>1117</v>
      </c>
      <c r="B71" s="279" t="s">
        <v>1424</v>
      </c>
      <c r="C71" s="123">
        <f ca="1">ROUND(C68*10000/F71,0)</f>
        <v>0</v>
      </c>
      <c r="D71" s="280" t="s">
        <v>1425</v>
      </c>
      <c r="E71" s="281" t="s">
        <v>1426</v>
      </c>
      <c r="F71" s="126">
        <f ca="1">F43</f>
        <v>1837.06</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47</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5.2729999999999997</v>
      </c>
    </row>
    <row r="80" spans="1:18">
      <c r="B80" s="284" t="s">
        <v>1514</v>
      </c>
      <c r="C80" s="292">
        <f ca="1">ROUND(C75/C39,3)</f>
        <v>-4.2729999999999997</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2805</v>
      </c>
      <c r="M2">
        <v>98.18</v>
      </c>
      <c r="N2">
        <v>30600</v>
      </c>
      <c r="O2" t="s">
        <v>238</v>
      </c>
    </row>
    <row r="17" spans="12:15">
      <c r="L17" t="s">
        <v>2806</v>
      </c>
      <c r="M17">
        <v>165.96</v>
      </c>
      <c r="N17">
        <v>30100</v>
      </c>
      <c r="O17" t="s">
        <v>238</v>
      </c>
    </row>
    <row r="36" spans="12:16">
      <c r="L36" s="1" t="s">
        <v>2807</v>
      </c>
      <c r="M36" s="1">
        <v>157</v>
      </c>
      <c r="N36" s="1">
        <v>38200</v>
      </c>
      <c r="O36" s="1" t="s">
        <v>248</v>
      </c>
      <c r="P36" s="1"/>
    </row>
    <row r="56" spans="12:15">
      <c r="L56" t="s">
        <v>2808</v>
      </c>
      <c r="M56">
        <v>99.98</v>
      </c>
      <c r="N56">
        <v>30000</v>
      </c>
      <c r="O56" t="s">
        <v>238</v>
      </c>
    </row>
    <row r="73" spans="12:15">
      <c r="L73" s="1" t="s">
        <v>2809</v>
      </c>
      <c r="M73" s="1">
        <v>122.8</v>
      </c>
      <c r="N73" s="1">
        <v>36000</v>
      </c>
      <c r="O73" s="1" t="s">
        <v>238</v>
      </c>
    </row>
    <row r="96" spans="12:15">
      <c r="L96" s="1" t="s">
        <v>2810</v>
      </c>
      <c r="M96" s="1">
        <v>252</v>
      </c>
      <c r="N96" s="1">
        <v>35000</v>
      </c>
      <c r="O96" t="s">
        <v>238</v>
      </c>
    </row>
    <row r="117" spans="12:15">
      <c r="L117" t="s">
        <v>2811</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2998" t="s">
        <v>114</v>
      </c>
      <c r="B1" s="2998"/>
      <c r="C1" s="2998"/>
      <c r="D1" s="2998"/>
    </row>
    <row r="2" spans="1:4" ht="18">
      <c r="A2" s="2999" t="s">
        <v>115</v>
      </c>
      <c r="B2" s="2999"/>
      <c r="C2" s="2999"/>
      <c r="D2" s="2999"/>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2999" t="s">
        <v>121</v>
      </c>
      <c r="B6" s="2999"/>
      <c r="C6" s="2999"/>
      <c r="D6" s="2999"/>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3000"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3001" t="str">
        <f>IF(项目基本情况!B8="抵押","3.抵押双方在办理抵押登记手续时，应使用本公司出具的正式《房地产评估报告》，特提醒报告使用者注意。","——")</f>
        <v>——</v>
      </c>
      <c r="B13" s="3002"/>
      <c r="C13" s="3002"/>
      <c r="D13" s="3002"/>
    </row>
    <row r="14" spans="1:4" ht="15.75" customHeight="1">
      <c r="A14" s="3001" t="str">
        <f>IF(项目基本情况!B8="抵押","4.本次评估估价师所知悉的法定优先受偿款情况说明如下：","——")</f>
        <v>——</v>
      </c>
      <c r="B14" s="3002"/>
      <c r="C14" s="3002"/>
      <c r="D14" s="3002"/>
    </row>
    <row r="15" spans="1:4" ht="42" customHeight="1">
      <c r="A15" s="3001" t="str">
        <f>IF(项目基本情况!B8="抵押","（1）"&amp;CONCATENATE(项目基本情况!L20,项目基本情况!L21,项目基本情况!L22),"——")</f>
        <v>——</v>
      </c>
      <c r="B15" s="3001"/>
      <c r="C15" s="3001"/>
      <c r="D15" s="3001"/>
    </row>
    <row r="16" spans="1:4" ht="30" customHeight="1">
      <c r="A16" s="3003" t="s">
        <v>127</v>
      </c>
      <c r="B16" s="3003"/>
      <c r="C16" s="3003"/>
      <c r="D16" s="3003"/>
    </row>
    <row r="17" spans="1:4" ht="144" customHeight="1">
      <c r="A17" s="3003" t="s">
        <v>128</v>
      </c>
      <c r="B17" s="3003"/>
      <c r="C17" s="3003"/>
      <c r="D17" s="3003"/>
    </row>
    <row r="18" spans="1:4" ht="15.75" customHeight="1">
      <c r="A18" s="3001" t="str">
        <f>IF(项目基本情况!B8="抵押",结果表!K120,"——")</f>
        <v>——</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129</v>
      </c>
      <c r="B22" s="3006"/>
      <c r="C22" s="3006"/>
      <c r="D22" s="3006"/>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3004">
        <v>42551</v>
      </c>
      <c r="D31" s="30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3009" t="s">
        <v>146</v>
      </c>
      <c r="B15" s="3014" t="s">
        <v>147</v>
      </c>
      <c r="C15" s="3008"/>
    </row>
    <row r="16" spans="1:7" ht="13.5">
      <c r="A16" s="3010"/>
      <c r="B16" s="3014" t="s">
        <v>148</v>
      </c>
      <c r="C16" s="3008"/>
    </row>
    <row r="17" spans="1:3" ht="13.5">
      <c r="A17" s="3010"/>
      <c r="B17" s="3013" t="s">
        <v>149</v>
      </c>
      <c r="C17" s="830" t="s">
        <v>146</v>
      </c>
    </row>
    <row r="18" spans="1:3" ht="13.5">
      <c r="A18" s="3010"/>
      <c r="B18" s="3013"/>
      <c r="C18" s="830" t="s">
        <v>150</v>
      </c>
    </row>
    <row r="19" spans="1:3" ht="13.5">
      <c r="A19" s="3010"/>
      <c r="B19" s="3013"/>
      <c r="C19" s="830" t="s">
        <v>151</v>
      </c>
    </row>
    <row r="20" spans="1:3" ht="13.5">
      <c r="A20" s="3011"/>
      <c r="B20" s="3007" t="s">
        <v>152</v>
      </c>
      <c r="C20" s="3008"/>
    </row>
    <row r="21" spans="1:3" ht="13.5">
      <c r="A21" s="2844" t="s">
        <v>153</v>
      </c>
      <c r="B21" s="2845"/>
      <c r="C21" s="2846"/>
    </row>
    <row r="22" spans="1:3" ht="13.5">
      <c r="A22" s="3012" t="s">
        <v>154</v>
      </c>
      <c r="B22" s="3007" t="s">
        <v>155</v>
      </c>
      <c r="C22" s="3008"/>
    </row>
    <row r="23" spans="1:3" ht="13.5">
      <c r="A23" s="3012"/>
      <c r="B23" s="3007" t="s">
        <v>156</v>
      </c>
      <c r="C23" s="3008"/>
    </row>
    <row r="24" spans="1:3" ht="13.5">
      <c r="A24" s="3012"/>
      <c r="B24" s="3007" t="s">
        <v>157</v>
      </c>
      <c r="C24" s="3008"/>
    </row>
    <row r="25" spans="1:3" ht="13.5">
      <c r="A25" s="3012"/>
      <c r="B25" s="3013" t="s">
        <v>158</v>
      </c>
      <c r="C25" s="830" t="s">
        <v>159</v>
      </c>
    </row>
    <row r="26" spans="1:3" ht="13.5">
      <c r="A26" s="3012"/>
      <c r="B26" s="3013"/>
      <c r="C26" s="830" t="s">
        <v>160</v>
      </c>
    </row>
    <row r="27" spans="1:3" ht="13.5">
      <c r="A27" s="3012"/>
      <c r="B27" s="3013"/>
      <c r="C27" s="830" t="s">
        <v>161</v>
      </c>
    </row>
    <row r="28" spans="1:3" ht="13.5">
      <c r="A28" s="3012"/>
      <c r="B28" s="3013"/>
      <c r="C28" s="830" t="s">
        <v>162</v>
      </c>
    </row>
    <row r="29" spans="1:3" ht="13.5">
      <c r="A29" s="3012"/>
      <c r="B29" s="3013"/>
      <c r="C29" s="830" t="s">
        <v>163</v>
      </c>
    </row>
    <row r="30" spans="1:3" ht="13.5">
      <c r="A30" s="3012"/>
      <c r="B30" s="3013"/>
      <c r="C30" s="830" t="s">
        <v>164</v>
      </c>
    </row>
    <row r="31" spans="1:3" ht="13.5">
      <c r="A31" s="3012"/>
      <c r="B31" s="3013"/>
      <c r="C31" s="830" t="s">
        <v>165</v>
      </c>
    </row>
    <row r="32" spans="1:3" ht="13.5">
      <c r="A32" s="3012"/>
      <c r="B32" s="3013"/>
      <c r="C32" s="830" t="s">
        <v>166</v>
      </c>
    </row>
    <row r="33" spans="1:3" ht="13.5">
      <c r="A33" s="3012"/>
      <c r="B33" s="3013"/>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3015" t="s">
        <v>196</v>
      </c>
      <c r="B17" s="3015"/>
      <c r="C17" s="3015"/>
      <c r="D17" s="3015"/>
      <c r="E17" s="3015"/>
      <c r="F17" s="3015"/>
      <c r="G17" s="3015"/>
      <c r="H17" s="3015"/>
    </row>
    <row r="18" spans="1:8" ht="24" customHeight="1">
      <c r="A18" s="3016" t="s">
        <v>197</v>
      </c>
      <c r="B18" s="3016"/>
      <c r="C18" s="3016"/>
      <c r="D18" s="2812"/>
      <c r="E18" s="3017" t="s">
        <v>198</v>
      </c>
      <c r="F18" s="3016"/>
      <c r="G18" s="3016"/>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A16:C16">
    <cfRule type="cellIs" dxfId="200" priority="30" stopIfTrue="1" operator="equal">
      <formula>"已过期"</formula>
    </cfRule>
  </conditionalFormatting>
  <conditionalFormatting sqref="B4:B15">
    <cfRule type="cellIs" dxfId="199" priority="2" stopIfTrue="1" operator="equal">
      <formula>"已过期"</formula>
    </cfRule>
  </conditionalFormatting>
  <conditionalFormatting sqref="C7:C12">
    <cfRule type="expression" dxfId="198" priority="20">
      <formula>AND($C7-TODAY()&lt;30,TODAY()&lt;$C7)</formula>
    </cfRule>
    <cfRule type="cellIs" dxfId="197" priority="21" stopIfTrue="1" operator="lessThan">
      <formula>$B$2</formula>
    </cfRule>
  </conditionalFormatting>
  <conditionalFormatting sqref="C14:C15">
    <cfRule type="expression" dxfId="196" priority="5">
      <formula>AND($C14-TODAY()&lt;30,TODAY()&lt;$C14)</formula>
    </cfRule>
    <cfRule type="cellIs" dxfId="195" priority="6" stopIfTrue="1" operator="lessThan">
      <formula>$B$2</formula>
    </cfRule>
  </conditionalFormatting>
  <conditionalFormatting sqref="C4:D6 D14">
    <cfRule type="cellIs" dxfId="194" priority="48" stopIfTrue="1" operator="lessThan">
      <formula>$B$2</formula>
    </cfRule>
  </conditionalFormatting>
  <conditionalFormatting sqref="C12:D13">
    <cfRule type="expression" dxfId="193" priority="45">
      <formula>AND($C12-TODAY()&lt;30,TODAY()&lt;$C12)</formula>
    </cfRule>
  </conditionalFormatting>
  <conditionalFormatting sqref="C13:D14">
    <cfRule type="expression" dxfId="192" priority="16">
      <formula>AND($C13-TODAY()&lt;30,TODAY()&lt;$C13)</formula>
    </cfRule>
    <cfRule type="cellIs" dxfId="191" priority="17" stopIfTrue="1" operator="lessThan">
      <formula>$B$2</formula>
    </cfRule>
  </conditionalFormatting>
  <conditionalFormatting sqref="C15:D15">
    <cfRule type="expression" dxfId="190" priority="3">
      <formula>AND($C15-TODAY()&lt;30,TODAY()&lt;$C15)</formula>
    </cfRule>
    <cfRule type="cellIs" dxfId="189" priority="4" stopIfTrue="1" operator="lessThan">
      <formula>$B$2</formula>
    </cfRule>
  </conditionalFormatting>
  <conditionalFormatting sqref="C20:D20 C13:D13">
    <cfRule type="cellIs" dxfId="188" priority="52" stopIfTrue="1" operator="lessThan">
      <formula>$B$2</formula>
    </cfRule>
  </conditionalFormatting>
  <conditionalFormatting sqref="C20:D20">
    <cfRule type="expression" dxfId="187" priority="50">
      <formula>AND($C20-TODAY()&lt;30,TODAY()&lt;$C20)</formula>
    </cfRule>
  </conditionalFormatting>
  <conditionalFormatting sqref="D7:D12 D16">
    <cfRule type="expression" dxfId="186" priority="51">
      <formula>AND($C7-TODAY()&lt;30,TODAY()&lt;$C7)</formula>
    </cfRule>
  </conditionalFormatting>
  <conditionalFormatting sqref="D7:D12">
    <cfRule type="cellIs" dxfId="185" priority="46" stopIfTrue="1" operator="lessThan">
      <formula>$B$2</formula>
    </cfRule>
  </conditionalFormatting>
  <conditionalFormatting sqref="D14 C4:D6">
    <cfRule type="expression" dxfId="184" priority="47">
      <formula>AND($C4-TODAY()&lt;30,TODAY()&lt;$C4)</formula>
    </cfRule>
  </conditionalFormatting>
  <conditionalFormatting sqref="D15:D16">
    <cfRule type="expression" dxfId="183" priority="10">
      <formula>AND($C15-TODAY()&lt;30,TODAY()&lt;$C15)</formula>
    </cfRule>
    <cfRule type="cellIs" dxfId="182" priority="11" stopIfTrue="1" operator="lessThan">
      <formula>$B$2</formula>
    </cfRule>
  </conditionalFormatting>
  <conditionalFormatting sqref="E16:G16">
    <cfRule type="cellIs" dxfId="181" priority="29" stopIfTrue="1" operator="equal">
      <formula>"已过期"</formula>
    </cfRule>
  </conditionalFormatting>
  <conditionalFormatting sqref="F4:F15">
    <cfRule type="cellIs" dxfId="180" priority="7" stopIfTrue="1" operator="equal">
      <formula>"已过期"</formula>
    </cfRule>
  </conditionalFormatting>
  <conditionalFormatting sqref="G4:G15">
    <cfRule type="cellIs" dxfId="179" priority="1" stopIfTrue="1" operator="lessThan">
      <formula>$B$2</formula>
    </cfRule>
  </conditionalFormatting>
  <conditionalFormatting sqref="G20">
    <cfRule type="expression" dxfId="178" priority="37">
      <formula>AND($E20-TODAY()&lt;30,TODAY()&lt;$E20)</formula>
    </cfRule>
    <cfRule type="cellIs" dxfId="177" priority="38" stopIfTrue="1" operator="lessThan">
      <formula>$B$2</formula>
    </cfRule>
  </conditionalFormatting>
  <conditionalFormatting sqref="G21">
    <cfRule type="expression" dxfId="176" priority="18" stopIfTrue="1">
      <formula>AND(#REF!-TODAY()&lt;30,TODAY()&lt;#REF!)</formula>
    </cfRule>
    <cfRule type="cellIs" dxfId="175"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租金案例</vt:lpstr>
      <vt:lpstr>楼层比例、案例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2024-05-13T03:13:16Z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