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53"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O22" i="1"/>
  <c r="Y6"/>
  <c r="N6"/>
  <c r="N22"/>
  <c r="N21"/>
  <c r="M21"/>
  <c r="M20"/>
  <c r="L20"/>
  <c r="L21"/>
  <c r="I14" i="3" l="1"/>
  <c r="J10" i="77" l="1"/>
  <c r="J9"/>
  <c r="J8"/>
  <c r="J7"/>
  <c r="J6"/>
  <c r="K5"/>
  <c r="I11" s="1"/>
  <c r="J5"/>
  <c r="J4"/>
  <c r="J11" s="1"/>
  <c r="I15" i="3" l="1"/>
  <c r="I16"/>
  <c r="I17"/>
  <c r="I19"/>
  <c r="I13"/>
  <c r="C14"/>
  <c r="C15"/>
  <c r="C16"/>
  <c r="C17"/>
  <c r="C18"/>
  <c r="C19"/>
  <c r="C13"/>
  <c r="E71" i="39"/>
  <c r="F71" s="1"/>
  <c r="G71" s="1"/>
  <c r="H71" s="1"/>
  <c r="I71" s="1"/>
  <c r="J71" s="1"/>
  <c r="K71" s="1"/>
  <c r="L71" s="1"/>
  <c r="M71" s="1"/>
  <c r="N71" s="1"/>
  <c r="O71" s="1"/>
  <c r="D71"/>
  <c r="G38"/>
  <c r="G11"/>
  <c r="G7"/>
  <c r="G5"/>
  <c r="E38"/>
  <c r="E11"/>
  <c r="E7"/>
  <c r="E5"/>
  <c r="L14" i="78"/>
  <c r="L15"/>
  <c r="L13"/>
  <c r="I38" i="39"/>
  <c r="I11"/>
  <c r="I7"/>
  <c r="I5"/>
  <c r="C167" i="77" l="1"/>
  <c r="M116" i="39" l="1"/>
  <c r="L116"/>
  <c r="K116"/>
  <c r="J116"/>
  <c r="I116"/>
  <c r="H116"/>
  <c r="G116"/>
  <c r="F116"/>
  <c r="E116"/>
  <c r="D116"/>
  <c r="C116"/>
  <c r="C38"/>
  <c r="C10"/>
  <c r="L12" i="78"/>
  <c r="L11"/>
  <c r="L10"/>
  <c r="L9"/>
  <c r="L8"/>
  <c r="L7"/>
  <c r="L6"/>
  <c r="L5"/>
  <c r="L4"/>
  <c r="L3"/>
  <c r="L2"/>
  <c r="B170" i="77" l="1"/>
  <c r="B169"/>
  <c r="M179"/>
  <c r="P178"/>
  <c r="P177"/>
  <c r="P176"/>
  <c r="N175"/>
  <c r="P175" s="1"/>
  <c r="P174"/>
  <c r="P173"/>
  <c r="P172"/>
  <c r="P171"/>
  <c r="P170"/>
  <c r="M168"/>
  <c r="N168" s="1"/>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168" s="1"/>
  <c r="P179" l="1"/>
  <c r="P180" s="1"/>
  <c r="G67" i="43"/>
  <c r="G66"/>
  <c r="G65"/>
  <c r="G64"/>
  <c r="G63"/>
  <c r="G62"/>
  <c r="G61"/>
  <c r="G60"/>
  <c r="G59"/>
  <c r="A167" i="77" l="1"/>
  <c r="A165"/>
  <c r="G41"/>
  <c r="E161"/>
  <c r="N5" l="1"/>
  <c r="E11"/>
  <c r="A21" i="62" l="1"/>
  <c r="A20"/>
  <c r="A22" i="51"/>
  <c r="A21"/>
  <c r="A20"/>
  <c r="A15" i="62" l="1"/>
  <c r="A14"/>
  <c r="A13"/>
  <c r="A2" i="53"/>
  <c r="A19" i="62" l="1"/>
  <c r="A12"/>
  <c r="A126" i="9"/>
  <c r="A124"/>
  <c r="A122"/>
  <c r="A8" i="52" s="1"/>
  <c r="A120" i="9"/>
  <c r="H2" i="52"/>
  <c r="A1"/>
  <c r="A3" i="53"/>
  <c r="B6" i="71" l="1"/>
  <c r="B5" s="1"/>
  <c r="C6"/>
  <c r="C5" s="1"/>
  <c r="D5" s="1"/>
  <c r="D6"/>
  <c r="E6"/>
  <c r="E5" s="1"/>
  <c r="F6"/>
  <c r="F5" s="1"/>
  <c r="L5" l="1"/>
  <c r="Q5" s="1"/>
  <c r="K5"/>
  <c r="P5" s="1"/>
  <c r="J5"/>
  <c r="O5" s="1"/>
  <c r="I5"/>
  <c r="N5" s="1"/>
  <c r="E7" i="70" l="1"/>
  <c r="E8"/>
  <c r="E9"/>
  <c r="E10"/>
  <c r="E11"/>
  <c r="E12"/>
  <c r="E13"/>
  <c r="B13" i="76"/>
  <c r="E11"/>
  <c r="E8"/>
  <c r="B12"/>
  <c r="B11"/>
  <c r="E9"/>
  <c r="B9"/>
  <c r="E13"/>
  <c r="E12"/>
  <c r="E10"/>
  <c r="B10"/>
  <c r="B8"/>
  <c r="B7"/>
  <c r="E7"/>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F6" i="73"/>
  <c r="D6"/>
  <c r="D5"/>
  <c r="F5"/>
  <c r="F3"/>
  <c r="D3"/>
  <c r="D4"/>
  <c r="F4"/>
  <c r="D7"/>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R9" i="1" l="1"/>
  <c r="R10"/>
  <c r="R11"/>
  <c r="R12"/>
  <c r="R13"/>
  <c r="O27" i="6" l="1"/>
  <c r="N27"/>
  <c r="P20"/>
  <c r="P21"/>
  <c r="P22"/>
  <c r="P23"/>
  <c r="P24"/>
  <c r="P25"/>
  <c r="P26"/>
  <c r="P19"/>
  <c r="AP8" i="1"/>
  <c r="AP9"/>
  <c r="AP10"/>
  <c r="AP11"/>
  <c r="AP12"/>
  <c r="AP13"/>
  <c r="L21" i="6"/>
  <c r="L22"/>
  <c r="L23"/>
  <c r="L24"/>
  <c r="L25"/>
  <c r="L26"/>
  <c r="P27" l="1"/>
  <c r="A7" i="70"/>
  <c r="A8"/>
  <c r="A9"/>
  <c r="A10"/>
  <c r="A11"/>
  <c r="A12"/>
  <c r="A13"/>
  <c r="A6"/>
  <c r="B86" i="43" l="1"/>
  <c r="AO11" i="1"/>
  <c r="AO9"/>
  <c r="AO10"/>
  <c r="AO12"/>
  <c r="AO13"/>
  <c r="B10" i="70" l="1"/>
  <c r="B11"/>
  <c r="B13"/>
  <c r="B9"/>
  <c r="B12"/>
  <c r="Z25" i="40"/>
  <c r="Q25"/>
  <c r="D94"/>
  <c r="E94" s="1"/>
  <c r="F25"/>
  <c r="AA25" s="1"/>
  <c r="C25"/>
  <c r="Z29" i="39"/>
  <c r="Q29"/>
  <c r="D103"/>
  <c r="E103" s="1"/>
  <c r="F29"/>
  <c r="AA29" s="1"/>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B66" i="43" l="1"/>
  <c r="B75"/>
  <c r="B55"/>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F113" i="4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1"/>
  <c r="D65"/>
  <c r="D59"/>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D66" s="1"/>
  <c r="M65"/>
  <c r="N65"/>
  <c r="K65"/>
  <c r="J65"/>
  <c r="M64"/>
  <c r="D64" s="1"/>
  <c r="N64"/>
  <c r="K64"/>
  <c r="J64"/>
  <c r="M63"/>
  <c r="N63"/>
  <c r="K63"/>
  <c r="D63" s="1"/>
  <c r="J63"/>
  <c r="M62"/>
  <c r="N62"/>
  <c r="K62"/>
  <c r="D62" s="1"/>
  <c r="J62"/>
  <c r="M61"/>
  <c r="N61"/>
  <c r="K61"/>
  <c r="J61"/>
  <c r="M60"/>
  <c r="D60" s="1"/>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A9"/>
  <c r="S9" s="1"/>
  <c r="A10"/>
  <c r="S10" s="1"/>
  <c r="A11"/>
  <c r="S11" s="1"/>
  <c r="A12"/>
  <c r="S12" s="1"/>
  <c r="A13"/>
  <c r="S13" s="1"/>
  <c r="A6"/>
  <c r="B11"/>
  <c r="E11" s="1"/>
  <c r="B7"/>
  <c r="E7" s="1"/>
  <c r="B12"/>
  <c r="E12" s="1"/>
  <c r="K12"/>
  <c r="B10"/>
  <c r="E10" s="1"/>
  <c r="K10"/>
  <c r="M10" s="1"/>
  <c r="O10" s="1"/>
  <c r="B8"/>
  <c r="E8"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BA109" s="1"/>
  <c r="AX109"/>
  <c r="AW109"/>
  <c r="AV109"/>
  <c r="AC109"/>
  <c r="H109"/>
  <c r="G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BA105" s="1"/>
  <c r="AX105"/>
  <c r="AW105"/>
  <c r="AV105"/>
  <c r="AC105"/>
  <c r="H105"/>
  <c r="G105"/>
  <c r="BT104"/>
  <c r="BS104"/>
  <c r="BR104"/>
  <c r="BQ104"/>
  <c r="BP104"/>
  <c r="BO104"/>
  <c r="BN104"/>
  <c r="BM104"/>
  <c r="BK104"/>
  <c r="BJ104"/>
  <c r="BI104"/>
  <c r="BH104"/>
  <c r="BG104"/>
  <c r="BF104"/>
  <c r="BE104"/>
  <c r="BD104"/>
  <c r="BC104"/>
  <c r="BB104"/>
  <c r="BA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AX102"/>
  <c r="AW102"/>
  <c r="AV102"/>
  <c r="AC102"/>
  <c r="H102"/>
  <c r="G102" s="1"/>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L96" s="1"/>
  <c r="BK96"/>
  <c r="BJ96"/>
  <c r="BI96"/>
  <c r="BH96"/>
  <c r="BG96"/>
  <c r="BF96"/>
  <c r="BE96"/>
  <c r="BD96"/>
  <c r="BC96"/>
  <c r="BB96"/>
  <c r="AX96"/>
  <c r="AW96"/>
  <c r="AV96"/>
  <c r="AC96"/>
  <c r="H96"/>
  <c r="G96"/>
  <c r="BT95"/>
  <c r="BS95"/>
  <c r="BR95"/>
  <c r="BQ95"/>
  <c r="BP95"/>
  <c r="BO95"/>
  <c r="BN95"/>
  <c r="BM95"/>
  <c r="BK95"/>
  <c r="BJ95"/>
  <c r="BI95"/>
  <c r="BH95"/>
  <c r="BG95"/>
  <c r="BF95"/>
  <c r="BE95"/>
  <c r="BD95"/>
  <c r="BC95"/>
  <c r="BB95"/>
  <c r="AX95"/>
  <c r="AW95"/>
  <c r="AV95"/>
  <c r="AC95"/>
  <c r="H95"/>
  <c r="G95"/>
  <c r="BT94"/>
  <c r="BS94"/>
  <c r="BR94"/>
  <c r="BQ94"/>
  <c r="BP94"/>
  <c r="BO94"/>
  <c r="BN94"/>
  <c r="BM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s="1"/>
  <c r="AX88"/>
  <c r="AW88"/>
  <c r="AV88"/>
  <c r="AC88"/>
  <c r="H88"/>
  <c r="G88" s="1"/>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s="1"/>
  <c r="BT84"/>
  <c r="BS84"/>
  <c r="BR84"/>
  <c r="BQ84"/>
  <c r="BP84"/>
  <c r="BO84"/>
  <c r="BN84"/>
  <c r="BM84"/>
  <c r="BL84"/>
  <c r="BK84"/>
  <c r="BJ84"/>
  <c r="BI84"/>
  <c r="BH84"/>
  <c r="BG84"/>
  <c r="BF84"/>
  <c r="BE84"/>
  <c r="BD84"/>
  <c r="BC84"/>
  <c r="BB84"/>
  <c r="BA84" s="1"/>
  <c r="AZ84" s="1"/>
  <c r="AX84"/>
  <c r="AW84"/>
  <c r="AV84"/>
  <c r="AC84"/>
  <c r="H84"/>
  <c r="G84" s="1"/>
  <c r="BT83"/>
  <c r="BS83"/>
  <c r="BR83"/>
  <c r="BQ83"/>
  <c r="BP83"/>
  <c r="BO83"/>
  <c r="BN83"/>
  <c r="BM83"/>
  <c r="BL83" s="1"/>
  <c r="BK83"/>
  <c r="BJ83"/>
  <c r="BI83"/>
  <c r="BH83"/>
  <c r="BG83"/>
  <c r="BF83"/>
  <c r="BE83"/>
  <c r="BD83"/>
  <c r="BC83"/>
  <c r="BB83"/>
  <c r="AX83"/>
  <c r="AW83"/>
  <c r="AV83"/>
  <c r="AC83"/>
  <c r="H83"/>
  <c r="G83" s="1"/>
  <c r="BT82"/>
  <c r="BS82"/>
  <c r="BR82"/>
  <c r="BQ82"/>
  <c r="BP82"/>
  <c r="BO82"/>
  <c r="BN82"/>
  <c r="BM82"/>
  <c r="BL82" s="1"/>
  <c r="BK82"/>
  <c r="BJ82"/>
  <c r="BI82"/>
  <c r="BH82"/>
  <c r="BG82"/>
  <c r="BF82"/>
  <c r="BE82"/>
  <c r="BD82"/>
  <c r="BC82"/>
  <c r="BB82"/>
  <c r="BA82" s="1"/>
  <c r="AX82"/>
  <c r="AW82"/>
  <c r="AV82"/>
  <c r="AC82"/>
  <c r="H82"/>
  <c r="G82"/>
  <c r="BT81"/>
  <c r="BS81"/>
  <c r="BR81"/>
  <c r="BQ81"/>
  <c r="BP81"/>
  <c r="BO81"/>
  <c r="BN81"/>
  <c r="BM81"/>
  <c r="BK81"/>
  <c r="BJ81"/>
  <c r="BI81"/>
  <c r="BH81"/>
  <c r="BG81"/>
  <c r="BF81"/>
  <c r="BE81"/>
  <c r="BD81"/>
  <c r="BC81"/>
  <c r="BB81"/>
  <c r="AX81"/>
  <c r="AW81"/>
  <c r="AV81"/>
  <c r="AC81"/>
  <c r="H81"/>
  <c r="G81" s="1"/>
  <c r="BT80"/>
  <c r="BS80"/>
  <c r="BR80"/>
  <c r="BQ80"/>
  <c r="BP80"/>
  <c r="BO80"/>
  <c r="BN80"/>
  <c r="BM80"/>
  <c r="BL80" s="1"/>
  <c r="BK80"/>
  <c r="BJ80"/>
  <c r="BI80"/>
  <c r="BH80"/>
  <c r="BG80"/>
  <c r="BF80"/>
  <c r="BE80"/>
  <c r="BD80"/>
  <c r="BC80"/>
  <c r="BB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s="1"/>
  <c r="BK78"/>
  <c r="BJ78"/>
  <c r="BI78"/>
  <c r="BH78"/>
  <c r="BG78"/>
  <c r="BF78"/>
  <c r="BE78"/>
  <c r="BD78"/>
  <c r="BC78"/>
  <c r="BB78"/>
  <c r="BA78" s="1"/>
  <c r="AX78"/>
  <c r="AW78"/>
  <c r="AV78"/>
  <c r="AC78"/>
  <c r="H78"/>
  <c r="G78" s="1"/>
  <c r="BT77"/>
  <c r="BS77"/>
  <c r="BR77"/>
  <c r="BQ77"/>
  <c r="BP77"/>
  <c r="BO77"/>
  <c r="BN77"/>
  <c r="BM77"/>
  <c r="BL77" s="1"/>
  <c r="BK77"/>
  <c r="BJ77"/>
  <c r="BI77"/>
  <c r="BH77"/>
  <c r="BG77"/>
  <c r="BF77"/>
  <c r="BE77"/>
  <c r="BD77"/>
  <c r="BC77"/>
  <c r="BB77"/>
  <c r="BA77" s="1"/>
  <c r="AZ77" s="1"/>
  <c r="AX77"/>
  <c r="AW77"/>
  <c r="AV77"/>
  <c r="AC77"/>
  <c r="H77"/>
  <c r="G77" s="1"/>
  <c r="BT76"/>
  <c r="BS76"/>
  <c r="BR76"/>
  <c r="BQ76"/>
  <c r="BP76"/>
  <c r="BO76"/>
  <c r="BN76"/>
  <c r="BM76"/>
  <c r="BK76"/>
  <c r="BJ76"/>
  <c r="BI76"/>
  <c r="BH76"/>
  <c r="BG76"/>
  <c r="BF76"/>
  <c r="BE76"/>
  <c r="BD76"/>
  <c r="BC76"/>
  <c r="BB76"/>
  <c r="BA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c r="BT73"/>
  <c r="BS73"/>
  <c r="BR73"/>
  <c r="BQ73"/>
  <c r="BP73"/>
  <c r="BO73"/>
  <c r="BN73"/>
  <c r="BM73"/>
  <c r="BL73"/>
  <c r="BK73"/>
  <c r="BJ73"/>
  <c r="BI73"/>
  <c r="BH73"/>
  <c r="BG73"/>
  <c r="BF73"/>
  <c r="BE73"/>
  <c r="BD73"/>
  <c r="BC73"/>
  <c r="BB73"/>
  <c r="BA73" s="1"/>
  <c r="AZ73" s="1"/>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Z71" s="1"/>
  <c r="AX71"/>
  <c r="AW71"/>
  <c r="AV71"/>
  <c r="AC71"/>
  <c r="H71"/>
  <c r="G71" s="1"/>
  <c r="BT70"/>
  <c r="BS70"/>
  <c r="BR70"/>
  <c r="BQ70"/>
  <c r="BP70"/>
  <c r="BO70"/>
  <c r="BN70"/>
  <c r="BM70"/>
  <c r="BK70"/>
  <c r="BJ70"/>
  <c r="BI70"/>
  <c r="BH70"/>
  <c r="BG70"/>
  <c r="BF70"/>
  <c r="BE70"/>
  <c r="BD70"/>
  <c r="BC70"/>
  <c r="BB70"/>
  <c r="BA70" s="1"/>
  <c r="AX70"/>
  <c r="AW70"/>
  <c r="AV70"/>
  <c r="AC70"/>
  <c r="H70"/>
  <c r="G70" s="1"/>
  <c r="BT69"/>
  <c r="BS69"/>
  <c r="BR69"/>
  <c r="BQ69"/>
  <c r="BP69"/>
  <c r="BO69"/>
  <c r="BN69"/>
  <c r="BM69"/>
  <c r="BL69" s="1"/>
  <c r="BK69"/>
  <c r="BJ69"/>
  <c r="BI69"/>
  <c r="BH69"/>
  <c r="BG69"/>
  <c r="BF69"/>
  <c r="BE69"/>
  <c r="BD69"/>
  <c r="BC69"/>
  <c r="BB69"/>
  <c r="AX69"/>
  <c r="AW69"/>
  <c r="AV69"/>
  <c r="AC69"/>
  <c r="H69"/>
  <c r="G69" s="1"/>
  <c r="BT68"/>
  <c r="BS68"/>
  <c r="BR68"/>
  <c r="BQ68"/>
  <c r="BP68"/>
  <c r="BO68"/>
  <c r="BN68"/>
  <c r="BM68"/>
  <c r="BL68" s="1"/>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s="1"/>
  <c r="AZ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Z61" s="1"/>
  <c r="AX61"/>
  <c r="AW61"/>
  <c r="AV61"/>
  <c r="AC61"/>
  <c r="H61"/>
  <c r="G61" s="1"/>
  <c r="BT60"/>
  <c r="BS60"/>
  <c r="BR60"/>
  <c r="BQ60"/>
  <c r="BP60"/>
  <c r="BO60"/>
  <c r="BN60"/>
  <c r="BM60"/>
  <c r="BK60"/>
  <c r="BJ60"/>
  <c r="BI60"/>
  <c r="BH60"/>
  <c r="BG60"/>
  <c r="BF60"/>
  <c r="BE60"/>
  <c r="BD60"/>
  <c r="BC60"/>
  <c r="BB60"/>
  <c r="BA60"/>
  <c r="AX60"/>
  <c r="AW60"/>
  <c r="AV60"/>
  <c r="AC60"/>
  <c r="H60"/>
  <c r="G60"/>
  <c r="BT59"/>
  <c r="BS59"/>
  <c r="BR59"/>
  <c r="BQ59"/>
  <c r="BP59"/>
  <c r="BO59"/>
  <c r="BN59"/>
  <c r="BM59"/>
  <c r="BL59" s="1"/>
  <c r="BK59"/>
  <c r="BJ59"/>
  <c r="BI59"/>
  <c r="BH59"/>
  <c r="BG59"/>
  <c r="BF59"/>
  <c r="BE59"/>
  <c r="BD59"/>
  <c r="BC59"/>
  <c r="BB59"/>
  <c r="BA59" s="1"/>
  <c r="AZ59" s="1"/>
  <c r="AX59"/>
  <c r="AW59"/>
  <c r="AV59"/>
  <c r="AC59"/>
  <c r="H59"/>
  <c r="G59" s="1"/>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G53" s="1"/>
  <c r="BT52"/>
  <c r="BS52"/>
  <c r="BR52"/>
  <c r="BQ52"/>
  <c r="BP52"/>
  <c r="BO52"/>
  <c r="BN52"/>
  <c r="BM52"/>
  <c r="BL52" s="1"/>
  <c r="BK52"/>
  <c r="BJ52"/>
  <c r="BI52"/>
  <c r="BH52"/>
  <c r="BG52"/>
  <c r="BF52"/>
  <c r="BE52"/>
  <c r="BD52"/>
  <c r="BC52"/>
  <c r="BB52"/>
  <c r="BA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s="1"/>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c r="BK48"/>
  <c r="BJ48"/>
  <c r="BI48"/>
  <c r="BH48"/>
  <c r="BG48"/>
  <c r="BF48"/>
  <c r="BE48"/>
  <c r="BD48"/>
  <c r="BC48"/>
  <c r="BB48"/>
  <c r="BA48" s="1"/>
  <c r="AZ48" s="1"/>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L46" s="1"/>
  <c r="BK46"/>
  <c r="BJ46"/>
  <c r="BI46"/>
  <c r="BH46"/>
  <c r="BG46"/>
  <c r="BF46"/>
  <c r="BE46"/>
  <c r="BD46"/>
  <c r="BC46"/>
  <c r="BB46"/>
  <c r="BA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BA43" s="1"/>
  <c r="AX43"/>
  <c r="AW43"/>
  <c r="AV43"/>
  <c r="AC43"/>
  <c r="H43"/>
  <c r="G43"/>
  <c r="BT42"/>
  <c r="BS42"/>
  <c r="BR42"/>
  <c r="BQ42"/>
  <c r="BP42"/>
  <c r="BO42"/>
  <c r="BN42"/>
  <c r="BM42"/>
  <c r="BK42"/>
  <c r="BJ42"/>
  <c r="BI42"/>
  <c r="BH42"/>
  <c r="BG42"/>
  <c r="BF42"/>
  <c r="BE42"/>
  <c r="BD42"/>
  <c r="BC42"/>
  <c r="BB42"/>
  <c r="AX42"/>
  <c r="AW42"/>
  <c r="AV42"/>
  <c r="AC42"/>
  <c r="H42"/>
  <c r="G42" s="1"/>
  <c r="BT41"/>
  <c r="BS41"/>
  <c r="BR41"/>
  <c r="BQ41"/>
  <c r="BP41"/>
  <c r="BO41"/>
  <c r="BN41"/>
  <c r="BM41"/>
  <c r="BL41" s="1"/>
  <c r="BK41"/>
  <c r="BJ41"/>
  <c r="BI41"/>
  <c r="BH41"/>
  <c r="BG41"/>
  <c r="BF41"/>
  <c r="BE41"/>
  <c r="BD41"/>
  <c r="BC41"/>
  <c r="BB41"/>
  <c r="BA41" s="1"/>
  <c r="AZ41" s="1"/>
  <c r="AX41"/>
  <c r="AW41"/>
  <c r="AV41"/>
  <c r="AC41"/>
  <c r="H41"/>
  <c r="G41" s="1"/>
  <c r="BT40"/>
  <c r="BS40"/>
  <c r="BR40"/>
  <c r="BQ40"/>
  <c r="BP40"/>
  <c r="BO40"/>
  <c r="BN40"/>
  <c r="BM40"/>
  <c r="BL40"/>
  <c r="BK40"/>
  <c r="BJ40"/>
  <c r="BI40"/>
  <c r="BH40"/>
  <c r="BG40"/>
  <c r="BF40"/>
  <c r="BE40"/>
  <c r="BD40"/>
  <c r="BC40"/>
  <c r="BB40"/>
  <c r="BA40" s="1"/>
  <c r="AZ40" s="1"/>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X38"/>
  <c r="AW38"/>
  <c r="AV38"/>
  <c r="AC38"/>
  <c r="H38"/>
  <c r="G38" s="1"/>
  <c r="BT37"/>
  <c r="BS37"/>
  <c r="BR37"/>
  <c r="BQ37"/>
  <c r="BP37"/>
  <c r="BO37"/>
  <c r="BN37"/>
  <c r="BM37"/>
  <c r="BL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AX36"/>
  <c r="AW36"/>
  <c r="AV36"/>
  <c r="AC36"/>
  <c r="H36"/>
  <c r="G36" s="1"/>
  <c r="BT35"/>
  <c r="BS35"/>
  <c r="BR35"/>
  <c r="BQ35"/>
  <c r="BP35"/>
  <c r="BO35"/>
  <c r="BN35"/>
  <c r="BM35"/>
  <c r="BL35" s="1"/>
  <c r="BK35"/>
  <c r="BJ35"/>
  <c r="BI35"/>
  <c r="BH35"/>
  <c r="BG35"/>
  <c r="BF35"/>
  <c r="BE35"/>
  <c r="BD35"/>
  <c r="BC35"/>
  <c r="BB35"/>
  <c r="AX35"/>
  <c r="AW35"/>
  <c r="AV35"/>
  <c r="AC35"/>
  <c r="H35"/>
  <c r="G35" s="1"/>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L33"/>
  <c r="BK33"/>
  <c r="BJ33"/>
  <c r="BI33"/>
  <c r="BH33"/>
  <c r="BG33"/>
  <c r="BF33"/>
  <c r="BE33"/>
  <c r="BD33"/>
  <c r="BC33"/>
  <c r="BB33"/>
  <c r="BA33" s="1"/>
  <c r="AX33"/>
  <c r="AW33"/>
  <c r="AV33"/>
  <c r="AC33"/>
  <c r="H33"/>
  <c r="G33"/>
  <c r="BT32"/>
  <c r="BS32"/>
  <c r="BR32"/>
  <c r="BQ32"/>
  <c r="BP32"/>
  <c r="BO32"/>
  <c r="BN32"/>
  <c r="BM32"/>
  <c r="BL32" s="1"/>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G31" s="1"/>
  <c r="BT30"/>
  <c r="BS30"/>
  <c r="BR30"/>
  <c r="BQ30"/>
  <c r="BP30"/>
  <c r="BO30"/>
  <c r="BN30"/>
  <c r="BM30"/>
  <c r="BL30"/>
  <c r="BK30"/>
  <c r="BJ30"/>
  <c r="BI30"/>
  <c r="BH30"/>
  <c r="BG30"/>
  <c r="BF30"/>
  <c r="BE30"/>
  <c r="BD30"/>
  <c r="BC30"/>
  <c r="BB30"/>
  <c r="BA30" s="1"/>
  <c r="AZ30" s="1"/>
  <c r="AX30"/>
  <c r="AW30"/>
  <c r="AV30"/>
  <c r="AC30"/>
  <c r="H30"/>
  <c r="G30" s="1"/>
  <c r="BT29"/>
  <c r="BS29"/>
  <c r="BR29"/>
  <c r="BQ29"/>
  <c r="BP29"/>
  <c r="BO29"/>
  <c r="BN29"/>
  <c r="BM29"/>
  <c r="BK29"/>
  <c r="BJ29"/>
  <c r="BI29"/>
  <c r="BH29"/>
  <c r="BG29"/>
  <c r="BF29"/>
  <c r="BE29"/>
  <c r="BD29"/>
  <c r="BC29"/>
  <c r="BB29"/>
  <c r="BA29"/>
  <c r="AX29"/>
  <c r="AW29"/>
  <c r="AV29"/>
  <c r="AC29"/>
  <c r="H29"/>
  <c r="G29"/>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BA26" s="1"/>
  <c r="AZ26" s="1"/>
  <c r="AX26"/>
  <c r="AW26"/>
  <c r="AV26"/>
  <c r="AC26"/>
  <c r="H26"/>
  <c r="G26"/>
  <c r="BT25"/>
  <c r="BS25"/>
  <c r="BR25"/>
  <c r="BQ25"/>
  <c r="BP25"/>
  <c r="BO25"/>
  <c r="BN25"/>
  <c r="BM25"/>
  <c r="BL25"/>
  <c r="BK25"/>
  <c r="BJ25"/>
  <c r="BI25"/>
  <c r="BH25"/>
  <c r="BG25"/>
  <c r="BF25"/>
  <c r="BE25"/>
  <c r="BD25"/>
  <c r="BC25"/>
  <c r="BB25"/>
  <c r="BA25" s="1"/>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BA21" s="1"/>
  <c r="AX21"/>
  <c r="AW21"/>
  <c r="AV21"/>
  <c r="AC21"/>
  <c r="H21"/>
  <c r="G21"/>
  <c r="BT20"/>
  <c r="BS20"/>
  <c r="BR20"/>
  <c r="BQ20"/>
  <c r="BP20"/>
  <c r="BO20"/>
  <c r="BN20"/>
  <c r="BM20"/>
  <c r="BK20"/>
  <c r="BJ20"/>
  <c r="BI20"/>
  <c r="BH20"/>
  <c r="BG20"/>
  <c r="BF20"/>
  <c r="BE20"/>
  <c r="BD20"/>
  <c r="BC20"/>
  <c r="BB20"/>
  <c r="AX20"/>
  <c r="AW20"/>
  <c r="AV20"/>
  <c r="AC20"/>
  <c r="H20"/>
  <c r="G20" s="1"/>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s="1"/>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s="1"/>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s="1"/>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s="1"/>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s="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s="1"/>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s="1"/>
  <c r="AX134"/>
  <c r="AW134"/>
  <c r="AV134"/>
  <c r="AC134"/>
  <c r="H134"/>
  <c r="G134" s="1"/>
  <c r="BT133"/>
  <c r="BS133"/>
  <c r="BR133"/>
  <c r="BQ133"/>
  <c r="BP133"/>
  <c r="BO133"/>
  <c r="BN133"/>
  <c r="BM133"/>
  <c r="BL133" s="1"/>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s="1"/>
  <c r="AX132"/>
  <c r="AW132"/>
  <c r="AV132"/>
  <c r="AC132"/>
  <c r="H132"/>
  <c r="G132"/>
  <c r="BT131"/>
  <c r="BS131"/>
  <c r="BR131"/>
  <c r="BQ131"/>
  <c r="BP131"/>
  <c r="BO131"/>
  <c r="BN131"/>
  <c r="BM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s="1"/>
  <c r="BT121"/>
  <c r="BS121"/>
  <c r="BR121"/>
  <c r="BQ121"/>
  <c r="BP121"/>
  <c r="BO121"/>
  <c r="BN121"/>
  <c r="BM12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C119"/>
  <c r="BB119"/>
  <c r="AX119"/>
  <c r="AW119"/>
  <c r="AV119"/>
  <c r="AC119"/>
  <c r="H119"/>
  <c r="G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s="1"/>
  <c r="AX114"/>
  <c r="AW114"/>
  <c r="AV114"/>
  <c r="AC114"/>
  <c r="H114"/>
  <c r="G114" s="1"/>
  <c r="BT113"/>
  <c r="BS113"/>
  <c r="BR113"/>
  <c r="BQ113"/>
  <c r="BP113"/>
  <c r="BO113"/>
  <c r="BN113"/>
  <c r="BM113"/>
  <c r="BK113"/>
  <c r="BJ113"/>
  <c r="BI113"/>
  <c r="BH113"/>
  <c r="BG113"/>
  <c r="BF113"/>
  <c r="BE113"/>
  <c r="BD113"/>
  <c r="BC113"/>
  <c r="BB113"/>
  <c r="BA113"/>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c r="BK297"/>
  <c r="BJ297"/>
  <c r="BI297"/>
  <c r="BH297"/>
  <c r="BG297"/>
  <c r="BF297"/>
  <c r="BE297"/>
  <c r="BD297"/>
  <c r="BC297"/>
  <c r="BB297"/>
  <c r="BA297"/>
  <c r="AZ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c r="BK281"/>
  <c r="BJ281"/>
  <c r="BI281"/>
  <c r="BH281"/>
  <c r="BG281"/>
  <c r="BF281"/>
  <c r="BE281"/>
  <c r="BD281"/>
  <c r="BC281"/>
  <c r="BB281"/>
  <c r="BA281"/>
  <c r="AZ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c r="AX247"/>
  <c r="AW247"/>
  <c r="AV247"/>
  <c r="AC247"/>
  <c r="H247"/>
  <c r="G247"/>
  <c r="BT246"/>
  <c r="BS246"/>
  <c r="BR246"/>
  <c r="BQ246"/>
  <c r="BP246"/>
  <c r="BO246"/>
  <c r="BN246"/>
  <c r="BM246"/>
  <c r="BL246"/>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s="1"/>
  <c r="BT241"/>
  <c r="BS241"/>
  <c r="BR241"/>
  <c r="BQ241"/>
  <c r="BP241"/>
  <c r="BO241"/>
  <c r="BN241"/>
  <c r="BM241"/>
  <c r="BL241"/>
  <c r="BK241"/>
  <c r="BJ241"/>
  <c r="BI241"/>
  <c r="BH241"/>
  <c r="BG241"/>
  <c r="BF241"/>
  <c r="BE241"/>
  <c r="BD241"/>
  <c r="BC241"/>
  <c r="BB241"/>
  <c r="BA241" s="1"/>
  <c r="AZ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Z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Z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Z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Z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s="1"/>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Z303" s="1"/>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20" i="6"/>
  <c r="E21"/>
  <c r="K8" i="1" s="1"/>
  <c r="M8" s="1"/>
  <c r="F23" i="15"/>
  <c r="D24" s="1"/>
  <c r="O8" i="1"/>
  <c r="P8" s="1"/>
  <c r="M12"/>
  <c r="O12" s="1"/>
  <c r="P12" s="1"/>
  <c r="E22" i="6"/>
  <c r="E23"/>
  <c r="E24"/>
  <c r="E25"/>
  <c r="E26"/>
  <c r="BB13" i="3"/>
  <c r="BC13"/>
  <c r="BD13"/>
  <c r="BE13"/>
  <c r="BF13"/>
  <c r="BG13"/>
  <c r="BH13"/>
  <c r="BI13"/>
  <c r="BJ13"/>
  <c r="BK13"/>
  <c r="BB14"/>
  <c r="BC14"/>
  <c r="BD14"/>
  <c r="BE14"/>
  <c r="BF14"/>
  <c r="BG14"/>
  <c r="BH14"/>
  <c r="BI14"/>
  <c r="BJ14"/>
  <c r="BK14"/>
  <c r="BB15"/>
  <c r="BA15" s="1"/>
  <c r="AZ15" s="1"/>
  <c r="BC15"/>
  <c r="BD15"/>
  <c r="BE15"/>
  <c r="BF15"/>
  <c r="BG15"/>
  <c r="BH15"/>
  <c r="BI15"/>
  <c r="BJ15"/>
  <c r="BK15"/>
  <c r="BB16"/>
  <c r="BA16" s="1"/>
  <c r="AZ16" s="1"/>
  <c r="BC16"/>
  <c r="BD16"/>
  <c r="BE16"/>
  <c r="BF16"/>
  <c r="BG16"/>
  <c r="BH16"/>
  <c r="BI16"/>
  <c r="BJ16"/>
  <c r="BK16"/>
  <c r="BB17"/>
  <c r="BC17"/>
  <c r="BD17"/>
  <c r="BE17"/>
  <c r="BF17"/>
  <c r="BG17"/>
  <c r="BH17"/>
  <c r="BI17"/>
  <c r="BJ17"/>
  <c r="BK17"/>
  <c r="BC10"/>
  <c r="BD10"/>
  <c r="BB10"/>
  <c r="BL16"/>
  <c r="H13"/>
  <c r="AC13"/>
  <c r="H14"/>
  <c r="AC14"/>
  <c r="H15"/>
  <c r="AC15"/>
  <c r="H16"/>
  <c r="G16" s="1"/>
  <c r="AC16"/>
  <c r="H17"/>
  <c r="G17" s="1"/>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AC24" s="1"/>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8"/>
  <c r="W8" s="1"/>
  <c r="H8"/>
  <c r="AB8"/>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c r="F39"/>
  <c r="S39" s="1"/>
  <c r="U14"/>
  <c r="F29" i="36"/>
  <c r="AA29" s="1"/>
  <c r="W8"/>
  <c r="F16"/>
  <c r="AA16" s="1"/>
  <c r="U9"/>
  <c r="W28"/>
  <c r="S30"/>
  <c r="S32"/>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AA25" i="21"/>
  <c r="C12" i="43"/>
  <c r="H19" i="40"/>
  <c r="U19" s="1"/>
  <c r="F88"/>
  <c r="G88" s="1"/>
  <c r="F19"/>
  <c r="S19" s="1"/>
  <c r="S14"/>
  <c r="AC13"/>
  <c r="AB33"/>
  <c r="AC43" i="39"/>
  <c r="W43"/>
  <c r="U45"/>
  <c r="AB45"/>
  <c r="AB44"/>
  <c r="U44"/>
  <c r="G101"/>
  <c r="H37"/>
  <c r="AB37" s="1"/>
  <c r="AC37"/>
  <c r="W37"/>
  <c r="H25"/>
  <c r="AB25" s="1"/>
  <c r="J25"/>
  <c r="F25"/>
  <c r="AA25" s="1"/>
  <c r="F15"/>
  <c r="AA15" s="1"/>
  <c r="H15"/>
  <c r="U15" s="1"/>
  <c r="J15"/>
  <c r="W15" s="1"/>
  <c r="F89"/>
  <c r="G89" s="1"/>
  <c r="H41"/>
  <c r="W12"/>
  <c r="W27"/>
  <c r="AB34"/>
  <c r="S42"/>
  <c r="W14"/>
  <c r="W8"/>
  <c r="J19" i="40"/>
  <c r="AC19" s="1"/>
  <c r="J50"/>
  <c r="B54" i="72"/>
  <c r="H103" i="9"/>
  <c r="D8" i="53" s="1"/>
  <c r="B16"/>
  <c r="B33" i="72" s="1"/>
  <c r="C7" i="37"/>
  <c r="C7" i="34"/>
  <c r="C7" i="36"/>
  <c r="W35" i="40"/>
  <c r="A118" i="9"/>
  <c r="A4" i="52"/>
  <c r="B41" i="72" s="1"/>
  <c r="A12" i="52"/>
  <c r="B56" i="72" s="1"/>
  <c r="G4" i="4"/>
  <c r="I4"/>
  <c r="K5"/>
  <c r="B47" i="48" s="1"/>
  <c r="A2" i="9"/>
  <c r="N2" i="43"/>
  <c r="AZ550" i="3"/>
  <c r="AZ24"/>
  <c r="AZ28"/>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s="1"/>
  <c r="BL116"/>
  <c r="G117"/>
  <c r="BA119"/>
  <c r="AZ119" s="1"/>
  <c r="BL120"/>
  <c r="G121"/>
  <c r="BA123"/>
  <c r="BL124"/>
  <c r="AZ124" s="1"/>
  <c r="G125"/>
  <c r="BA127"/>
  <c r="AZ127" s="1"/>
  <c r="BL128"/>
  <c r="G129"/>
  <c r="BA131"/>
  <c r="BL132"/>
  <c r="AZ132" s="1"/>
  <c r="G133"/>
  <c r="BA135"/>
  <c r="AZ135"/>
  <c r="BL136"/>
  <c r="G137"/>
  <c r="BA139"/>
  <c r="AZ139"/>
  <c r="BL140"/>
  <c r="AZ140"/>
  <c r="G141"/>
  <c r="BA143"/>
  <c r="AZ143" s="1"/>
  <c r="BL144"/>
  <c r="G145"/>
  <c r="BA147"/>
  <c r="AZ147" s="1"/>
  <c r="BL148"/>
  <c r="AZ148"/>
  <c r="G149"/>
  <c r="BA151"/>
  <c r="AZ151"/>
  <c r="BL152"/>
  <c r="G153"/>
  <c r="BA155"/>
  <c r="AZ155"/>
  <c r="BL156"/>
  <c r="AZ156"/>
  <c r="G157"/>
  <c r="BA159"/>
  <c r="AZ159" s="1"/>
  <c r="BL160"/>
  <c r="G161"/>
  <c r="BA163"/>
  <c r="AZ163" s="1"/>
  <c r="BL164"/>
  <c r="AZ164"/>
  <c r="G165"/>
  <c r="BA167"/>
  <c r="AZ167" s="1"/>
  <c r="BL168"/>
  <c r="G169"/>
  <c r="BA171"/>
  <c r="AZ171" s="1"/>
  <c r="BL172"/>
  <c r="AZ172"/>
  <c r="G173"/>
  <c r="BA175"/>
  <c r="AZ175" s="1"/>
  <c r="BL176"/>
  <c r="G177"/>
  <c r="BA179"/>
  <c r="AZ179"/>
  <c r="BL180"/>
  <c r="AZ180"/>
  <c r="G181"/>
  <c r="BA183"/>
  <c r="AZ183" s="1"/>
  <c r="BL184"/>
  <c r="G185"/>
  <c r="BA187"/>
  <c r="AZ187" s="1"/>
  <c r="BL188"/>
  <c r="AZ188"/>
  <c r="G189"/>
  <c r="BA191"/>
  <c r="AZ191" s="1"/>
  <c r="BL192"/>
  <c r="G193"/>
  <c r="BA195"/>
  <c r="AZ195" s="1"/>
  <c r="BL196"/>
  <c r="AZ196"/>
  <c r="G197"/>
  <c r="BA199"/>
  <c r="AZ199" s="1"/>
  <c r="BL200"/>
  <c r="G201"/>
  <c r="BA203"/>
  <c r="AZ203"/>
  <c r="BL204"/>
  <c r="AZ204"/>
  <c r="AZ43"/>
  <c r="AZ51"/>
  <c r="AZ55"/>
  <c r="AZ63"/>
  <c r="AZ79"/>
  <c r="AZ136"/>
  <c r="AZ144"/>
  <c r="AZ152"/>
  <c r="AZ160"/>
  <c r="AZ168"/>
  <c r="AZ176"/>
  <c r="AZ184"/>
  <c r="AZ192"/>
  <c r="AZ200"/>
  <c r="AZ89"/>
  <c r="AZ105"/>
  <c r="AZ109"/>
  <c r="AZ128"/>
  <c r="AZ527"/>
  <c r="AZ539"/>
  <c r="G534"/>
  <c r="G530"/>
  <c r="G522"/>
  <c r="G516"/>
  <c r="G512"/>
  <c r="G506"/>
  <c r="G498"/>
  <c r="G494"/>
  <c r="G15"/>
  <c r="BA304"/>
  <c r="AZ304" s="1"/>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AZ343"/>
  <c r="AZ347"/>
  <c r="BK5"/>
  <c r="BG5"/>
  <c r="BC5"/>
  <c r="BA17"/>
  <c r="AZ350"/>
  <c r="AZ352"/>
  <c r="AZ356"/>
  <c r="AZ360"/>
  <c r="AZ364"/>
  <c r="AZ368"/>
  <c r="AZ380"/>
  <c r="AZ384"/>
  <c r="AZ388"/>
  <c r="AZ392"/>
  <c r="AZ396"/>
  <c r="AZ394"/>
  <c r="AZ499"/>
  <c r="AZ509"/>
  <c r="G509"/>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N7"/>
  <c r="F70"/>
  <c r="H73" s="1"/>
  <c r="M6"/>
  <c r="M11"/>
  <c r="E17"/>
  <c r="I17"/>
  <c r="F35"/>
  <c r="F6" i="1"/>
  <c r="I20" i="43" s="1"/>
  <c r="U17" i="39"/>
  <c r="S14" i="35"/>
  <c r="U43" i="21"/>
  <c r="U35"/>
  <c r="AC35"/>
  <c r="U10"/>
  <c r="G8" i="1"/>
  <c r="O6"/>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J23" s="1"/>
  <c r="AZ403" i="3"/>
  <c r="AZ411"/>
  <c r="AZ419"/>
  <c r="AZ427"/>
  <c r="AZ435"/>
  <c r="AZ443"/>
  <c r="AZ451"/>
  <c r="AZ459"/>
  <c r="AZ469"/>
  <c r="AZ485"/>
  <c r="AZ353"/>
  <c r="AZ354"/>
  <c r="AZ386"/>
  <c r="C40" i="11"/>
  <c r="AZ215" i="3"/>
  <c r="AZ227"/>
  <c r="AZ235"/>
  <c r="AZ243"/>
  <c r="AZ248"/>
  <c r="AZ251"/>
  <c r="AZ256"/>
  <c r="AZ259"/>
  <c r="AZ268"/>
  <c r="AZ271"/>
  <c r="AZ280"/>
  <c r="AZ288"/>
  <c r="AZ296"/>
  <c r="AZ130"/>
  <c r="AZ21"/>
  <c r="AZ33"/>
  <c r="AZ37"/>
  <c r="AZ45"/>
  <c r="AZ53"/>
  <c r="AZ82"/>
  <c r="AZ86"/>
  <c r="H74" i="43"/>
  <c r="F23" i="39"/>
  <c r="AA23" s="1"/>
  <c r="F97"/>
  <c r="H27" i="36"/>
  <c r="U27" s="1"/>
  <c r="F27"/>
  <c r="AA27" s="1"/>
  <c r="H33" i="34"/>
  <c r="U33" s="1"/>
  <c r="AA39"/>
  <c r="F32" i="37"/>
  <c r="AA32" s="1"/>
  <c r="G96"/>
  <c r="H96"/>
  <c r="I96" s="1"/>
  <c r="J96" s="1"/>
  <c r="K96" s="1"/>
  <c r="L96" s="1"/>
  <c r="M96" s="1"/>
  <c r="G68" i="36"/>
  <c r="F20"/>
  <c r="AA20" s="1"/>
  <c r="J33" i="34"/>
  <c r="AC33" s="1"/>
  <c r="H23" i="39"/>
  <c r="U23" s="1"/>
  <c r="G97"/>
  <c r="D48" i="9"/>
  <c r="M52" s="1"/>
  <c r="H86" i="43"/>
  <c r="H82"/>
  <c r="H87"/>
  <c r="K9" i="1"/>
  <c r="M9" s="1"/>
  <c r="O9" s="1"/>
  <c r="P9" s="1"/>
  <c r="F3" i="35"/>
  <c r="D93" i="9"/>
  <c r="J51" i="15"/>
  <c r="AE9" i="1"/>
  <c r="AZ116" i="3" l="1"/>
  <c r="BL113"/>
  <c r="BA117"/>
  <c r="AZ117" s="1"/>
  <c r="BA118"/>
  <c r="BL118"/>
  <c r="BA120"/>
  <c r="AZ120" s="1"/>
  <c r="BL121"/>
  <c r="BL123"/>
  <c r="AZ123" s="1"/>
  <c r="BA126"/>
  <c r="AZ126" s="1"/>
  <c r="BL131"/>
  <c r="AZ131" s="1"/>
  <c r="BA133"/>
  <c r="AZ133" s="1"/>
  <c r="BA20"/>
  <c r="AZ20" s="1"/>
  <c r="BL20"/>
  <c r="BA22"/>
  <c r="AZ22" s="1"/>
  <c r="BA27"/>
  <c r="AZ27" s="1"/>
  <c r="BL29"/>
  <c r="AZ29" s="1"/>
  <c r="BA31"/>
  <c r="AZ31" s="1"/>
  <c r="BA32"/>
  <c r="AZ32" s="1"/>
  <c r="BA35"/>
  <c r="AZ35" s="1"/>
  <c r="BA36"/>
  <c r="AZ36" s="1"/>
  <c r="BL39"/>
  <c r="AZ39" s="1"/>
  <c r="BA42"/>
  <c r="AZ42" s="1"/>
  <c r="BL42"/>
  <c r="BA44"/>
  <c r="AZ44" s="1"/>
  <c r="BL47"/>
  <c r="AZ47" s="1"/>
  <c r="BA49"/>
  <c r="AZ49" s="1"/>
  <c r="BA50"/>
  <c r="AZ50" s="1"/>
  <c r="BA56"/>
  <c r="AZ56" s="1"/>
  <c r="BA57"/>
  <c r="AZ57" s="1"/>
  <c r="BL58"/>
  <c r="AZ58" s="1"/>
  <c r="BL60"/>
  <c r="BA68"/>
  <c r="AZ68" s="1"/>
  <c r="BA69"/>
  <c r="AZ69" s="1"/>
  <c r="BL70"/>
  <c r="BL72"/>
  <c r="AZ72" s="1"/>
  <c r="BA74"/>
  <c r="AZ74" s="1"/>
  <c r="BA75"/>
  <c r="AZ75" s="1"/>
  <c r="BL76"/>
  <c r="BA80"/>
  <c r="AZ80" s="1"/>
  <c r="BA81"/>
  <c r="BL81"/>
  <c r="BA83"/>
  <c r="AZ83" s="1"/>
  <c r="BL94"/>
  <c r="AZ94" s="1"/>
  <c r="BA95"/>
  <c r="BL95"/>
  <c r="BA96"/>
  <c r="AZ96" s="1"/>
  <c r="BA97"/>
  <c r="AZ97" s="1"/>
  <c r="BA101"/>
  <c r="AZ101" s="1"/>
  <c r="BA102"/>
  <c r="AZ102" s="1"/>
  <c r="AZ107"/>
  <c r="BA108"/>
  <c r="AZ108" s="1"/>
  <c r="BL108"/>
  <c r="BA110"/>
  <c r="AZ110" s="1"/>
  <c r="AZ60"/>
  <c r="BL66"/>
  <c r="AZ66" s="1"/>
  <c r="AZ70"/>
  <c r="AZ76"/>
  <c r="AZ78"/>
  <c r="BL88"/>
  <c r="BA90"/>
  <c r="AZ90" s="1"/>
  <c r="BA91"/>
  <c r="AZ91" s="1"/>
  <c r="BL104"/>
  <c r="AZ104" s="1"/>
  <c r="BA106"/>
  <c r="AZ106" s="1"/>
  <c r="S19" i="39"/>
  <c r="W9"/>
  <c r="U40"/>
  <c r="AA41"/>
  <c r="S40"/>
  <c r="AC23"/>
  <c r="W23"/>
  <c r="U9"/>
  <c r="AZ114" i="3"/>
  <c r="AZ113"/>
  <c r="AZ121"/>
  <c r="AZ38"/>
  <c r="AZ46"/>
  <c r="AZ52"/>
  <c r="AZ65"/>
  <c r="AZ81"/>
  <c r="AZ88"/>
  <c r="H5"/>
  <c r="F19" i="6" s="1"/>
  <c r="I4"/>
  <c r="G3" i="43" s="1"/>
  <c r="F22" s="1"/>
  <c r="E19" i="6"/>
  <c r="K6" i="1" s="1"/>
  <c r="E59" i="43"/>
  <c r="B57" s="1"/>
  <c r="C24" s="1"/>
  <c r="BB5" i="3"/>
  <c r="E8" i="6" s="1"/>
  <c r="F27" s="1"/>
  <c r="D3" i="39" s="1"/>
  <c r="AZ19" i="3"/>
  <c r="F29" i="6"/>
  <c r="BI5" i="3"/>
  <c r="BE5"/>
  <c r="BN5"/>
  <c r="G29" i="6" s="1"/>
  <c r="BT5" i="3"/>
  <c r="BL14"/>
  <c r="BR5"/>
  <c r="G28" i="6" s="1"/>
  <c r="F28"/>
  <c r="G14" i="3"/>
  <c r="BA14"/>
  <c r="AZ14" s="1"/>
  <c r="C101" i="43"/>
  <c r="C104" s="1"/>
  <c r="F101"/>
  <c r="F104" s="1"/>
  <c r="J17"/>
  <c r="F39"/>
  <c r="G20"/>
  <c r="C20" s="1"/>
  <c r="H75"/>
  <c r="J51" i="67"/>
  <c r="C42" i="1"/>
  <c r="AC34" i="33"/>
  <c r="AA34"/>
  <c r="B41" i="1"/>
  <c r="F53" i="9"/>
  <c r="F28" i="15"/>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F48" s="1"/>
  <c r="N9"/>
  <c r="D120" i="9"/>
  <c r="C18"/>
  <c r="D18" s="1"/>
  <c r="F34" i="67"/>
  <c r="F62" s="1"/>
  <c r="M20"/>
  <c r="F34" i="15"/>
  <c r="F62" s="1"/>
  <c r="G13" i="3"/>
  <c r="G5" s="1"/>
  <c r="B3" s="1"/>
  <c r="BA13"/>
  <c r="E10" i="6"/>
  <c r="E11"/>
  <c r="E61" i="39" s="1"/>
  <c r="BL17" i="3"/>
  <c r="AZ17" s="1"/>
  <c r="BL13"/>
  <c r="J56" i="9"/>
  <c r="J57" s="1"/>
  <c r="A24" i="51"/>
  <c r="B18" i="72" s="1"/>
  <c r="U29" i="34"/>
  <c r="E5" i="6"/>
  <c r="D9" i="11" s="1"/>
  <c r="C9" s="1"/>
  <c r="P10" i="1"/>
  <c r="H22" i="43"/>
  <c r="L101"/>
  <c r="L109" s="1"/>
  <c r="H101"/>
  <c r="D101"/>
  <c r="D109" s="1"/>
  <c r="M101"/>
  <c r="M109" s="1"/>
  <c r="I101"/>
  <c r="I109" s="1"/>
  <c r="E101"/>
  <c r="G22"/>
  <c r="E32" i="6"/>
  <c r="L19" s="1"/>
  <c r="G1" i="68"/>
  <c r="K1" i="12"/>
  <c r="AZ13" i="3"/>
  <c r="E28" i="6"/>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AJ11"/>
  <c r="AJ13" s="1"/>
  <c r="AH11"/>
  <c r="AH13" s="1"/>
  <c r="AF11"/>
  <c r="AF13" s="1"/>
  <c r="AD11"/>
  <c r="AD13" s="1"/>
  <c r="AB11"/>
  <c r="AB13" s="1"/>
  <c r="Z11"/>
  <c r="Z13" s="1"/>
  <c r="Z7"/>
  <c r="AI11"/>
  <c r="AI13" s="1"/>
  <c r="AG11"/>
  <c r="AG13" s="1"/>
  <c r="AE11"/>
  <c r="AE13" s="1"/>
  <c r="AC11"/>
  <c r="AC13" s="1"/>
  <c r="AA11"/>
  <c r="AA13" s="1"/>
  <c r="Y11"/>
  <c r="Y13" s="1"/>
  <c r="E48"/>
  <c r="B46" s="1"/>
  <c r="E70"/>
  <c r="B68" s="1"/>
  <c r="F100"/>
  <c r="H17"/>
  <c r="D9" i="53"/>
  <c r="B25" i="72" s="1"/>
  <c r="B24"/>
  <c r="G6" i="1"/>
  <c r="H85" i="43"/>
  <c r="H81"/>
  <c r="H84"/>
  <c r="H88"/>
  <c r="H78"/>
  <c r="H70"/>
  <c r="H71"/>
  <c r="C17"/>
  <c r="F33"/>
  <c r="G17"/>
  <c r="F34"/>
  <c r="M7"/>
  <c r="N6"/>
  <c r="M2"/>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76" i="43"/>
  <c r="H72"/>
  <c r="H77"/>
  <c r="L20" i="6"/>
  <c r="E56" i="39"/>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D9" i="69"/>
  <c r="F7" i="15"/>
  <c r="M28"/>
  <c r="M22" i="67"/>
  <c r="F6" i="15"/>
  <c r="L48" i="67"/>
  <c r="F8"/>
  <c r="F37" i="15"/>
  <c r="M24" i="67"/>
  <c r="F9"/>
  <c r="J15"/>
  <c r="L48" i="15"/>
  <c r="F38"/>
  <c r="M23" i="67"/>
  <c r="F40"/>
  <c r="C76"/>
  <c r="F16"/>
  <c r="F13"/>
  <c r="G1" i="73"/>
  <c r="F9" i="15"/>
  <c r="F7" i="67"/>
  <c r="M9"/>
  <c r="F42"/>
  <c r="L47"/>
  <c r="F36"/>
  <c r="L47" i="15"/>
  <c r="M9"/>
  <c r="M23"/>
  <c r="F6" i="67"/>
  <c r="M8" i="15"/>
  <c r="M29" i="67"/>
  <c r="F37"/>
  <c r="F42" i="15"/>
  <c r="M29"/>
  <c r="F38" i="67"/>
  <c r="F26" i="15"/>
  <c r="M28" i="67"/>
  <c r="M22" i="15"/>
  <c r="F16"/>
  <c r="M8" i="67"/>
  <c r="M24" i="15"/>
  <c r="M6"/>
  <c r="F36"/>
  <c r="F13"/>
  <c r="M6" i="67"/>
  <c r="J15" i="15"/>
  <c r="F40"/>
  <c r="F26" i="67"/>
  <c r="F43"/>
  <c r="M26"/>
  <c r="M26" i="15"/>
  <c r="C76"/>
  <c r="F43"/>
  <c r="F8"/>
  <c r="M6" i="1" l="1"/>
  <c r="B113" i="43"/>
  <c r="E22"/>
  <c r="D29"/>
  <c r="D1" s="1"/>
  <c r="F103"/>
  <c r="F109"/>
  <c r="C107"/>
  <c r="C106"/>
  <c r="C103"/>
  <c r="F102"/>
  <c r="BA5" i="3"/>
  <c r="E27" i="6" s="1"/>
  <c r="C109" i="43"/>
  <c r="F105"/>
  <c r="C102"/>
  <c r="C105"/>
  <c r="F106"/>
  <c r="F107"/>
  <c r="AZ118" i="3"/>
  <c r="G30" i="6"/>
  <c r="G31" s="1"/>
  <c r="E15"/>
  <c r="AZ95" i="3"/>
  <c r="D117" i="43"/>
  <c r="E117" s="1"/>
  <c r="F117" s="1"/>
  <c r="G117" s="1"/>
  <c r="H117" s="1"/>
  <c r="N104" i="46"/>
  <c r="N101" i="43"/>
  <c r="N102" s="1"/>
  <c r="K101"/>
  <c r="K103" s="1"/>
  <c r="J101"/>
  <c r="J104" s="1"/>
  <c r="G101"/>
  <c r="G105" s="1"/>
  <c r="N105"/>
  <c r="D22"/>
  <c r="N107"/>
  <c r="J102"/>
  <c r="C6"/>
  <c r="F59"/>
  <c r="J106"/>
  <c r="G104"/>
  <c r="J107"/>
  <c r="E13" i="6"/>
  <c r="E58" i="40" s="1"/>
  <c r="E29" i="6"/>
  <c r="E60" i="40"/>
  <c r="E65" i="39"/>
  <c r="N109" i="43"/>
  <c r="J109"/>
  <c r="N104"/>
  <c r="J103"/>
  <c r="N106"/>
  <c r="N103"/>
  <c r="F30" i="6"/>
  <c r="F31" s="1"/>
  <c r="J105" i="43"/>
  <c r="E14" i="6"/>
  <c r="E12"/>
  <c r="K20"/>
  <c r="M20" s="1"/>
  <c r="I20" s="1"/>
  <c r="E56" i="40"/>
  <c r="E69" i="3"/>
  <c r="E268"/>
  <c r="E153"/>
  <c r="E282"/>
  <c r="E305"/>
  <c r="E361"/>
  <c r="E445"/>
  <c r="N6"/>
  <c r="E550"/>
  <c r="E503"/>
  <c r="E328"/>
  <c r="E302"/>
  <c r="E53"/>
  <c r="E237"/>
  <c r="E125"/>
  <c r="E114"/>
  <c r="E175"/>
  <c r="E261"/>
  <c r="E217"/>
  <c r="E278"/>
  <c r="E319"/>
  <c r="E304"/>
  <c r="E366"/>
  <c r="E415"/>
  <c r="E530"/>
  <c r="E528"/>
  <c r="E526"/>
  <c r="E563"/>
  <c r="E501"/>
  <c r="E565"/>
  <c r="E553"/>
  <c r="E395"/>
  <c r="E343"/>
  <c r="E183"/>
  <c r="E172"/>
  <c r="E213"/>
  <c r="E260"/>
  <c r="E322"/>
  <c r="E426"/>
  <c r="E17"/>
  <c r="E508"/>
  <c r="AJ6"/>
  <c r="E535"/>
  <c r="D19" i="12"/>
  <c r="C19" s="1"/>
  <c r="H53" i="43"/>
  <c r="H56"/>
  <c r="H48"/>
  <c r="H55"/>
  <c r="H52"/>
  <c r="H49"/>
  <c r="H51"/>
  <c r="H54"/>
  <c r="H50"/>
  <c r="E4" i="4"/>
  <c r="K4" s="1"/>
  <c r="B46" i="48" s="1"/>
  <c r="B4" i="72" s="1"/>
  <c r="C28" i="67"/>
  <c r="C31" i="12"/>
  <c r="C48" i="69"/>
  <c r="C30" i="68"/>
  <c r="C28" i="15"/>
  <c r="C24" i="12"/>
  <c r="C30" i="69"/>
  <c r="C48" i="68"/>
  <c r="C77" i="9"/>
  <c r="C74" s="1"/>
  <c r="C16" i="43"/>
  <c r="D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3" i="6"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E102" i="43"/>
  <c r="E104"/>
  <c r="E106"/>
  <c r="E107"/>
  <c r="E103"/>
  <c r="E105"/>
  <c r="M102"/>
  <c r="M104"/>
  <c r="M106"/>
  <c r="M107"/>
  <c r="M103"/>
  <c r="M105"/>
  <c r="H102"/>
  <c r="H107"/>
  <c r="H103"/>
  <c r="H106"/>
  <c r="H104"/>
  <c r="H105"/>
  <c r="K19" i="6"/>
  <c r="S6" i="1" s="1"/>
  <c r="AR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F59" i="67"/>
  <c r="M17" i="15"/>
  <c r="F59"/>
  <c r="F31"/>
  <c r="M17" i="67"/>
  <c r="F31"/>
  <c r="D9" i="68"/>
  <c r="C17" i="15"/>
  <c r="C16" i="67"/>
  <c r="C16" i="15"/>
  <c r="B115" i="43" l="1"/>
  <c r="D116"/>
  <c r="E116" s="1"/>
  <c r="F116" s="1"/>
  <c r="G116" s="1"/>
  <c r="H116" s="1"/>
  <c r="G118"/>
  <c r="H118" s="1"/>
  <c r="B118"/>
  <c r="C118" s="1"/>
  <c r="B117"/>
  <c r="C117" s="1"/>
  <c r="D115"/>
  <c r="E115" s="1"/>
  <c r="F115" s="1"/>
  <c r="G115" s="1"/>
  <c r="H115" s="1"/>
  <c r="I118"/>
  <c r="J118" s="1"/>
  <c r="K118" s="1"/>
  <c r="L118" s="1"/>
  <c r="M118" s="1"/>
  <c r="D118"/>
  <c r="E118" s="1"/>
  <c r="F118" s="1"/>
  <c r="B116"/>
  <c r="C116" s="1"/>
  <c r="I117"/>
  <c r="J117" s="1"/>
  <c r="K117" s="1"/>
  <c r="L117" s="1"/>
  <c r="M117" s="1"/>
  <c r="I116"/>
  <c r="J116" s="1"/>
  <c r="K116" s="1"/>
  <c r="L116" s="1"/>
  <c r="M116" s="1"/>
  <c r="I115"/>
  <c r="J115" s="1"/>
  <c r="K115" s="1"/>
  <c r="L115" s="1"/>
  <c r="M115" s="1"/>
  <c r="M19" i="6"/>
  <c r="I19" s="1"/>
  <c r="L18" i="9" s="1"/>
  <c r="E63" i="39"/>
  <c r="G103" i="43"/>
  <c r="K107"/>
  <c r="K109"/>
  <c r="G106"/>
  <c r="G107"/>
  <c r="G102"/>
  <c r="K104"/>
  <c r="K106"/>
  <c r="K102"/>
  <c r="K105"/>
  <c r="G109"/>
  <c r="E16" i="6"/>
  <c r="C9" i="68"/>
  <c r="H66" i="43"/>
  <c r="H65"/>
  <c r="H64"/>
  <c r="H63"/>
  <c r="H62"/>
  <c r="H61"/>
  <c r="H60"/>
  <c r="H59"/>
  <c r="H67"/>
  <c r="AQ6" i="1"/>
  <c r="E6" i="70"/>
  <c r="S6" i="43"/>
  <c r="T6" s="1"/>
  <c r="V6" s="1"/>
  <c r="E30" i="6"/>
  <c r="E31" s="1"/>
  <c r="K15" i="1"/>
  <c r="K16" s="1"/>
  <c r="E62" i="39"/>
  <c r="E57" i="40"/>
  <c r="E64" i="39"/>
  <c r="E59" i="40"/>
  <c r="K27" i="6"/>
  <c r="B14" i="74"/>
  <c r="B1" s="1"/>
  <c r="D3" i="34"/>
  <c r="D3" i="21"/>
  <c r="D3" i="33"/>
  <c r="B5" i="62"/>
  <c r="B73" i="72" s="1"/>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M27"/>
  <c r="H10" i="39"/>
  <c r="J10"/>
  <c r="Q61" i="15"/>
  <c r="C49"/>
  <c r="Q60"/>
  <c r="M16" i="1"/>
  <c r="N16" s="1"/>
  <c r="Q60" i="67"/>
  <c r="Q73"/>
  <c r="F27" i="11"/>
  <c r="Q61" i="67"/>
  <c r="Q74"/>
  <c r="C49"/>
  <c r="F1"/>
  <c r="Q52"/>
  <c r="F27" i="68"/>
  <c r="C115" i="43" l="1"/>
  <c r="D113"/>
  <c r="J22" s="1"/>
  <c r="S3"/>
  <c r="T3" s="1"/>
  <c r="V3" s="1"/>
  <c r="S7"/>
  <c r="T7" s="1"/>
  <c r="V7" s="1"/>
  <c r="S2"/>
  <c r="T2" s="1"/>
  <c r="V2" s="1"/>
  <c r="C23"/>
  <c r="C21" s="1"/>
  <c r="C29" s="1"/>
  <c r="E29" s="1"/>
  <c r="S5"/>
  <c r="T5" s="1"/>
  <c r="V5" s="1"/>
  <c r="S4"/>
  <c r="T4" s="1"/>
  <c r="V4" s="1"/>
  <c r="C29" i="68"/>
  <c r="D27" s="1"/>
  <c r="E66" i="39"/>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11"/>
  <c r="C10" s="1"/>
  <c r="D20" i="12"/>
  <c r="C20" s="1"/>
  <c r="M19" i="9"/>
  <c r="C118"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D10" i="68"/>
  <c r="C34" i="11" l="1"/>
  <c r="C35" s="1"/>
  <c r="R25" i="6"/>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8" i="11"/>
  <c r="C14" i="12"/>
  <c r="C23"/>
  <c r="C34" i="68"/>
  <c r="C36"/>
  <c r="E6" i="76"/>
  <c r="B29" i="1" l="1"/>
  <c r="C18" i="12" s="1"/>
  <c r="C8" i="68"/>
  <c r="D31" i="6"/>
  <c r="I6" s="1"/>
  <c r="E2" i="76"/>
  <c r="B2" i="43"/>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F35" i="15"/>
  <c r="M21"/>
  <c r="M21" i="67"/>
  <c r="F35"/>
  <c r="C21" i="12" l="1"/>
  <c r="I5" i="6"/>
  <c r="F11" i="39"/>
  <c r="J11"/>
  <c r="H11"/>
  <c r="B2" i="76"/>
  <c r="B3" s="1"/>
  <c r="B3" i="43"/>
  <c r="C49" i="21"/>
  <c r="F63" i="67"/>
  <c r="C62" s="1"/>
  <c r="C34"/>
  <c r="J20"/>
  <c r="C24" i="68"/>
  <c r="J20" i="15"/>
  <c r="F63"/>
  <c r="C62" s="1"/>
  <c r="C34"/>
  <c r="R16" i="1"/>
  <c r="C22" i="12"/>
  <c r="C30" s="1"/>
  <c r="C28" s="1"/>
  <c r="C33" i="68"/>
  <c r="I63" i="40"/>
  <c r="H65"/>
  <c r="C39" i="11"/>
  <c r="C43" s="1"/>
  <c r="C41" s="1"/>
  <c r="I70" i="39"/>
  <c r="U11" l="1"/>
  <c r="AB11"/>
  <c r="AA11"/>
  <c r="S11"/>
  <c r="W11"/>
  <c r="AC1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c r="M27"/>
  <c r="M27" i="67"/>
  <c r="F41"/>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8"/>
  <c r="AO7"/>
  <c r="E2" i="69"/>
  <c r="B8" i="70" l="1"/>
  <c r="B7"/>
  <c r="B6"/>
  <c r="C46" i="15"/>
  <c r="B2" i="69"/>
  <c r="B3" s="1"/>
  <c r="B3" i="67"/>
  <c r="D2" i="37"/>
  <c r="D2" i="35"/>
  <c r="E2" i="68"/>
  <c r="D2" i="33"/>
  <c r="F20" i="31"/>
  <c r="D2" i="36"/>
  <c r="D2" i="34"/>
  <c r="D2" i="21"/>
  <c r="B20" i="31" l="1"/>
  <c r="B2" i="36"/>
  <c r="B3" s="1"/>
  <c r="B2" i="35"/>
  <c r="B3" s="1"/>
  <c r="B2" i="37"/>
  <c r="B3" s="1"/>
  <c r="B2" i="34"/>
  <c r="B3" s="1"/>
  <c r="B2" i="21"/>
  <c r="B3" s="1"/>
  <c r="B2" i="70"/>
  <c r="B3" s="1"/>
  <c r="D19" i="9"/>
  <c r="D20"/>
  <c r="D102" l="1"/>
  <c r="D21"/>
  <c r="D103"/>
  <c r="H109" l="1"/>
  <c r="M49" s="1"/>
  <c r="L68" s="1"/>
  <c r="M68" s="1"/>
  <c r="L65" l="1"/>
  <c r="M65" s="1"/>
  <c r="L66"/>
  <c r="M66" s="1"/>
  <c r="L64"/>
  <c r="M64" s="1"/>
  <c r="L63"/>
  <c r="M63" s="1"/>
  <c r="L67"/>
  <c r="M67" s="1"/>
  <c r="H110"/>
  <c r="D18" i="53" s="1"/>
  <c r="B35" i="72" s="1"/>
  <c r="D124" i="9"/>
  <c r="D16" i="53"/>
  <c r="B34" i="72" s="1"/>
  <c r="M69" i="9" l="1"/>
  <c r="D10" i="52"/>
  <c r="H14" i="74"/>
  <c r="D17" i="53"/>
  <c r="B36" i="72" s="1"/>
  <c r="D125" i="9"/>
  <c r="D11" i="52" s="1"/>
  <c r="N69" i="9" l="1"/>
  <c r="B7" i="74"/>
  <c r="D7" s="1"/>
  <c r="C7" l="1"/>
  <c r="J7" i="33" l="1"/>
  <c r="W7" s="1"/>
  <c r="F7"/>
  <c r="S7" s="1"/>
  <c r="H7"/>
  <c r="AB7" s="1"/>
  <c r="T48" s="1"/>
  <c r="G48" s="1"/>
  <c r="D126" i="9" l="1"/>
  <c r="I14" i="74" s="1"/>
  <c r="B8" s="1"/>
  <c r="D8" s="1"/>
  <c r="D20" i="53"/>
  <c r="B40" i="72" s="1"/>
  <c r="B38"/>
  <c r="G52" i="33"/>
  <c r="H52" s="1"/>
  <c r="AA7"/>
  <c r="R48" s="1"/>
  <c r="U7"/>
  <c r="AC7"/>
  <c r="V48" s="1"/>
  <c r="I48" s="1"/>
  <c r="D127" i="9" l="1"/>
  <c r="D13" i="52" s="1"/>
  <c r="D12"/>
  <c r="C8" i="74"/>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C6" i="68" s="1"/>
  <c r="B3" i="39" l="1"/>
  <c r="C7" i="68"/>
  <c r="C5" s="1"/>
  <c r="C23" l="1"/>
  <c r="C20"/>
  <c r="C28" l="1"/>
  <c r="C27" s="1"/>
  <c r="C25"/>
  <c r="C22" s="1"/>
  <c r="H112" i="9"/>
  <c r="D21" i="53"/>
  <c r="B39" i="72"/>
  <c r="H111" i="9"/>
  <c r="D19" i="53"/>
  <c r="D59" i="9"/>
  <c r="M55"/>
  <c r="C31" i="68" l="1"/>
  <c r="C52" s="1"/>
  <c r="C57" s="1"/>
  <c r="C56" s="1"/>
  <c r="B2" l="1"/>
  <c r="C19" i="9"/>
  <c r="B3" i="68"/>
  <c r="D35" i="9"/>
  <c r="C20"/>
  <c r="D34"/>
  <c r="C103" l="1"/>
  <c r="G20"/>
  <c r="C21"/>
  <c r="G19"/>
  <c r="C102"/>
  <c r="D22"/>
  <c r="G21" l="1"/>
  <c r="C32"/>
  <c r="C35" s="1"/>
  <c r="F118" s="1"/>
  <c r="H118" l="1"/>
  <c r="C104" s="1"/>
  <c r="C34"/>
  <c r="D118" s="1"/>
  <c r="G118"/>
  <c r="G4" i="52" s="1"/>
  <c r="B52" i="72" s="1"/>
  <c r="F119" i="9"/>
  <c r="F5" i="52" s="1"/>
  <c r="B53" i="72" s="1"/>
  <c r="F4" i="52"/>
  <c r="B51" i="72" s="1"/>
  <c r="H4" i="52" l="1"/>
  <c r="D14" i="74"/>
  <c r="E14" s="1"/>
  <c r="H101" i="9"/>
  <c r="H107" s="1"/>
  <c r="I118"/>
  <c r="I4" i="52" s="1"/>
  <c r="H119" i="9"/>
  <c r="H5" i="52" s="1"/>
  <c r="D119" i="9"/>
  <c r="D5" i="52" s="1"/>
  <c r="B49" i="72" s="1"/>
  <c r="D4" i="52"/>
  <c r="B47" i="72" s="1"/>
  <c r="C105" i="9"/>
  <c r="B5" i="74" l="1"/>
  <c r="C5" s="1"/>
  <c r="F14"/>
  <c r="H102" i="9"/>
  <c r="D7" i="53" s="1"/>
  <c r="B21" i="72" s="1"/>
  <c r="D45" i="9"/>
  <c r="D53" s="1"/>
  <c r="M48"/>
  <c r="E118"/>
  <c r="E4" i="52" s="1"/>
  <c r="B48" i="72" s="1"/>
  <c r="D5" i="53"/>
  <c r="B20" i="72" s="1"/>
  <c r="H108" i="9"/>
  <c r="D15" i="53" s="1"/>
  <c r="B31" i="72" s="1"/>
  <c r="D122" i="9"/>
  <c r="D13" i="53"/>
  <c r="D5" i="74"/>
  <c r="D55" i="9" l="1"/>
  <c r="M53" s="1"/>
  <c r="C72"/>
  <c r="D52"/>
  <c r="C93"/>
  <c r="C86" s="1"/>
  <c r="C85"/>
  <c r="C64"/>
  <c r="C63" s="1"/>
  <c r="C67" s="1"/>
  <c r="C68" s="1"/>
  <c r="D54" s="1"/>
  <c r="C78"/>
  <c r="C73" s="1"/>
  <c r="D6" i="53"/>
  <c r="B22" i="72" s="1"/>
  <c r="G14" i="74"/>
  <c r="B6" s="1"/>
  <c r="D123" i="9"/>
  <c r="D9" i="52" s="1"/>
  <c r="D8"/>
  <c r="D14" i="53"/>
  <c r="B32" i="72" s="1"/>
  <c r="B30"/>
  <c r="C79" i="9" l="1"/>
  <c r="C95"/>
  <c r="C96" s="1"/>
  <c r="E96" s="1"/>
  <c r="E97" s="1"/>
  <c r="C80"/>
  <c r="E80" s="1"/>
  <c r="E81" s="1"/>
  <c r="D6" i="74"/>
  <c r="C6"/>
  <c r="C97" i="9" l="1"/>
  <c r="D58" s="1"/>
  <c r="D56" s="1"/>
  <c r="M54" s="1"/>
  <c r="N57" s="1"/>
  <c r="N59" s="1"/>
  <c r="C81"/>
  <c r="N60" l="1"/>
  <c r="N61"/>
  <c r="P57"/>
  <c r="N58"/>
  <c r="K25" l="1"/>
  <c r="J1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<sst xmlns="http://schemas.openxmlformats.org/spreadsheetml/2006/main" count="7903" uniqueCount="3326">
  <si>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</si>
  <si>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</si>
  <si>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</si>
  <si>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</si>
  <si>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</si>
  <si>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</si>
  <si>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</si>
  <si>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</si>
  <si>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</si>
  <si>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</si>
  <si>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</si>
  <si>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</si>
  <si>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</si>
  <si>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</si>
  <si>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</si>
  <si>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</si>
  <si>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</si>
  <si>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</si>
  <si>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</si>
  <si>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</si>
  <si>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</si>
  <si>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</si>
  <si>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</si>
  <si>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</si>
  <si>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</si>
  <si>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</si>
  <si>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</si>
  <si>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</si>
  <si>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</si>
  <si>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</si>
  <si>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</si>
  <si>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</si>
  <si>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</si>
  <si>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</si>
  <si>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</si>
  <si>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</si>
  <si>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</si>
  <si>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</si>
  <si>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</si>
  <si>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</si>
  <si>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</si>
  <si>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</si>
  <si>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</si>
  <si>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</si>
  <si>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</si>
  <si>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</si>
  <si>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</si>
  <si>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</si>
  <si>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</si>
  <si>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</si>
  <si>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</si>
  <si>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</si>
  <si>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</si>
  <si>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</si>
  <si>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</si>
  <si>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</si>
  <si>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</si>
  <si>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</si>
  <si>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</si>
  <si>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</si>
  <si>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</si>
  <si>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</si>
  <si>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</si>
  <si>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</si>
  <si>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</si>
  <si>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</si>
  <si>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</si>
  <si>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</si>
  <si>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</si>
  <si>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</si>
  <si>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</si>
  <si>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</si>
  <si>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</si>
  <si>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</si>
  <si>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</si>
  <si>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</si>
  <si>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</si>
  <si>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</si>
  <si>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</si>
  <si>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</si>
  <si>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</si>
  <si>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</si>
  <si>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</si>
  <si>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</si>
  <si>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</si>
  <si>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</si>
  <si>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</si>
  <si>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</si>
  <si>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</si>
  <si>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</si>
  <si>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</si>
  <si>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</si>
  <si>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</si>
  <si>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</si>
  <si>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</si>
  <si>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</si>
  <si>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</si>
  <si>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</si>
  <si>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</si>
  <si>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</si>
  <si>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</si>
  <si>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</si>
  <si>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</si>
  <si>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</si>
  <si>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</si>
  <si>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</si>
  <si>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</si>
  <si>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</si>
  <si>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</si>
  <si>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</si>
  <si>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</si>
  <si>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</si>
  <si>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</si>
  <si>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</si>
  <si>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</si>
  <si>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</si>
  <si>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</si>
  <si>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</si>
  <si>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</si>
  <si>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</si>
  <si>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</si>
  <si>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</si>
  <si>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</si>
  <si>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</si>
  <si>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</si>
  <si>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</si>
  <si>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</si>
  <si>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</si>
  <si>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</si>
  <si>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</si>
  <si>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</si>
  <si>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</si>
  <si>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</si>
  <si>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</si>
  <si>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</si>
  <si>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</si>
  <si>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</si>
  <si>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</si>
  <si>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</si>
  <si>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</si>
  <si>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</si>
  <si>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</si>
  <si>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</si>
  <si>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</si>
  <si>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</si>
  <si>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</si>
  <si>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</si>
  <si>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</si>
  <si>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</si>
  <si>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</si>
  <si>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</si>
  <si>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</si>
  <si>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</si>
  <si>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</si>
  <si>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</si>
  <si>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</si>
  <si>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</si>
  <si>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</si>
  <si>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</si>
  <si>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</si>
  <si>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</si>
  <si>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</si>
  <si>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</si>
  <si>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</si>
  <si>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</si>
  <si>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</si>
  <si>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</si>
  <si>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</si>
  <si>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</si>
  <si>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</si>
  <si>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</si>
  <si>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</si>
  <si>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</si>
  <si>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</si>
  <si>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</si>
  <si>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</si>
  <si>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</si>
  <si>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</si>
  <si>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</si>
  <si>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</si>
  <si>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</si>
  <si>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</si>
  <si>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</si>
  <si>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</si>
  <si>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</si>
  <si>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</si>
  <si>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</si>
  <si>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</si>
  <si>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</si>
  <si>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</si>
  <si>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</si>
  <si>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</si>
  <si>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</si>
  <si>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</si>
  <si>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</si>
  <si>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</si>
  <si>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</si>
  <si>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</si>
  <si>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</si>
  <si>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</si>
  <si>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</si>
  <si>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</si>
  <si>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</si>
  <si>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</si>
  <si>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</si>
  <si>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</si>
  <si>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</si>
  <si>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</si>
  <si>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</si>
  <si>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</si>
  <si>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</si>
  <si>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</si>
  <si>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</si>
  <si>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</si>
  <si>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</si>
  <si>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</si>
  <si>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</si>
  <si>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</si>
  <si>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</si>
  <si>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</si>
  <si>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</si>
  <si>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</si>
  <si>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</si>
  <si>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</si>
  <si>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</si>
  <si>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</si>
  <si>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</si>
  <si>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</si>
  <si>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</si>
  <si>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</si>
  <si>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</si>
  <si>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</si>
  <si>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</si>
  <si>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</si>
  <si>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</si>
  <si>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</si>
  <si>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</si>
  <si>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</si>
  <si>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</si>
  <si>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</si>
  <si>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</si>
  <si>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</si>
  <si>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</si>
  <si>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</si>
  <si>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</si>
  <si>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</si>
  <si>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</si>
  <si>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</si>
  <si>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</si>
  <si>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</si>
  <si>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</si>
  <si>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</si>
  <si>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</si>
  <si>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</si>
  <si>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</si>
  <si>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</si>
  <si>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</si>
  <si>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</si>
  <si>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</si>
  <si>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</si>
  <si>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</si>
  <si>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</si>
  <si>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</si>
  <si>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</si>
  <si>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</si>
  <si>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</si>
  <si>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</si>
  <si>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</si>
  <si>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</si>
  <si>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</si>
  <si>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</si>
  <si>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</si>
  <si>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</si>
  <si>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</si>
  <si>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</si>
  <si>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</si>
  <si>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</si>
  <si>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</si>
  <si>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</si>
  <si>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</si>
  <si>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</si>
  <si>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</si>
  <si>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</si>
  <si>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</si>
  <si>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</si>
  <si>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</si>
  <si>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</si>
  <si>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</si>
  <si>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</si>
  <si>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</si>
  <si>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</si>
  <si>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</si>
  <si>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</si>
  <si>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</si>
  <si>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</si>
  <si>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</si>
  <si>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</si>
  <si>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</si>
  <si>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</si>
  <si>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</si>
  <si>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</si>
  <si>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</si>
  <si>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</si>
  <si>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</si>
  <si>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</si>
  <si>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</si>
  <si>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</si>
  <si>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</si>
  <si>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</si>
  <si>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</si>
  <si>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</si>
  <si>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</si>
  <si>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</si>
  <si>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</si>
  <si>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</si>
  <si>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</si>
  <si>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</si>
  <si>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</si>
  <si>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</si>
  <si>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</si>
  <si>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</si>
  <si>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</si>
  <si>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</si>
  <si>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</si>
  <si>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</si>
  <si>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</si>
  <si>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</si>
  <si>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</si>
  <si>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</si>
  <si>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</si>
  <si>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</si>
  <si>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</si>
  <si>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</si>
  <si>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</si>
  <si>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</si>
  <si>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</si>
  <si>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</si>
  <si>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</si>
  <si>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</si>
  <si>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</si>
  <si>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</si>
  <si>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</si>
  <si>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</si>
  <si>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</si>
  <si>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</si>
  <si>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</si>
  <si>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</si>
  <si>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</si>
  <si>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</si>
  <si>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</si>
  <si>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</si>
  <si>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</si>
  <si>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</si>
  <si>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</si>
  <si>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</si>
  <si>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</si>
  <si>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</si>
  <si>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</si>
  <si>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</si>
  <si>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</si>
  <si>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</si>
  <si>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</si>
  <si>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</si>
  <si>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</si>
  <si>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</si>
  <si>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</si>
  <si>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</si>
  <si>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</si>
  <si>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</si>
  <si>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</si>
  <si>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</si>
  <si>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</si>
  <si>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</si>
  <si>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</si>
  <si>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</si>
  <si>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</si>
  <si>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</si>
  <si>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</si>
  <si>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</si>
  <si>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</si>
  <si>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</si>
  <si>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</si>
  <si>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</si>
  <si>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</si>
  <si>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</si>
  <si>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</si>
  <si>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</si>
  <si>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</si>
  <si>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</si>
  <si>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</si>
  <si>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</si>
  <si>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</si>
  <si>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</si>
  <si>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</si>
  <si>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</si>
  <si>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</si>
  <si>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</si>
  <si>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</si>
  <si>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</si>
  <si>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</si>
  <si>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</si>
  <si>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</si>
  <si>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</si>
  <si>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</si>
  <si>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</si>
  <si>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</si>
  <si>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</si>
  <si>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</si>
  <si>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</si>
  <si>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</si>
  <si>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</si>
  <si>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</si>
  <si>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</si>
  <si>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</si>
  <si>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</si>
  <si>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</si>
  <si>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</si>
  <si>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</si>
  <si>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</si>
  <si>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</si>
  <si>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</si>
  <si>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</si>
  <si>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</si>
  <si>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</si>
  <si>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</si>
  <si>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</si>
  <si>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</si>
  <si>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</si>
  <si>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</si>
  <si>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</si>
  <si>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</si>
  <si>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</si>
  <si>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</si>
  <si>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</si>
  <si>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</si>
  <si>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</si>
  <si>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</si>
  <si>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</si>
  <si>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</si>
  <si>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</si>
  <si>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</si>
  <si>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</si>
  <si>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</si>
  <si>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</si>
  <si>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</si>
  <si>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</si>
  <si>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</si>
  <si>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</si>
  <si>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</si>
  <si>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</si>
  <si>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</si>
  <si>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</si>
  <si>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</si>
  <si>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</si>
  <si>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</si>
  <si>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</si>
  <si>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</si>
  <si>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</si>
  <si>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</si>
  <si>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</si>
  <si>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</si>
  <si>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</si>
  <si>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</si>
  <si>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</si>
  <si>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</si>
  <si>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</si>
  <si>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</si>
  <si>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</si>
  <si>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</si>
  <si>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</si>
  <si>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</si>
  <si>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</si>
  <si>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</si>
  <si>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</si>
  <si>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</si>
  <si>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</si>
  <si>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</si>
  <si>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</si>
  <si>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</si>
  <si>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</si>
  <si>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</si>
  <si>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</si>
  <si>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</si>
  <si>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</si>
  <si>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</si>
  <si>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</si>
  <si>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</si>
  <si>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</si>
  <si>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</si>
  <si>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</si>
  <si>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</si>
  <si>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</si>
  <si>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</si>
  <si>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</si>
  <si>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</si>
  <si>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</si>
  <si>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</si>
  <si>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</si>
  <si>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</si>
  <si>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</si>
  <si>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</si>
  <si>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</si>
  <si>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</si>
  <si>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</si>
  <si>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</si>
  <si>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</si>
  <si>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</si>
  <si>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</si>
  <si>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</si>
  <si>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</si>
  <si>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</si>
  <si>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</si>
  <si>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</si>
  <si>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</si>
  <si>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</si>
  <si>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</si>
  <si>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</si>
  <si>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</si>
  <si>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</si>
  <si>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</si>
  <si>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</si>
  <si>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</si>
  <si>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</si>
  <si>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</si>
  <si>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</si>
  <si>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</si>
  <si>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</si>
  <si>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</si>
  <si>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</si>
  <si>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</si>
  <si>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</si>
  <si>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</si>
  <si>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</si>
  <si>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</si>
  <si>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</si>
  <si>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</si>
  <si>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</si>
  <si>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</si>
  <si>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</si>
  <si>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</si>
  <si>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</si>
  <si>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</si>
  <si>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</si>
  <si>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</si>
  <si>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</si>
  <si>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</si>
  <si>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</si>
  <si>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</si>
  <si>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</si>
  <si>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</si>
  <si>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</si>
  <si>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</si>
  <si>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</si>
  <si>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</si>
  <si>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</si>
  <si>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</si>
  <si>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</si>
  <si>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</si>
  <si>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</si>
  <si>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</si>
  <si>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</si>
  <si>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</si>
  <si>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</si>
  <si>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</si>
  <si>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</si>
  <si>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</si>
  <si>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</si>
  <si>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</si>
  <si>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</si>
  <si>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</si>
  <si>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</si>
  <si>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</si>
  <si>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</si>
  <si>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</si>
  <si>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</si>
  <si>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</si>
  <si>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</si>
  <si>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</si>
  <si>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</si>
  <si>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</si>
  <si>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</si>
  <si>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</si>
  <si>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</si>
  <si>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</si>
  <si>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</si>
  <si>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</si>
  <si>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</si>
  <si>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</si>
  <si>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</si>
  <si>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</si>
  <si>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</si>
  <si>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</si>
  <si>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</si>
  <si>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</si>
  <si>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</si>
  <si>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</si>
  <si>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</si>
  <si>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</si>
  <si>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</si>
  <si>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</si>
  <si>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</si>
  <si>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</si>
  <si>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</si>
  <si>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</si>
  <si>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</si>
  <si>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</si>
  <si>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</si>
  <si>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</si>
  <si>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</si>
  <si>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</si>
  <si>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</si>
  <si>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</si>
  <si>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</si>
  <si>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</si>
  <si>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</si>
  <si>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</si>
  <si>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</si>
  <si>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</si>
  <si>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</si>
  <si>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</si>
  <si>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</si>
  <si>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</si>
  <si>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</si>
  <si>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</si>
  <si>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</si>
  <si>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</si>
  <si>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</si>
  <si>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</si>
  <si>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</si>
  <si>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</si>
  <si>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</si>
  <si>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</si>
  <si>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</si>
  <si>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</si>
  <si>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</si>
  <si>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</si>
  <si>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</si>
  <si>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</si>
  <si>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</si>
  <si>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</si>
  <si>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</si>
  <si>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</si>
  <si>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</si>
  <si>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</si>
  <si>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</si>
  <si>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</si>
  <si>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</si>
  <si>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</si>
  <si>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</si>
  <si>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</si>
  <si>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</si>
  <si>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</si>
  <si>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</si>
  <si>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</si>
  <si>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</si>
  <si>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</si>
  <si>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</si>
  <si>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</si>
  <si>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</si>
  <si>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</si>
  <si>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</si>
  <si>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</si>
  <si>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</si>
  <si>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</si>
  <si>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</si>
  <si>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</si>
  <si>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</si>
  <si>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</si>
  <si>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</si>
  <si>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</si>
  <si>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</si>
  <si>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</si>
  <si>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</si>
  <si>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</si>
  <si>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</si>
  <si>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</si>
  <si>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</si>
  <si>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</si>
  <si>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</si>
  <si>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</si>
  <si>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</si>
  <si>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</si>
  <si>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</si>
  <si>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</si>
  <si>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</si>
  <si>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</si>
  <si>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</si>
  <si>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</si>
  <si>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</si>
  <si>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</si>
  <si>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</si>
  <si>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</si>
  <si>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</si>
  <si>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</si>
  <si>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</si>
  <si>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</si>
  <si>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</si>
  <si>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</si>
  <si>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</si>
  <si>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</si>
  <si>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</si>
  <si>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</si>
  <si>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</si>
  <si>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</si>
  <si>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</si>
  <si>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</si>
  <si>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</si>
  <si>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</si>
  <si>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</si>
  <si>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</si>
  <si>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</si>
  <si>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</si>
  <si>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</si>
  <si>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</si>
  <si>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</si>
  <si>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</si>
  <si>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</si>
  <si>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</si>
  <si>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</si>
  <si>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</si>
  <si>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</si>
  <si>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</si>
  <si>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</si>
  <si>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</si>
  <si>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</si>
  <si>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</si>
  <si>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</si>
  <si>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</si>
  <si>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</si>
  <si>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</si>
  <si>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</si>
  <si>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</si>
  <si>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</si>
  <si>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</si>
  <si>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</si>
  <si>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</si>
  <si>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</si>
  <si>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</si>
  <si>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</si>
  <si>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</si>
  <si>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</si>
  <si>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</si>
  <si>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</si>
  <si>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</si>
  <si>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</si>
  <si>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</si>
  <si>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</si>
  <si>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</si>
  <si>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</si>
  <si>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</si>
  <si>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</si>
  <si>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</si>
  <si>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</si>
  <si>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</si>
  <si>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</si>
  <si>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</si>
  <si>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</si>
  <si>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</si>
  <si>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</si>
  <si>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</si>
  <si>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</si>
  <si>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</si>
  <si>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</si>
  <si>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</si>
  <si>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</si>
  <si>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</si>
  <si>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</si>
  <si>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</si>
  <si>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</si>
  <si>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</si>
  <si>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</si>
  <si>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</si>
  <si>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</si>
  <si>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</si>
  <si>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</si>
  <si>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</si>
  <si>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</si>
  <si>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</si>
  <si>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</si>
  <si>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</si>
  <si>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</si>
  <si>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</si>
  <si>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</si>
  <si>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</si>
  <si>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</si>
  <si>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</si>
  <si>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</si>
  <si>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</si>
  <si>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</si>
  <si>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</si>
  <si>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</si>
  <si>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</si>
  <si>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</si>
  <si>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</si>
  <si>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</si>
  <si>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</si>
  <si>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</si>
  <si>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</si>
  <si>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</si>
  <si>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</si>
  <si>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</si>
  <si>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</si>
  <si>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</si>
  <si>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</si>
  <si>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</si>
  <si>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</si>
  <si>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</si>
  <si>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</si>
  <si>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</si>
  <si>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</si>
  <si>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</si>
  <si>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</si>
  <si>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</si>
  <si>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</si>
  <si>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</si>
  <si>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</si>
  <si>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</si>
  <si>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</si>
  <si>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</si>
  <si>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</si>
  <si>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</si>
  <si>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</si>
  <si>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</si>
  <si>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</si>
  <si>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</si>
  <si>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</si>
  <si>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</si>
  <si>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</si>
  <si>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</si>
  <si>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</si>
  <si>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</si>
  <si>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</si>
  <si>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</si>
  <si>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</si>
  <si>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</si>
  <si>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</si>
  <si>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</si>
  <si>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</si>
  <si>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</si>
  <si>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</si>
  <si>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</si>
  <si>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</si>
  <si>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</si>
  <si>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</si>
  <si>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</si>
  <si>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</si>
  <si>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</si>
  <si>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</si>
  <si>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</si>
  <si>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</si>
  <si>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</si>
  <si>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</si>
  <si>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</si>
  <si>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</si>
  <si>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</si>
  <si>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</si>
  <si>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</si>
  <si>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</si>
  <si>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</si>
  <si>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</si>
  <si>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</si>
  <si>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</si>
  <si>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</si>
  <si>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</si>
  <si>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</si>
  <si>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</si>
  <si>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</si>
  <si>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</si>
  <si>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</si>
  <si>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</si>
  <si>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</si>
  <si>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</si>
  <si>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</si>
  <si>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</si>
  <si>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</si>
  <si>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</si>
  <si>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</si>
  <si>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</si>
  <si>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</si>
  <si>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</si>
  <si>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</si>
  <si>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</si>
  <si>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</si>
  <si>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</si>
  <si>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</si>
  <si>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</si>
  <si>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</si>
  <si>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</si>
  <si>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</si>
  <si>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</si>
  <si>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</si>
  <si>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</si>
  <si>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</si>
  <si>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</si>
  <si>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</si>
  <si>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</si>
  <si>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</si>
  <si>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</si>
  <si>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</si>
  <si>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</si>
  <si>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</si>
  <si>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</si>
  <si>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</si>
  <si>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</si>
  <si>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</si>
  <si>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</si>
  <si>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</si>
  <si>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</si>
  <si>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</si>
  <si>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</si>
  <si>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</si>
  <si>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</si>
  <si>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</si>
  <si>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</si>
  <si>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</si>
  <si>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</si>
  <si>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</si>
  <si>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</si>
  <si>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</si>
  <si>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</si>
  <si>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</si>
  <si>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</si>
  <si>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</si>
  <si>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</si>
  <si>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</si>
  <si>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</si>
  <si>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</si>
  <si>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</si>
  <si>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</si>
  <si>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</si>
  <si>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</si>
  <si>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</si>
  <si>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</si>
  <si>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</si>
  <si>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</si>
  <si>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</si>
  <si>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</si>
  <si>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</si>
  <si>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</si>
  <si>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</si>
  <si>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</si>
  <si>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</si>
  <si>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</si>
  <si>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</si>
  <si>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</si>
  <si>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</si>
  <si>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</si>
  <si>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</si>
  <si>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</si>
  <si>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</si>
  <si>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</si>
  <si>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</si>
  <si>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</si>
  <si>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</si>
  <si>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</si>
  <si>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</si>
  <si>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</si>
  <si>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</si>
  <si>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</si>
  <si>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</si>
  <si>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</si>
  <si>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</si>
  <si>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</si>
  <si>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</si>
  <si>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</si>
  <si>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</si>
  <si>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</si>
  <si>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</si>
  <si>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</si>
  <si>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</si>
  <si>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</si>
  <si>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</si>
  <si>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</si>
  <si>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</si>
  <si>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</si>
  <si>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</si>
  <si>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</si>
  <si>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</si>
  <si>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</si>
  <si>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</si>
  <si>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</si>
  <si>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</si>
  <si>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</si>
  <si>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</si>
  <si>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</si>
  <si>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</si>
  <si>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</si>
  <si>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</si>
  <si>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</si>
  <si>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</si>
  <si>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</si>
  <si>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</si>
  <si>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</si>
  <si>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</si>
  <si>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</si>
  <si>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</si>
  <si>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</si>
  <si>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</si>
  <si>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</si>
  <si>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</si>
  <si>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</si>
  <si>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</si>
  <si>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</si>
  <si>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</si>
  <si>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</si>
  <si>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</si>
  <si>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</si>
  <si>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</si>
  <si>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</si>
  <si>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</si>
  <si>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</si>
  <si>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</si>
  <si>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</si>
  <si>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</si>
  <si>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</si>
  <si>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</si>
  <si>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</si>
  <si>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</si>
  <si>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</si>
  <si>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</si>
  <si>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</si>
  <si>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</si>
  <si>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</si>
  <si>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</si>
  <si>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</si>
  <si>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</si>
  <si>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</si>
  <si>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</si>
  <si>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</si>
  <si>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</si>
  <si>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</si>
  <si>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</si>
  <si>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</si>
  <si>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</si>
  <si>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</si>
  <si>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</si>
  <si>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</si>
  <si>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</si>
  <si>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</si>
  <si>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</si>
  <si>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</si>
  <si>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</si>
  <si>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</si>
  <si>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</si>
  <si>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</si>
  <si>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</si>
  <si>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</si>
  <si>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</si>
  <si>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</si>
  <si>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</si>
  <si>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</si>
  <si>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</si>
  <si>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</si>
  <si>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</si>
  <si>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</si>
  <si>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</si>
  <si>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</si>
  <si>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</si>
  <si>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</si>
  <si>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</si>
  <si>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</si>
  <si>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</si>
  <si>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</si>
  <si>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</si>
  <si>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</si>
  <si>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</si>
  <si>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</si>
  <si>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</si>
  <si>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</si>
  <si>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</si>
  <si>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</si>
  <si>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</si>
  <si>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</si>
  <si>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</si>
  <si>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</si>
  <si>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</si>
  <si>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</si>
  <si>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</si>
  <si>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</si>
  <si>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</si>
  <si>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</si>
  <si>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</si>
  <si>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</si>
  <si>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</si>
  <si>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</si>
  <si>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</si>
  <si>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</si>
  <si>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</si>
  <si>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</si>
  <si>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</si>
  <si>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</si>
  <si>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</si>
  <si>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</si>
  <si>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</si>
  <si>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</si>
  <si>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</si>
  <si>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</si>
  <si>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</si>
  <si>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</si>
  <si>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</si>
  <si>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</si>
  <si>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</si>
  <si>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</si>
  <si>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</si>
  <si>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</si>
  <si>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</si>
  <si>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</si>
  <si>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</si>
  <si>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</si>
  <si>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</si>
  <si>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</si>
  <si>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</si>
  <si>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</si>
  <si>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</si>
  <si>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</si>
  <si>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</si>
  <si>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</si>
  <si>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</si>
  <si>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</si>
  <si>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</si>
  <si>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</si>
  <si>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</si>
  <si>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</si>
  <si>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</si>
  <si>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</si>
  <si>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</si>
  <si>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</si>
  <si>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</si>
  <si>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</si>
  <si>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</si>
  <si>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</si>
  <si>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</si>
  <si>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</si>
  <si>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</si>
  <si>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</si>
  <si>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</si>
  <si>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</si>
  <si>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</si>
  <si>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</si>
  <si>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</si>
  <si>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</si>
  <si>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</si>
  <si>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</si>
  <si>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</si>
  <si>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</si>
  <si>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</si>
  <si>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</si>
  <si>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</si>
  <si>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</si>
  <si>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</si>
  <si>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</si>
  <si>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</si>
  <si>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</si>
  <si>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</si>
  <si>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</si>
  <si>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</si>
  <si>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</si>
  <si>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</si>
  <si>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</si>
  <si>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</si>
  <si>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</si>
  <si>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</si>
  <si>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</si>
  <si>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</si>
  <si>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</si>
  <si>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</si>
  <si>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</si>
  <si>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</si>
  <si>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</si>
  <si>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</si>
  <si>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</si>
  <si>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</si>
  <si>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</si>
  <si>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</si>
  <si>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</si>
  <si>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</si>
  <si>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</si>
  <si>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</si>
  <si>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</si>
  <si>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</si>
  <si>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</si>
  <si>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</si>
  <si>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</si>
  <si>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</si>
  <si>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</si>
  <si>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</si>
  <si>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</si>
  <si>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</si>
  <si>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</si>
  <si>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</si>
  <si>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</si>
  <si>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</si>
  <si>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</si>
  <si>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</si>
  <si>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</si>
  <si>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</si>
  <si>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</si>
  <si>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</si>
  <si>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</si>
  <si>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</si>
  <si>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</si>
  <si>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</si>
  <si>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</si>
  <si>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</si>
  <si>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</si>
  <si>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</si>
  <si>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</si>
  <si>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</si>
  <si>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</si>
  <si>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</si>
  <si>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</si>
  <si>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</si>
  <si>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</si>
  <si>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</si>
  <si>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</si>
  <si>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</si>
  <si>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</si>
  <si>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</si>
  <si>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</si>
  <si>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</si>
  <si>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</si>
  <si>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</si>
  <si>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</si>
  <si>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</si>
  <si>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</si>
  <si>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</si>
  <si>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</si>
  <si>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</si>
  <si>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</si>
  <si>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</si>
  <si>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</si>
  <si>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</si>
  <si>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</si>
  <si>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</si>
  <si>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</si>
  <si>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</si>
  <si>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</si>
  <si>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</si>
  <si>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</si>
  <si>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</si>
  <si>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</si>
  <si>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</si>
  <si>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</si>
  <si>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</si>
  <si>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</si>
  <si>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</si>
  <si>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</si>
  <si>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</si>
  <si>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</si>
  <si>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</si>
  <si>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</si>
  <si>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</si>
  <si>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</si>
  <si>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</si>
  <si>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</si>
  <si>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</si>
  <si>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</si>
  <si>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</si>
  <si>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</si>
  <si>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</si>
  <si>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</si>
  <si>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</si>
  <si>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</si>
  <si>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</si>
  <si>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</si>
  <si>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</si>
  <si>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</si>
  <si>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</si>
  <si>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</si>
  <si>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</si>
  <si>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</si>
  <si>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</si>
  <si>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</si>
  <si>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</si>
  <si>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</si>
  <si>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</si>
  <si>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</si>
  <si>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</si>
  <si>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</si>
  <si>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</si>
  <si>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</si>
  <si>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</si>
  <si>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</si>
  <si>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</si>
  <si>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</si>
  <si>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</si>
  <si>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</si>
  <si>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</si>
  <si>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</si>
  <si>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</si>
  <si>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</si>
  <si>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</si>
  <si>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</si>
  <si>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</si>
  <si>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</si>
  <si>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</si>
  <si>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</si>
  <si>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</si>
  <si>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</si>
  <si>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</si>
  <si>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</si>
  <si>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</si>
  <si>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</si>
  <si>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</si>
  <si>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</si>
  <si>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</si>
  <si>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</si>
  <si>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</si>
  <si>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</si>
  <si>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</si>
  <si>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</si>
  <si>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</si>
  <si>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</si>
  <si>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</si>
  <si>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</si>
  <si>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</si>
  <si>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</si>
  <si>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</si>
  <si>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</si>
  <si>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</si>
  <si>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</si>
  <si>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</si>
  <si>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</si>
  <si>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</si>
  <si>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</si>
  <si>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</si>
  <si>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</si>
  <si>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</si>
  <si>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</si>
  <si>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</si>
  <si>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</si>
  <si>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</si>
  <si>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</si>
  <si>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</si>
  <si>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</si>
  <si>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</si>
  <si>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</si>
  <si>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</si>
  <si>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</si>
  <si>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</si>
  <si>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</si>
  <si>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</si>
  <si>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</si>
  <si>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</si>
  <si>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</si>
  <si>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</si>
  <si>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</si>
  <si>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</si>
  <si>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</si>
  <si>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</si>
  <si>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</si>
  <si>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</si>
  <si>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</si>
  <si>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</si>
  <si>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</si>
  <si>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</si>
  <si>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</si>
  <si>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</si>
  <si>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</si>
  <si>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</si>
  <si>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</si>
  <si>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</si>
  <si>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</si>
  <si>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</si>
  <si>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</si>
  <si>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</si>
  <si>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</si>
  <si>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</si>
  <si>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</si>
  <si>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</si>
  <si>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</si>
  <si>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</si>
  <si>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</si>
  <si>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</si>
  <si>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</si>
  <si>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</si>
  <si>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</si>
  <si>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</si>
  <si>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</si>
  <si>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</si>
  <si>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</si>
  <si>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</si>
  <si>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</si>
  <si>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</si>
  <si>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</si>
  <si>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</si>
  <si>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</si>
  <si>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</si>
  <si>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</si>
  <si>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</si>
  <si>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</si>
  <si>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</si>
  <si>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</si>
  <si>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</si>
  <si>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</si>
  <si>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</si>
  <si>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</si>
  <si>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</si>
  <si>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</si>
  <si>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</si>
  <si>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</si>
  <si>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</si>
  <si>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</si>
  <si>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</si>
  <si>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</si>
  <si>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</si>
  <si>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</si>
  <si>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</si>
  <si>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</si>
  <si>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</si>
  <si>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</si>
  <si>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</si>
  <si>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</si>
  <si>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</si>
  <si>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</si>
  <si>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</si>
  <si>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</si>
  <si>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</si>
  <si>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</si>
  <si>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</si>
  <si>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</si>
  <si>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</si>
  <si>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</si>
  <si>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</si>
  <si>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</si>
  <si>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</si>
  <si>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</si>
  <si>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</si>
  <si>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</si>
  <si>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</si>
  <si>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</si>
  <si>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</si>
  <si>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</si>
  <si>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</si>
  <si>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</si>
  <si>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</si>
  <si>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</si>
  <si>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</si>
  <si>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</si>
  <si>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</si>
  <si>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</si>
  <si>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</si>
  <si>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</si>
  <si>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</si>
  <si>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</si>
  <si>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</si>
  <si>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</si>
  <si>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</si>
  <si>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</si>
  <si>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</si>
  <si>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</si>
  <si>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</si>
  <si>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</si>
  <si>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</si>
  <si>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</si>
  <si>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</si>
  <si>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</si>
  <si>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</si>
  <si>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</si>
  <si>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</si>
  <si>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</si>
  <si>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</si>
  <si>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</si>
  <si>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</si>
  <si>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</si>
  <si>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</si>
  <si>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</si>
  <si>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</si>
  <si>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</si>
  <si>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</si>
  <si>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</si>
  <si>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</si>
  <si>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</si>
  <si>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</si>
  <si>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</si>
  <si>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</si>
  <si>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</si>
  <si>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</si>
  <si>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</si>
  <si>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</si>
  <si>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</si>
  <si>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</si>
  <si>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</si>
  <si>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</si>
  <si>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</si>
  <si>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</si>
  <si>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</si>
  <si>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</si>
  <si>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</si>
  <si>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</si>
  <si>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</si>
  <si>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</si>
  <si>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</si>
  <si>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</si>
  <si>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</si>
  <si>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</si>
  <si>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</si>
  <si>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</si>
  <si>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</si>
  <si>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</si>
  <si>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</si>
  <si>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</si>
  <si>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</si>
  <si>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</si>
  <si>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</si>
  <si>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</si>
  <si>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</si>
  <si>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</si>
  <si>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</si>
  <si>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</si>
  <si>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</si>
  <si>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</si>
  <si>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</si>
  <si>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</si>
  <si>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</si>
  <si>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</si>
  <si>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</si>
  <si>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</si>
  <si>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</si>
  <si>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</si>
  <si>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</si>
  <si>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</si>
  <si>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</si>
  <si>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</si>
  <si>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</si>
  <si>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</si>
  <si>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</si>
  <si>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</si>
  <si>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</si>
  <si>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</si>
  <si>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</si>
  <si>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</si>
  <si>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</si>
  <si>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</si>
  <si>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</si>
  <si>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</si>
  <si>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</si>
  <si>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</si>
  <si>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</si>
  <si>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</si>
  <si>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</si>
  <si>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</si>
  <si>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</si>
  <si>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</si>
  <si>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</si>
  <si>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</si>
  <si>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</si>
  <si>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</si>
  <si>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</si>
  <si>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</si>
  <si>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</si>
  <si>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</si>
  <si>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</si>
  <si>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</si>
  <si>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</si>
  <si>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</si>
  <si>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</si>
  <si>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</si>
  <si>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</si>
  <si>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</si>
  <si>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</si>
  <si>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</si>
  <si>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</si>
  <si>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</si>
  <si>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</si>
  <si>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</si>
  <si>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</si>
  <si>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</si>
  <si>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</si>
  <si>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</si>
  <si>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</si>
  <si>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</si>
  <si>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</si>
  <si>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</si>
  <si>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</si>
  <si>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</si>
  <si>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</si>
  <si>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</si>
  <si>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</si>
  <si>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</si>
  <si>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</si>
  <si>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</si>
  <si>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</si>
  <si>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</si>
  <si>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</si>
  <si>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</si>
  <si>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</si>
  <si>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</si>
  <si>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</si>
  <si>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</si>
  <si>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</si>
  <si>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</si>
  <si>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</si>
  <si>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</si>
  <si>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</si>
  <si>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</si>
  <si>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</si>
  <si>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</si>
  <si>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</si>
  <si>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</si>
  <si>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</si>
  <si>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</si>
  <si>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</si>
  <si>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</si>
  <si>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</si>
  <si>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</si>
  <si>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</si>
  <si>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</si>
  <si>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</si>
  <si>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</si>
  <si>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</si>
  <si>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</si>
  <si>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</si>
  <si>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</si>
  <si>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</si>
  <si>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</si>
  <si>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</si>
  <si>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</si>
  <si>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</si>
  <si>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</si>
  <si>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</si>
  <si>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</si>
  <si>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</si>
  <si>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</si>
  <si>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</si>
  <si>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</si>
  <si>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</si>
  <si>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</si>
  <si>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</si>
  <si>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</si>
  <si>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</si>
  <si>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</si>
  <si>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</si>
  <si>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</si>
  <si>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</si>
  <si>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</si>
  <si>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</si>
  <si>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</si>
  <si>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</si>
  <si>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</si>
  <si>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</si>
  <si>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</si>
  <si>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</si>
  <si>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</si>
  <si>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</si>
  <si>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</si>
  <si>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</si>
  <si>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</si>
  <si>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</si>
  <si>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</si>
  <si>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</si>
  <si>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</si>
  <si>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</si>
  <si>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</si>
  <si>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</si>
  <si>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</si>
  <si>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</si>
  <si>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</si>
  <si>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</si>
  <si>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</si>
  <si>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</si>
  <si>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</si>
  <si>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</si>
  <si>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</si>
  <si>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</si>
  <si>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</si>
  <si>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</si>
  <si>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</si>
  <si>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</si>
  <si>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</si>
  <si>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</si>
  <si>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</si>
  <si>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</si>
  <si>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</si>
  <si>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</si>
  <si>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</si>
  <si>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</si>
  <si>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</si>
  <si>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</si>
  <si>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</si>
  <si>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</si>
  <si>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</si>
  <si>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</si>
  <si>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</si>
  <si>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</si>
  <si>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</si>
  <si>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</si>
  <si>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</si>
  <si>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</si>
  <si>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</si>
  <si>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</si>
  <si>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</si>
  <si>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</si>
  <si>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</si>
  <si>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</si>
  <si>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</si>
  <si>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</si>
  <si>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</si>
  <si>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</si>
  <si>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</si>
  <si>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</si>
  <si>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</si>
  <si>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</si>
  <si>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</si>
  <si>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</si>
  <si>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</si>
  <si>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</si>
  <si>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</si>
  <si>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</si>
  <si>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</si>
  <si>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</si>
  <si>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</si>
  <si>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</si>
  <si>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</si>
  <si>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</si>
  <si>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</si>
  <si>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</si>
  <si>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</si>
  <si>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</si>
  <si>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</si>
  <si>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</si>
  <si>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</si>
  <si>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</si>
  <si>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</si>
  <si>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</si>
  <si>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</si>
  <si>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</si>
  <si>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</si>
  <si>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</si>
  <si>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</si>
  <si>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</si>
  <si>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</si>
  <si>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</si>
  <si>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</si>
  <si>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</si>
  <si>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</si>
  <si>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</si>
  <si>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</si>
  <si>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</si>
  <si>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</si>
  <si>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</si>
  <si>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</si>
  <si>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</si>
  <si>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</si>
  <si>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</si>
  <si>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</si>
  <si>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</si>
  <si>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</si>
  <si>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</si>
  <si>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</si>
  <si>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</si>
  <si>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</si>
  <si>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</si>
  <si>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</si>
  <si>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</si>
  <si>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</si>
  <si>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</si>
  <si>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</si>
  <si>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</si>
  <si>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</si>
  <si>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</si>
  <si>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</si>
  <si>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</si>
  <si>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</si>
  <si>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</si>
  <si>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</si>
  <si>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</si>
  <si>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</si>
  <si>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</si>
  <si>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</si>
  <si>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</si>
  <si>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</si>
  <si>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</si>
  <si>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</si>
  <si>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</si>
  <si>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</si>
  <si>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</si>
  <si>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</si>
  <si>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</si>
  <si>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</si>
  <si>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</si>
  <si>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</si>
  <si>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</si>
  <si>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</si>
  <si>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</si>
  <si>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</si>
  <si>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</si>
  <si>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</si>
  <si>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</si>
  <si>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</si>
  <si>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</si>
  <si>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</si>
  <si>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</si>
  <si>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</si>
  <si>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</si>
  <si>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</si>
  <si>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</si>
  <si>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</si>
  <si>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</si>
  <si>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</si>
  <si>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</si>
  <si>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</si>
  <si>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</si>
  <si>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</si>
  <si>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</si>
  <si>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</si>
  <si>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</si>
  <si>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</si>
  <si>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</si>
  <si>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</si>
  <si>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</si>
  <si>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</si>
  <si>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</si>
  <si>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</si>
  <si>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</si>
  <si>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</si>
  <si>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</si>
  <si>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</si>
  <si>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</si>
  <si>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</si>
  <si>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</si>
  <si>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</si>
  <si>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</si>
  <si>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</si>
  <si>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</si>
  <si>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</si>
  <si>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</si>
  <si>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</si>
  <si>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</si>
  <si>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</si>
  <si>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</si>
  <si>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</si>
  <si>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</si>
  <si>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</si>
  <si>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</si>
  <si>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</si>
  <si>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</si>
  <si>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</si>
  <si>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</si>
  <si>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</si>
  <si>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</si>
  <si>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</si>
  <si>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</si>
  <si>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</si>
  <si>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</si>
  <si>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</si>
  <si>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</si>
  <si>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</si>
  <si>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</si>
  <si>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</si>
  <si>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</si>
  <si>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</si>
  <si>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</si>
  <si>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</si>
  <si>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</si>
  <si>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</si>
  <si>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</si>
  <si>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</si>
  <si>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</si>
  <si>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</si>
  <si>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</si>
  <si>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</si>
  <si>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</si>
  <si>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</si>
  <si>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</si>
  <si>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</si>
  <si>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</si>
  <si>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</si>
  <si>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</si>
  <si>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</si>
  <si>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</si>
  <si>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</si>
  <si>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</si>
  <si>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</si>
  <si>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</si>
  <si>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</si>
  <si>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</si>
  <si>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</si>
  <si>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</si>
  <si>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</si>
  <si>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</si>
  <si>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</si>
  <si>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</si>
  <si>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</si>
  <si>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</si>
  <si>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</si>
  <si>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</si>
  <si>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</si>
  <si>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</si>
  <si>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</si>
  <si>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</si>
  <si>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</si>
  <si>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</si>
  <si>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</si>
  <si>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</si>
  <si>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</si>
  <si>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</si>
  <si>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</si>
  <si>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</si>
  <si>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</si>
  <si>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</si>
  <si>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</si>
  <si>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</si>
  <si>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</si>
  <si>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</si>
  <si>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</si>
  <si>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</si>
  <si>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</si>
  <si>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</si>
  <si>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</si>
  <si>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</si>
  <si>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</si>
  <si>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</si>
  <si>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</si>
  <si>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</si>
  <si>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</si>
  <si>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</si>
  <si>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</si>
  <si>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</si>
  <si>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</si>
  <si>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</si>
  <si>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</si>
  <si>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</si>
  <si>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</si>
  <si>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</si>
  <si>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</si>
  <si>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</si>
  <si>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</si>
  <si>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</si>
  <si>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</si>
  <si>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</si>
  <si>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</si>
  <si>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</si>
  <si>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</si>
  <si>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</si>
  <si>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</si>
  <si>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</si>
  <si>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</si>
  <si>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</si>
  <si>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</si>
  <si>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</si>
  <si>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</si>
  <si>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</si>
  <si>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</si>
  <si>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</si>
  <si>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</si>
  <si>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</si>
  <si>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</si>
  <si>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</si>
  <si>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</si>
  <si>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</si>
  <si>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</si>
  <si>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</si>
  <si>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</si>
  <si>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</si>
  <si>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</si>
  <si>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</si>
  <si>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</si>
  <si>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</si>
  <si>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</si>
  <si>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</si>
  <si>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</si>
  <si>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</si>
  <si>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</si>
  <si>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</si>
  <si>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</si>
  <si>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</si>
  <si>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</si>
  <si>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</si>
  <si>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</si>
  <si>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</si>
  <si>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</si>
  <si>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</si>
  <si>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</si>
  <si>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</si>
  <si>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</si>
  <si>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</si>
  <si>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</si>
  <si>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</si>
  <si>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</si>
  <si>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</si>
  <si>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</si>
  <si>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</si>
  <si>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</si>
  <si>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</si>
  <si>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</si>
  <si>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</si>
  <si>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</si>
  <si>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</si>
  <si>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</si>
  <si>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</si>
  <si>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</si>
  <si>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</si>
  <si>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</si>
  <si>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</si>
  <si>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</si>
  <si>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</si>
  <si>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</si>
  <si>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</si>
  <si>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</si>
  <si>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</si>
  <si>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</si>
  <si>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</si>
  <si>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</si>
  <si>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</si>
  <si>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</si>
  <si>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</si>
  <si>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</si>
  <si>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</si>
  <si>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</si>
  <si>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</si>
  <si>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</si>
  <si>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</si>
  <si>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</si>
  <si>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</si>
  <si>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</si>
  <si>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</si>
  <si>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</si>
  <si>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</si>
  <si>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</si>
  <si>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</si>
  <si>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</si>
  <si>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</si>
  <si>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</si>
  <si>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</si>
  <si>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</si>
  <si>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</si>
  <si>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</si>
  <si>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</si>
  <si>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</si>
  <si>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</si>
  <si>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</si>
  <si>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</si>
  <si>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</si>
  <si>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</si>
  <si>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</si>
  <si>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</si>
  <si>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</si>
  <si>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</si>
  <si>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</si>
  <si>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</si>
  <si>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</si>
  <si>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</si>
  <si>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</si>
  <si>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</si>
  <si>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</si>
  <si>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</si>
  <si>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</si>
  <si>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</si>
  <si>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</si>
  <si>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</si>
  <si>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</si>
  <si>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</si>
  <si>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</si>
  <si>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</si>
  <si>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</si>
  <si>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</si>
  <si>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</si>
  <si>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</si>
  <si>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</si>
  <si>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</si>
  <si>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</si>
  <si>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</si>
  <si>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</si>
  <si>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</si>
  <si>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</si>
  <si>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</si>
  <si>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</si>
  <si>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</si>
  <si>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</si>
  <si>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</si>
  <si>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</si>
  <si>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</si>
  <si>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</si>
  <si>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</si>
  <si>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</si>
  <si>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</si>
  <si>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</si>
  <si>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</si>
  <si>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</si>
  <si>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</si>
  <si>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</si>
  <si>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</si>
  <si>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</si>
  <si>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</si>
  <si>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</si>
  <si>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</si>
  <si>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</si>
  <si>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</si>
  <si>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</si>
  <si>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</si>
  <si>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</si>
  <si>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</si>
  <si>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</si>
  <si>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</si>
  <si>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</si>
  <si>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</si>
  <si>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</si>
  <si>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</si>
  <si>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</si>
  <si>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</si>
  <si>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</si>
  <si>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</si>
  <si>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</si>
  <si>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</si>
  <si>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</si>
  <si>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</si>
  <si>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</si>
  <si>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</si>
  <si>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</si>
  <si>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</si>
  <si>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</si>
  <si>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</si>
  <si>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</si>
  <si>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</si>
  <si>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</si>
  <si>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</si>
  <si>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</si>
  <si>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</si>
  <si>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</si>
  <si>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</si>
  <si>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</si>
  <si>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</si>
  <si>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</si>
  <si>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</si>
  <si>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</si>
  <si>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</si>
  <si>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</si>
  <si>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</si>
  <si>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</si>
  <si>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</si>
  <si>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</si>
  <si>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</si>
  <si>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</si>
  <si>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</si>
  <si>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</si>
  <si>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</si>
  <si>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</si>
  <si>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</si>
  <si>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</si>
  <si>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</si>
  <si>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</si>
  <si>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</si>
  <si>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</si>
  <si>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</si>
  <si>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</si>
  <si>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</si>
  <si>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</si>
  <si>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</si>
  <si>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</si>
  <si>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</si>
  <si>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</si>
  <si>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</si>
  <si>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</si>
  <si>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</si>
  <si>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</si>
  <si>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</si>
  <si>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</si>
  <si>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</si>
  <si>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</si>
  <si>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</si>
  <si>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</si>
  <si>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</si>
  <si>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</si>
  <si>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</si>
  <si>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</si>
  <si>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</si>
  <si>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</si>
  <si>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</si>
  <si>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</si>
  <si>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</si>
  <si>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</si>
  <si>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</si>
  <si>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</si>
  <si>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</si>
  <si>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</si>
  <si>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</si>
  <si>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</si>
  <si>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</si>
  <si>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</si>
  <si>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</si>
  <si>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</si>
  <si>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</si>
  <si>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</si>
  <si>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</si>
  <si>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</si>
  <si>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</si>
  <si>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</si>
  <si>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</si>
  <si>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</si>
  <si>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</si>
  <si>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</si>
  <si>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</si>
  <si>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</si>
  <si>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</si>
  <si>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</si>
  <si>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</si>
  <si>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</si>
  <si>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</si>
  <si>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</si>
  <si>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</si>
  <si>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</si>
  <si>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</si>
  <si>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</si>
  <si>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</si>
  <si>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</si>
  <si>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</si>
  <si>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</si>
  <si>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</si>
  <si>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</si>
  <si>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</si>
  <si>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</si>
  <si>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</si>
  <si>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</si>
  <si>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</si>
  <si>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</si>
  <si>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</si>
  <si>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</si>
  <si>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</si>
  <si>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</si>
  <si>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</si>
  <si>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</si>
  <si>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</si>
  <si>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</si>
  <si>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</si>
  <si>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</si>
  <si>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</si>
  <si>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</si>
  <si>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</si>
  <si>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</si>
  <si>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</si>
  <si>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</si>
  <si>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</si>
  <si>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</si>
  <si>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</si>
  <si>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</si>
  <si>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</si>
  <si>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</si>
  <si>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</si>
  <si>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</si>
  <si>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</si>
  <si>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</si>
  <si>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</si>
  <si>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</si>
  <si>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</si>
  <si>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</si>
  <si>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</si>
  <si>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</si>
  <si>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</si>
  <si>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</si>
  <si>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</si>
  <si>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</si>
  <si>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</si>
  <si>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</si>
  <si>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</si>
  <si>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</si>
  <si>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</si>
  <si>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</si>
  <si>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</si>
  <si>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</si>
  <si>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</si>
  <si>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</si>
  <si>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</si>
  <si>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</si>
  <si>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</si>
  <si>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</si>
  <si>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</si>
  <si>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</si>
  <si>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</si>
  <si>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</si>
  <si>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</si>
  <si>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</si>
  <si>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</si>
  <si>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</si>
  <si>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</si>
  <si>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</si>
  <si>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</si>
  <si>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</si>
  <si>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</si>
  <si>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</si>
  <si>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</si>
  <si>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</si>
  <si>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</si>
  <si>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</si>
  <si>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</si>
  <si>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</si>
  <si>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</si>
  <si>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</si>
  <si>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</si>
  <si>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</si>
  <si>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</si>
  <si>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</si>
  <si>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</si>
  <si>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</si>
  <si>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</si>
  <si>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</si>
  <si>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</si>
  <si>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</si>
  <si>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</si>
  <si>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</si>
  <si>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</si>
  <si>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</si>
  <si>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</si>
  <si>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</si>
  <si>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</si>
  <si>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</si>
  <si>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</si>
  <si>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</si>
  <si>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</si>
  <si>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</si>
  <si>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</si>
  <si>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</si>
  <si>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</si>
  <si>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</si>
  <si>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</si>
  <si>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</si>
  <si>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</si>
  <si>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</si>
  <si>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</si>
  <si>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</si>
  <si>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</si>
  <si>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</si>
  <si>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</si>
  <si>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</si>
  <si>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</si>
  <si>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</si>
  <si>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</si>
  <si>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</si>
  <si>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</si>
  <si>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</si>
  <si>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</si>
  <si>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</si>
  <si>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</si>
  <si>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</si>
  <si>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</si>
  <si>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</si>
  <si>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</si>
  <si>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</si>
  <si>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</si>
  <si>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</si>
  <si>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</si>
  <si>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</si>
  <si>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</si>
  <si>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</si>
  <si>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</si>
  <si>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</si>
  <si>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</si>
  <si>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</si>
  <si>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</si>
  <si>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</si>
  <si>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</si>
  <si>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</si>
  <si>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</si>
  <si>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</si>
  <si>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</si>
  <si>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</si>
  <si>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</si>
  <si>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</si>
  <si>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</si>
  <si>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</si>
  <si>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</si>
  <si>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</si>
  <si>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</si>
  <si>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</si>
  <si>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</si>
  <si>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</si>
  <si>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</si>
  <si>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</si>
  <si>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</si>
  <si>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</si>
  <si>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</si>
  <si>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</si>
  <si>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</si>
  <si>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</si>
  <si>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</si>
  <si>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</si>
  <si>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</si>
  <si>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</si>
  <si>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</si>
  <si>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</si>
  <si>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</si>
  <si>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</si>
  <si>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</si>
  <si>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</si>
  <si>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</si>
  <si>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</si>
  <si>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</si>
  <si>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</si>
  <si>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</si>
  <si>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</si>
  <si>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</si>
  <si>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</si>
  <si>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</si>
  <si>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</si>
  <si>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</si>
  <si>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</si>
  <si>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</si>
  <si>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</si>
  <si>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</si>
  <si>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</si>
  <si>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</si>
  <si>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</si>
  <si>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</si>
  <si>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</si>
  <si>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</si>
  <si>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</si>
  <si>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</si>
  <si>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</si>
  <si>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</si>
  <si>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</si>
  <si>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</si>
  <si>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</si>
  <si>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</si>
  <si>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</si>
  <si>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</si>
  <si>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</si>
  <si>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</si>
  <si>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</si>
  <si>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</si>
  <si>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</si>
  <si>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</si>
  <si>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</si>
  <si>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</si>
  <si>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</si>
  <si>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</si>
  <si>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</si>
  <si>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</si>
  <si>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</si>
  <si>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</si>
  <si>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</si>
  <si>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</si>
  <si>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</si>
  <si>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</si>
  <si>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</si>
  <si>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</si>
  <si>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</si>
  <si>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</si>
  <si>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</si>
  <si>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</si>
  <si>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</si>
  <si>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</si>
  <si>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</si>
  <si>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</si>
  <si>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</si>
  <si>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</si>
  <si>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</si>
  <si>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</si>
  <si>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</si>
  <si>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</si>
  <si>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</si>
  <si>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</si>
  <si>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</si>
  <si>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</si>
  <si>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</si>
  <si>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</si>
  <si>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</si>
  <si>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</si>
  <si>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</si>
  <si>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</si>
  <si>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</si>
  <si>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</si>
  <si>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</si>
  <si>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</si>
  <si>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</si>
  <si>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</si>
  <si>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</si>
  <si>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</si>
  <si>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</si>
  <si>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</si>
  <si>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</si>
  <si>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</si>
  <si>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</si>
  <si>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</si>
  <si>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</si>
  <si>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</si>
  <si>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</si>
  <si>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</si>
  <si>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</si>
  <si>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</si>
  <si>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</si>
  <si>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</si>
  <si>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</si>
  <si>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</si>
  <si>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</si>
  <si>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</si>
  <si>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</si>
  <si>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</si>
  <si>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</si>
  <si>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</si>
  <si>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</si>
  <si>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</si>
  <si>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</si>
  <si>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</si>
  <si>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</si>
  <si>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</si>
  <si>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</si>
  <si>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</si>
  <si>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</si>
  <si>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</si>
  <si>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</si>
  <si>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</si>
  <si>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</si>
  <si>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</si>
  <si>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</si>
  <si>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</si>
  <si>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</si>
  <si>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</si>
  <si>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</si>
  <si>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</si>
  <si>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</si>
  <si>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</si>
  <si>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</si>
  <si>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</si>
  <si>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</si>
  <si>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</si>
  <si>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</si>
  <si>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</si>
  <si>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</si>
  <si>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</si>
  <si>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</si>
  <si>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</si>
  <si>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</si>
  <si>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</si>
  <si>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</si>
  <si>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</si>
  <si>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</si>
  <si>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</si>
  <si>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</si>
  <si>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</si>
  <si>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</si>
  <si>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</si>
  <si>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</si>
  <si>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</si>
  <si>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</si>
  <si>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</si>
  <si>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</si>
  <si>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</si>
  <si>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</si>
  <si>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</si>
  <si>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</si>
  <si>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</si>
  <si>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</si>
  <si>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</si>
  <si>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</si>
  <si>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</si>
  <si>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</si>
  <si>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</si>
  <si>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</si>
  <si>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</si>
  <si>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</si>
  <si>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</si>
  <si>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</si>
  <si>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</si>
  <si>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</si>
  <si>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</si>
  <si>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</si>
  <si>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</si>
  <si>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</si>
  <si>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</si>
  <si>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</si>
  <si>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</si>
  <si>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</si>
  <si>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</si>
  <si>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</si>
  <si>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</si>
  <si>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</si>
  <si>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</si>
  <si>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</si>
  <si>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</si>
  <si>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</si>
  <si>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</si>
  <si>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</si>
  <si>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</si>
  <si>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</si>
  <si>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</si>
  <si>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</si>
  <si>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</si>
  <si>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</si>
  <si>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</si>
  <si>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</si>
  <si>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</si>
  <si>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</si>
  <si>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</si>
  <si>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</si>
  <si>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</si>
  <si>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</si>
  <si>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</si>
  <si>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</si>
  <si>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</si>
  <si>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</si>
  <si>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</si>
  <si>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</si>
  <si>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</si>
  <si>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</si>
  <si>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</si>
  <si>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</si>
  <si>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</si>
  <si>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</si>
  <si>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</si>
  <si>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</si>
  <si>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</si>
  <si>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</si>
  <si>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</si>
  <si>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</si>
  <si>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</si>
  <si>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</si>
  <si>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</si>
  <si>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</si>
  <si>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</si>
  <si>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</si>
  <si>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</si>
  <si>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</si>
  <si>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</si>
  <si>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</si>
  <si>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</si>
  <si>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</si>
  <si>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</si>
  <si>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</si>
  <si>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</si>
  <si>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</si>
  <si>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</si>
  <si>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</si>
  <si>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</si>
  <si>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</si>
  <si>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</si>
  <si>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</si>
  <si>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</si>
  <si>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</si>
  <si>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</si>
  <si>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</si>
  <si>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</si>
  <si>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</si>
  <si>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</si>
  <si>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</si>
  <si>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</si>
  <si>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</si>
  <si>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</si>
  <si>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</si>
  <si>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</si>
  <si>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</si>
  <si>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</si>
  <si>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</si>
  <si>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</si>
  <si>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</si>
  <si>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</si>
  <si>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</si>
  <si>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</si>
  <si>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</si>
  <si>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</si>
  <si>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</si>
  <si>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</si>
  <si>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</si>
  <si>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</si>
  <si>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</si>
  <si>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</si>
  <si>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</si>
  <si>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</si>
  <si>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</si>
  <si>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</si>
  <si>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</si>
  <si>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</si>
  <si>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</si>
  <si>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</si>
  <si>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</si>
  <si>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</si>
  <si>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</si>
  <si>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</si>
  <si>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</si>
  <si>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</si>
  <si>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</si>
  <si>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</si>
  <si>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</si>
  <si>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</si>
  <si>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</si>
  <si>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</si>
  <si>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</si>
  <si>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</si>
  <si>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</si>
  <si>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</si>
  <si>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</si>
  <si>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</si>
  <si>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</si>
  <si>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</si>
  <si>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</si>
  <si>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</si>
  <si>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</si>
  <si>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</si>
  <si>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</si>
  <si>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</si>
  <si>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</si>
  <si>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</si>
  <si>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</si>
  <si>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</si>
  <si>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</si>
  <si>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</si>
  <si>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</si>
  <si>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</si>
  <si>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</si>
  <si>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</si>
  <si>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</si>
  <si>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</si>
  <si>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</si>
  <si>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</si>
  <si>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</si>
  <si>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</si>
  <si>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</si>
  <si>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</si>
  <si>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</si>
  <si>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</si>
  <si>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</si>
  <si>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</si>
  <si>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</si>
  <si>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</si>
  <si>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</si>
  <si>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</si>
  <si>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</si>
  <si>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</si>
  <si>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</si>
  <si>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</si>
  <si>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</si>
  <si>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</si>
  <si>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</si>
  <si>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</si>
  <si>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</si>
  <si>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</si>
  <si>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</si>
  <si>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</si>
  <si>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</si>
  <si>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</si>
  <si>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</si>
  <si>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</si>
  <si>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</si>
  <si>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</si>
  <si>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</si>
  <si>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</si>
  <si>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</si>
  <si>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</si>
  <si>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</si>
  <si>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</si>
  <si>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</si>
  <si>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</si>
  <si>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</si>
  <si>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</si>
  <si>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</si>
  <si>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</si>
  <si>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</si>
  <si>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</si>
  <si>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</si>
  <si>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</si>
  <si>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</si>
  <si>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</si>
  <si>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</si>
  <si>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</si>
  <si>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</si>
  <si>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</si>
  <si>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</si>
  <si>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</si>
  <si>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</si>
  <si>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</si>
  <si>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</si>
  <si>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</si>
  <si>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</si>
  <si>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</si>
  <si>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</si>
  <si>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</si>
  <si>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</si>
  <si>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</si>
  <si>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</si>
  <si>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</si>
  <si>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</si>
  <si>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</si>
  <si>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</si>
  <si>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</si>
  <si>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</si>
  <si>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</si>
  <si>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</si>
  <si>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</si>
  <si>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</si>
  <si>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</si>
  <si>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</si>
  <si>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</si>
  <si>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</si>
  <si>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</si>
  <si>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</si>
  <si>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</si>
  <si>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</si>
  <si>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</si>
  <si>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</si>
  <si>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</si>
  <si>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</si>
  <si>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</si>
  <si>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</si>
  <si>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</si>
  <si>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</si>
  <si>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</si>
  <si>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</si>
  <si>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</si>
  <si>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</si>
  <si>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</si>
  <si>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</si>
  <si>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</si>
  <si>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</si>
  <si>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</si>
  <si>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</si>
  <si>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</si>
  <si>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</si>
  <si>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</si>
  <si>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</si>
  <si>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</si>
  <si>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</si>
  <si>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</si>
  <si>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</si>
  <si>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</si>
  <si>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</si>
  <si>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</si>
  <si>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</si>
  <si>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</si>
  <si>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</si>
  <si>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</si>
  <si>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</si>
  <si>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</si>
  <si>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</si>
  <si>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</si>
  <si>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</si>
  <si>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</si>
  <si>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</si>
  <si>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</si>
  <si>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</si>
  <si>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</si>
  <si>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</si>
  <si>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</si>
  <si>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</si>
  <si>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</si>
  <si>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</si>
  <si>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</si>
  <si>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</si>
  <si>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</si>
  <si>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</si>
  <si>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</si>
  <si>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</si>
  <si>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</si>
  <si>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</si>
  <si>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</si>
  <si>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</si>
  <si>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</si>
  <si>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</si>
  <si>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</si>
  <si>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</si>
  <si>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</si>
  <si>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</si>
  <si>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</si>
  <si>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</si>
  <si>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</si>
  <si>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</si>
  <si>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</si>
  <si>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</si>
  <si>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</si>
  <si>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</si>
  <si>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</si>
  <si>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</si>
  <si>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</si>
  <si>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</si>
  <si>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</si>
  <si>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</si>
  <si>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</si>
  <si>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</si>
  <si>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</si>
  <si>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</si>
  <si>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</si>
  <si>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</si>
  <si>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</si>
  <si>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</si>
  <si>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</si>
  <si>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</si>
  <si>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</si>
  <si>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</si>
  <si>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</si>
  <si>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</si>
  <si>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</si>
  <si>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</si>
  <si>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</si>
  <si>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</si>
  <si>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</si>
  <si>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</si>
  <si>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</si>
  <si>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</si>
  <si>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</si>
  <si>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</si>
  <si>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</si>
  <si>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</si>
  <si>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</si>
  <si>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</si>
  <si>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</si>
  <si>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</si>
  <si>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</si>
  <si>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</si>
  <si>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</si>
  <si>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</si>
  <si>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</si>
  <si>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</si>
  <si>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</si>
  <si>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</si>
  <si>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</si>
  <si>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</si>
  <si>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</si>
  <si>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</si>
  <si>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</si>
  <si>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</si>
  <si>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</si>
  <si>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</si>
  <si>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</si>
  <si>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</si>
  <si>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</si>
  <si>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</si>
  <si>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</si>
  <si>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</si>
  <si>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</si>
  <si>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</si>
  <si>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</si>
  <si>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</si>
  <si>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</si>
  <si>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</si>
  <si>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</si>
  <si>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</si>
  <si>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</si>
  <si>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</si>
  <si>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</si>
  <si>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</si>
  <si>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</si>
  <si>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</si>
  <si>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</si>
  <si>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</si>
  <si>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</si>
  <si>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</si>
  <si>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</si>
  <si>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</si>
  <si>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</si>
  <si>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</si>
  <si>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</si>
  <si>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</si>
  <si>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</si>
  <si>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</si>
  <si>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</si>
  <si>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</si>
  <si>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</si>
  <si>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</si>
  <si>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</si>
  <si>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</si>
  <si>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</si>
  <si>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</si>
  <si>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</si>
  <si>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</si>
  <si>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</si>
  <si>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</si>
  <si>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</si>
  <si>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</si>
  <si>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</si>
  <si>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</si>
  <si>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</si>
  <si>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</si>
  <si>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</si>
  <si>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</si>
  <si>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</si>
  <si>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</si>
  <si>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</si>
  <si>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</si>
  <si>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</si>
  <si>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</si>
  <si>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</si>
  <si>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</si>
  <si>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</si>
  <si>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</si>
  <si>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</si>
  <si>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</si>
  <si>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</si>
  <si>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</si>
  <si>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</si>
  <si>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</si>
  <si>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</si>
  <si>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</si>
  <si>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</si>
  <si>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</si>
  <si>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</si>
  <si>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</si>
  <si>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</si>
  <si>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</si>
  <si>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</si>
  <si>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</si>
  <si>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</si>
  <si>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</si>
  <si>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</si>
  <si>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</si>
  <si>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</si>
  <si>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</si>
  <si>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</si>
  <si>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</si>
  <si>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</si>
  <si>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</si>
  <si>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</si>
  <si>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</si>
  <si>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</si>
  <si>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</si>
  <si>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</si>
  <si>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</si>
  <si>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</si>
  <si>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</si>
  <si>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</si>
  <si>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</si>
  <si>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</si>
  <si>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</si>
  <si>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</si>
  <si>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</si>
  <si>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</si>
  <si>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</si>
  <si>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</si>
  <si>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</si>
  <si>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</si>
  <si>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</si>
  <si>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</si>
  <si>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</si>
  <si>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</si>
  <si>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</si>
  <si>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</si>
  <si>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</si>
  <si>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</si>
  <si>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</si>
  <si>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</si>
  <si>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</si>
  <si>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</si>
  <si>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</si>
  <si>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</si>
  <si>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</si>
  <si>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</si>
  <si>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</si>
  <si>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</si>
  <si>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</si>
  <si>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</si>
  <si>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</si>
  <si>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</si>
  <si>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</si>
  <si>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</si>
  <si>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</si>
  <si>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</si>
  <si>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</si>
  <si>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</si>
  <si>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</si>
  <si>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</si>
  <si>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</si>
  <si>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</si>
  <si>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</si>
  <si>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</si>
  <si>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</si>
  <si>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</si>
  <si>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</si>
  <si>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</si>
  <si>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</si>
  <si>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</si>
  <si>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</si>
  <si>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</si>
  <si>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</si>
  <si>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</si>
  <si>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</si>
  <si>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</si>
  <si>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</si>
  <si>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</si>
  <si>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</si>
  <si>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</si>
  <si>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</si>
  <si>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</si>
  <si>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</si>
  <si>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</si>
  <si>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</si>
  <si>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</si>
  <si>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</si>
  <si>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</si>
  <si>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</si>
  <si>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</si>
  <si>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</si>
  <si>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</si>
  <si>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</si>
  <si>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</si>
  <si>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</si>
  <si>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</si>
  <si>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</si>
  <si>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</si>
  <si>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</si>
  <si>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</si>
  <si>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</si>
  <si>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</si>
  <si>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</si>
  <si>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</si>
  <si>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</si>
  <si>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</si>
  <si>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</si>
  <si>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</si>
  <si>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</si>
  <si>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</si>
  <si>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</si>
  <si>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</si>
  <si>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</si>
  <si>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</si>
  <si>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</si>
  <si>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</si>
  <si>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</si>
  <si>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</si>
  <si>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</si>
  <si>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</si>
  <si>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</si>
  <si>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</si>
  <si>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</si>
  <si>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</si>
  <si>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</si>
  <si>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</si>
  <si>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</si>
  <si>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</si>
  <si>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</si>
  <si>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</si>
  <si>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</si>
  <si>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</si>
  <si>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</si>
  <si>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</si>
  <si>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</si>
  <si>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</si>
  <si>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</si>
  <si>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</si>
  <si>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</si>
  <si>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</si>
  <si>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</si>
  <si>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</si>
  <si>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</si>
  <si>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</si>
  <si>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</si>
  <si>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</si>
  <si>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</si>
  <si>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</si>
  <si>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</si>
  <si>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</si>
  <si>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</si>
  <si>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</si>
  <si>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</si>
  <si>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</si>
  <si>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</si>
  <si>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</si>
  <si>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</si>
  <si>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</si>
  <si>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</si>
  <si>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</si>
  <si>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</si>
  <si>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</si>
  <si>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</si>
  <si>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</si>
  <si>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</si>
  <si>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</si>
  <si>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</si>
  <si>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</si>
  <si>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</si>
  <si>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</si>
  <si>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</si>
  <si>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</si>
  <si>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</si>
  <si>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</si>
  <si>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</si>
  <si>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</si>
  <si>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</si>
  <si>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</si>
  <si>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</si>
  <si>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</si>
  <si>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</si>
  <si>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</si>
  <si>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</si>
  <si>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</si>
  <si>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</si>
  <si>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</si>
  <si>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</si>
  <si>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</si>
  <si>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</si>
  <si>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</si>
  <si>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</si>
  <si>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</si>
  <si>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</si>
  <si>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</si>
  <si>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</si>
  <si>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</si>
  <si>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</si>
  <si>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</si>
  <si>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</si>
  <si>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</si>
  <si>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</si>
  <si>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现状用途</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</si>
  <si>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</si>
  <si>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</si>
  <si>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</si>
  <si>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</si>
  <si>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</si>
  <si>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</si>
  <si>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房屋所有权证</t>
    <phoneticPr fontId="3"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</si>
  <si>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</si>
  <si>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</si>
  <si>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</si>
  <si>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</si>
  <si>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</si>
  <si>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</si>
  <si>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</si>
  <si>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</si>
  <si>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备注</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</si>
  <si>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</si>
  <si>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</si>
  <si>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</si>
  <si>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</si>
  <si>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</si>
  <si>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</si>
  <si>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</si>
  <si>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</si>
  <si>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</si>
  <si>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</si>
  <si>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</si>
  <si>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</si>
  <si>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</si>
  <si>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</si>
  <si>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</si>
  <si>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</si>
  <si>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</si>
  <si>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</si>
  <si>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</si>
  <si>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</si>
  <si>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已灭失</t>
    <phoneticPr fontId="20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</si>
  <si>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</si>
  <si>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</si>
  <si>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</si>
  <si>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</si>
  <si>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</si>
  <si>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</si>
  <si>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</si>
  <si>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</si>
  <si>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</si>
  <si>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</si>
  <si>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</si>
  <si>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</si>
  <si>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</si>
  <si>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</si>
  <si>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</si>
  <si>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</si>
  <si>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</si>
  <si>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</si>
  <si>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</si>
  <si>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</si>
  <si>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</si>
  <si>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</si>
  <si>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</si>
  <si>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</si>
  <si>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</si>
  <si>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</si>
  <si>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</si>
  <si>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</si>
  <si>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</si>
  <si>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</si>
  <si>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</si>
  <si>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</si>
  <si>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</si>
  <si>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</si>
  <si>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</si>
  <si>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</si>
  <si>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</si>
  <si>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</si>
  <si>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</si>
  <si>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</si>
  <si>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</si>
  <si>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</si>
  <si>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</si>
  <si>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</si>
  <si>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</si>
  <si>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</si>
  <si>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</si>
  <si>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</si>
  <si>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</si>
  <si>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</si>
  <si>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</si>
  <si>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</si>
  <si>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</si>
  <si>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</si>
  <si>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</si>
  <si>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</si>
  <si>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</si>
  <si>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</si>
  <si>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</si>
  <si>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</si>
  <si>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</si>
  <si>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</si>
  <si>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</si>
  <si>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</si>
  <si>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</si>
  <si>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</si>
  <si>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</si>
  <si>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</si>
  <si>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</si>
  <si>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</si>
  <si>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</si>
  <si>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</si>
  <si>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</si>
  <si>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</si>
  <si>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</si>
  <si>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</si>
  <si>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</si>
  <si>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</si>
  <si>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</si>
  <si>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</si>
  <si>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</si>
  <si>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</si>
  <si>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</si>
  <si>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</si>
  <si>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</si>
  <si>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</si>
  <si>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</si>
  <si>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</si>
  <si>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</si>
  <si>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</si>
  <si>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</si>
  <si>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t>建安</t>
    <phoneticPr fontId="205" type="noConversion"/>
  </si>
  <si>
    <t>成新率</t>
    <phoneticPr fontId="205" type="noConversion"/>
  </si>
  <si>
    <t>规证面积</t>
    <phoneticPr fontId="205" type="noConversion"/>
  </si>
  <si>
    <t>北厂（除酒店）</t>
    <phoneticPr fontId="3" type="noConversion"/>
  </si>
  <si>
    <t>酒店</t>
    <phoneticPr fontId="3" type="noConversion"/>
  </si>
  <si>
    <t>面积</t>
    <phoneticPr fontId="3" type="noConversion"/>
  </si>
  <si>
    <t>占比</t>
    <phoneticPr fontId="3" type="noConversion"/>
  </si>
  <si>
    <t>成新度</t>
    <phoneticPr fontId="3" type="noConversion"/>
  </si>
  <si>
    <t>建安费</t>
    <phoneticPr fontId="3" type="noConversion"/>
  </si>
</sst>
</file>

<file path=xl/styles.xml><?xml version="1.0" encoding="utf-8"?>
<styleSheet xmlns="http://schemas.openxmlformats.org/spreadsheetml/2006/main">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5" xfId="0" applyFont="1" applyFill="1" applyBorder="1" applyAlignment="1">
      <alignment vertical="center" wrapText="1"/>
    </xf>
    <xf numFmtId="176" fontId="11" fillId="9" borderId="1" xfId="0" applyNumberFormat="1" applyFont="1" applyFill="1" applyBorder="1" applyAlignment="1" applyProtection="1">
      <alignment vertical="center" wrapText="1"/>
      <protection locked="0"/>
    </xf>
    <xf numFmtId="179" fontId="71" fillId="9" borderId="1" xfId="0" applyNumberFormat="1" applyFont="1" applyFill="1" applyBorder="1" applyAlignment="1" applyProtection="1">
      <alignment horizontal="center" vertical="center" wrapText="1"/>
      <protection locked="0"/>
    </xf>
    <xf numFmtId="179" fontId="11" fillId="6" borderId="0" xfId="0" applyNumberFormat="1" applyFont="1" applyFill="1" applyAlignment="1" applyProtection="1">
      <alignment horizontal="center" vertical="center"/>
      <protection locked="0"/>
    </xf>
    <xf numFmtId="0" fontId="11" fillId="6"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5" borderId="1" xfId="0" applyFont="1" applyFill="1" applyBorder="1" applyAlignment="1">
      <alignment horizontal="center" vertical="center" wrapText="1"/>
    </xf>
    <xf numFmtId="0" fontId="0" fillId="0" borderId="60" xfId="0" applyBorder="1" applyAlignment="1">
      <alignment horizontal="center" vertical="center"/>
    </xf>
    <xf numFmtId="0" fontId="267" fillId="5" borderId="1" xfId="0" applyFont="1" applyFill="1" applyBorder="1" applyAlignment="1">
      <alignment horizontal="center" vertical="center"/>
    </xf>
    <xf numFmtId="31" fontId="267" fillId="5" borderId="1" xfId="0" applyNumberFormat="1" applyFont="1" applyFill="1" applyBorder="1" applyAlignment="1">
      <alignment horizontal="center" vertical="center" wrapText="1"/>
    </xf>
    <xf numFmtId="0" fontId="267" fillId="5" borderId="1" xfId="0" applyFont="1" applyFill="1" applyBorder="1" applyAlignment="1">
      <alignment horizontal="left" vertical="center" wrapText="1"/>
    </xf>
    <xf numFmtId="0" fontId="267"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267" fillId="0" borderId="1" xfId="0" applyFont="1" applyBorder="1" applyAlignment="1">
      <alignment horizontal="center" vertical="center"/>
    </xf>
    <xf numFmtId="4" fontId="267" fillId="0" borderId="1" xfId="0" applyNumberFormat="1" applyFont="1" applyBorder="1" applyAlignment="1">
      <alignment horizontal="center" vertical="center" wrapText="1"/>
    </xf>
    <xf numFmtId="31" fontId="267" fillId="0" borderId="1" xfId="0" applyNumberFormat="1" applyFont="1" applyBorder="1" applyAlignment="1">
      <alignment horizontal="center" vertical="center" wrapText="1"/>
    </xf>
    <xf numFmtId="4" fontId="267" fillId="5" borderId="1" xfId="0" applyNumberFormat="1" applyFont="1" applyFill="1" applyBorder="1" applyAlignment="1">
      <alignment horizontal="center" vertical="center" wrapText="1"/>
    </xf>
    <xf numFmtId="0" fontId="0" fillId="0" borderId="0" xfId="0" applyAlignment="1">
      <alignment horizontal="center" vertic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335;&#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31162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北京市怀柔区杨宋镇凤翔二园1号1-7幢房地产抵押价值预评估</v>
      </c>
    </row>
    <row r="3" spans="1:2" s="3061" customFormat="1">
      <c r="A3" s="3059" t="s">
        <v>2799</v>
      </c>
      <c r="B3" s="3060">
        <f>'预评函-封皮'!B40</f>
        <v>0</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受贵公司委托，我公司对北京市怀柔区杨宋镇凤翔二园1号1-7幢房地产抵押价值进行了预评估。</v>
      </c>
    </row>
    <row r="7" spans="1:2" s="3061" customFormat="1">
      <c r="A7" s="3059" t="s">
        <v>2842</v>
      </c>
      <c r="B7" s="3060" t="str">
        <f>'预评函-1'!A7</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1" customFormat="1">
      <c r="A12" s="3059" t="s">
        <v>2804</v>
      </c>
      <c r="B12" s="3060" t="str">
        <f>'预评函-1'!A15</f>
        <v>2017年9月8日（评估专业人员实地查勘之日）</v>
      </c>
    </row>
    <row r="13" spans="1:2" s="3061" customFormat="1">
      <c r="A13" s="3059" t="s">
        <v>2805</v>
      </c>
      <c r="B13" s="3060"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1" customFormat="1">
      <c r="A14" s="3059" t="s">
        <v>2806</v>
      </c>
      <c r="B14" s="3060"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71289</v>
      </c>
    </row>
    <row r="21" spans="1:2" s="3061" customFormat="1">
      <c r="A21" s="3059" t="s">
        <v>2813</v>
      </c>
      <c r="B21" s="3060">
        <f ca="1">'预评函-2'!D7</f>
        <v>24605</v>
      </c>
    </row>
    <row r="22" spans="1:2" s="3061" customFormat="1">
      <c r="A22" s="3059" t="s">
        <v>2814</v>
      </c>
      <c r="B22" s="3060" t="str">
        <f ca="1">'预评函-2'!D6</f>
        <v>柒亿壹仟贰佰捌拾玖万元整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71289</v>
      </c>
    </row>
    <row r="31" spans="1:2" s="3061" customFormat="1">
      <c r="A31" s="3059" t="s">
        <v>2853</v>
      </c>
      <c r="B31" s="3060">
        <f ca="1">'预评函-2'!D15</f>
        <v>24605</v>
      </c>
    </row>
    <row r="32" spans="1:2" s="3061" customFormat="1">
      <c r="A32" s="3059" t="s">
        <v>2819</v>
      </c>
      <c r="B32" s="3060" t="str">
        <f ca="1">'预评函-2'!D14</f>
        <v>柒亿壹仟贰佰捌拾玖万元整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北京市怀柔区杨宋镇凤翔二园1号1-7幢房地产</v>
      </c>
    </row>
    <row r="42" spans="1:2" s="3061" customFormat="1">
      <c r="A42" s="3059" t="s">
        <v>2875</v>
      </c>
      <c r="B42" s="3060" t="str">
        <f>'预评函-3'!B2</f>
        <v>建筑面积</v>
      </c>
    </row>
    <row r="43" spans="1:2" s="3061" customFormat="1">
      <c r="A43" s="3059" t="s">
        <v>2876</v>
      </c>
      <c r="B43" s="3060">
        <f>'预评函-3'!B4</f>
        <v>28973.439999999999</v>
      </c>
    </row>
    <row r="44" spans="1:2" s="3061" customFormat="1">
      <c r="A44" s="3059" t="s">
        <v>2852</v>
      </c>
      <c r="B44" s="3060" t="str">
        <f>'预评函-3'!C2</f>
        <v>(分摊)土地面积</v>
      </c>
    </row>
    <row r="45" spans="1:2" s="3061" customFormat="1">
      <c r="A45" s="3059" t="s">
        <v>2823</v>
      </c>
      <c r="B45" s="3060">
        <f>'预评函-3'!C4</f>
        <v>92783.56</v>
      </c>
    </row>
    <row r="46" spans="1:2" s="3061" customFormat="1">
      <c r="A46" s="3059" t="s">
        <v>2850</v>
      </c>
      <c r="B46" s="3060" t="str">
        <f>'预评函-3'!D2</f>
        <v>出让国有建设用地使用权价值</v>
      </c>
    </row>
    <row r="47" spans="1:2" s="3061" customFormat="1">
      <c r="A47" s="3059" t="s">
        <v>2824</v>
      </c>
      <c r="B47" s="3060">
        <f ca="1">'预评函-3'!D4</f>
        <v>63091</v>
      </c>
    </row>
    <row r="48" spans="1:2" s="3061" customFormat="1">
      <c r="A48" s="3059" t="s">
        <v>2825</v>
      </c>
      <c r="B48" s="3060">
        <f ca="1">'预评函-3'!E4</f>
        <v>21776</v>
      </c>
    </row>
    <row r="49" spans="1:2" s="3061" customFormat="1">
      <c r="A49" s="3059" t="s">
        <v>2826</v>
      </c>
      <c r="B49" s="3060" t="str">
        <f ca="1">'预评函-3'!D5</f>
        <v>陆亿叁仟零玖拾壹万元整</v>
      </c>
    </row>
    <row r="50" spans="1:2" s="3061" customFormat="1">
      <c r="A50" s="3059" t="s">
        <v>2851</v>
      </c>
      <c r="B50" s="3060" t="str">
        <f>'预评函-3'!F2</f>
        <v>在建建筑物价值</v>
      </c>
    </row>
    <row r="51" spans="1:2" s="3061" customFormat="1">
      <c r="A51" s="3059" t="s">
        <v>2827</v>
      </c>
      <c r="B51" s="3060">
        <f ca="1">'预评函-3'!F4</f>
        <v>8198</v>
      </c>
    </row>
    <row r="52" spans="1:2" s="3061" customFormat="1">
      <c r="A52" s="3059" t="s">
        <v>2828</v>
      </c>
      <c r="B52" s="3060">
        <f ca="1">'预评函-3'!G4</f>
        <v>2829</v>
      </c>
    </row>
    <row r="53" spans="1:2" s="3061" customFormat="1">
      <c r="A53" s="3059" t="s">
        <v>2857</v>
      </c>
      <c r="B53" s="3060" t="str">
        <f ca="1">'预评函-3'!F5</f>
        <v>捌仟壹佰玖拾捌万元整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27" sqref="A2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256</v>
      </c>
      <c r="C1" s="1767"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5" t="s">
        <v>2632</v>
      </c>
      <c r="S1" s="290" t="s">
        <v>269</v>
      </c>
      <c r="T1" s="291" t="s">
        <v>270</v>
      </c>
      <c r="U1" s="290" t="s">
        <v>271</v>
      </c>
      <c r="V1" s="290" t="s">
        <v>272</v>
      </c>
      <c r="W1" s="1485" t="s">
        <v>1851</v>
      </c>
    </row>
    <row r="2" spans="1:23">
      <c r="A2" s="2797" t="s">
        <v>114</v>
      </c>
      <c r="B2" s="2797" t="s">
        <v>579</v>
      </c>
      <c r="C2" s="1768"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3" t="s">
        <v>2636</v>
      </c>
      <c r="S2" s="292" t="s">
        <v>231</v>
      </c>
      <c r="T2" s="292" t="s">
        <v>232</v>
      </c>
      <c r="U2" s="292" t="s">
        <v>231</v>
      </c>
      <c r="V2" s="292" t="s">
        <v>233</v>
      </c>
      <c r="W2" s="292" t="s">
        <v>231</v>
      </c>
    </row>
    <row r="3" spans="1:23">
      <c r="A3" s="2797" t="s">
        <v>578</v>
      </c>
      <c r="B3" s="2798" t="s">
        <v>2678</v>
      </c>
      <c r="C3" s="1769"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3" t="s">
        <v>2634</v>
      </c>
      <c r="S3" s="292" t="s">
        <v>239</v>
      </c>
      <c r="T3" s="292" t="s">
        <v>240</v>
      </c>
      <c r="U3" s="292" t="s">
        <v>239</v>
      </c>
      <c r="V3" s="292" t="s">
        <v>241</v>
      </c>
      <c r="W3" s="292" t="s">
        <v>239</v>
      </c>
    </row>
    <row r="4" spans="1:23">
      <c r="A4" s="2797" t="s">
        <v>580</v>
      </c>
      <c r="B4" s="2797" t="s">
        <v>581</v>
      </c>
      <c r="C4" s="1768"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3" t="s">
        <v>2637</v>
      </c>
      <c r="S4" s="292" t="s">
        <v>242</v>
      </c>
      <c r="T4" s="292" t="s">
        <v>243</v>
      </c>
      <c r="U4" s="292" t="s">
        <v>242</v>
      </c>
      <c r="W4" s="292" t="s">
        <v>242</v>
      </c>
    </row>
    <row r="5" spans="1:23">
      <c r="A5" s="2797" t="s">
        <v>582</v>
      </c>
      <c r="B5" s="2797" t="s">
        <v>583</v>
      </c>
      <c r="C5" s="1768" t="s">
        <v>1880</v>
      </c>
      <c r="F5" s="292" t="s">
        <v>244</v>
      </c>
      <c r="H5" s="292" t="s">
        <v>245</v>
      </c>
      <c r="I5" s="292" t="s">
        <v>246</v>
      </c>
      <c r="K5" s="292" t="s">
        <v>247</v>
      </c>
      <c r="L5" s="292" t="s">
        <v>247</v>
      </c>
      <c r="M5" s="292" t="s">
        <v>247</v>
      </c>
      <c r="N5" s="292" t="s">
        <v>247</v>
      </c>
      <c r="O5" s="292" t="s">
        <v>247</v>
      </c>
      <c r="P5" s="292" t="s">
        <v>247</v>
      </c>
      <c r="Q5" s="292" t="s">
        <v>247</v>
      </c>
      <c r="R5" s="2763" t="s">
        <v>2638</v>
      </c>
      <c r="S5" s="292" t="s">
        <v>247</v>
      </c>
      <c r="T5" s="292" t="s">
        <v>248</v>
      </c>
      <c r="U5" s="292" t="s">
        <v>247</v>
      </c>
      <c r="W5" s="292" t="s">
        <v>247</v>
      </c>
    </row>
    <row r="6" spans="1:23">
      <c r="A6" s="2797" t="s">
        <v>584</v>
      </c>
      <c r="B6" s="2798" t="s">
        <v>2679</v>
      </c>
      <c r="C6" s="1770" t="s">
        <v>162</v>
      </c>
      <c r="F6" s="292" t="s">
        <v>249</v>
      </c>
      <c r="H6" s="292" t="s">
        <v>250</v>
      </c>
      <c r="I6" s="292" t="s">
        <v>251</v>
      </c>
      <c r="K6" s="292" t="s">
        <v>252</v>
      </c>
      <c r="L6" s="292" t="s">
        <v>252</v>
      </c>
      <c r="M6" s="292" t="s">
        <v>252</v>
      </c>
      <c r="N6" s="292" t="s">
        <v>252</v>
      </c>
      <c r="O6" s="292" t="s">
        <v>252</v>
      </c>
      <c r="P6" s="292" t="s">
        <v>252</v>
      </c>
      <c r="Q6" s="292" t="s">
        <v>252</v>
      </c>
      <c r="R6" s="2763" t="s">
        <v>2639</v>
      </c>
      <c r="S6" s="292" t="s">
        <v>252</v>
      </c>
      <c r="T6" s="292"/>
      <c r="U6" s="292" t="s">
        <v>252</v>
      </c>
      <c r="W6" s="292" t="s">
        <v>252</v>
      </c>
    </row>
    <row r="7" spans="1:23">
      <c r="A7" s="2797" t="s">
        <v>586</v>
      </c>
      <c r="B7" s="2798" t="s">
        <v>2680</v>
      </c>
      <c r="C7" s="1768" t="s">
        <v>163</v>
      </c>
      <c r="F7" s="292" t="s">
        <v>253</v>
      </c>
      <c r="H7" s="292" t="s">
        <v>254</v>
      </c>
      <c r="I7" s="292" t="s">
        <v>255</v>
      </c>
    </row>
    <row r="8" spans="1:23">
      <c r="A8" s="2797" t="s">
        <v>588</v>
      </c>
      <c r="B8" s="2797" t="s">
        <v>585</v>
      </c>
      <c r="C8" s="1768" t="s">
        <v>1881</v>
      </c>
      <c r="F8" s="292" t="s">
        <v>282</v>
      </c>
      <c r="H8" s="292"/>
      <c r="I8" s="292" t="s">
        <v>283</v>
      </c>
    </row>
    <row r="9" spans="1:23">
      <c r="A9" s="2797" t="s">
        <v>590</v>
      </c>
      <c r="B9" s="2797" t="s">
        <v>587</v>
      </c>
      <c r="C9" s="1768" t="s">
        <v>1882</v>
      </c>
      <c r="F9" s="292" t="s">
        <v>284</v>
      </c>
      <c r="H9" s="292"/>
    </row>
    <row r="10" spans="1:23">
      <c r="A10" s="2797" t="s">
        <v>592</v>
      </c>
      <c r="B10" s="2797" t="s">
        <v>589</v>
      </c>
      <c r="C10" s="1768" t="s">
        <v>1883</v>
      </c>
      <c r="F10" s="292" t="s">
        <v>51</v>
      </c>
    </row>
    <row r="11" spans="1:23">
      <c r="A11" s="2797" t="s">
        <v>594</v>
      </c>
      <c r="B11" s="2797" t="s">
        <v>591</v>
      </c>
      <c r="C11" s="1768" t="s">
        <v>1884</v>
      </c>
    </row>
    <row r="12" spans="1:23">
      <c r="A12" s="2797" t="s">
        <v>596</v>
      </c>
      <c r="B12" s="2797" t="s">
        <v>593</v>
      </c>
      <c r="C12" s="1768" t="s">
        <v>1885</v>
      </c>
    </row>
    <row r="13" spans="1:23">
      <c r="A13" s="2797" t="s">
        <v>598</v>
      </c>
      <c r="B13" s="2797" t="s">
        <v>595</v>
      </c>
      <c r="C13" s="1768" t="s">
        <v>1886</v>
      </c>
    </row>
    <row r="14" spans="1:23">
      <c r="A14" s="2797" t="s">
        <v>600</v>
      </c>
      <c r="B14" s="2797" t="s">
        <v>597</v>
      </c>
      <c r="C14" s="292" t="s">
        <v>51</v>
      </c>
    </row>
    <row r="15" spans="1:23">
      <c r="A15" s="2797" t="s">
        <v>601</v>
      </c>
      <c r="B15" s="2797" t="s">
        <v>599</v>
      </c>
      <c r="C15" s="1771"/>
    </row>
    <row r="16" spans="1:23">
      <c r="A16" s="2797" t="s">
        <v>602</v>
      </c>
      <c r="B16" s="2797" t="s">
        <v>1867</v>
      </c>
      <c r="C16" s="1771"/>
    </row>
    <row r="17" spans="1:3">
      <c r="A17" s="2797" t="s">
        <v>603</v>
      </c>
      <c r="B17" s="2797" t="s">
        <v>1868</v>
      </c>
      <c r="C17" s="1771"/>
    </row>
    <row r="18" spans="1:3">
      <c r="A18" s="2797" t="s">
        <v>604</v>
      </c>
      <c r="B18" s="2797" t="s">
        <v>1868</v>
      </c>
      <c r="C18" s="1771"/>
    </row>
    <row r="19" spans="1:3">
      <c r="A19" s="2797" t="s">
        <v>605</v>
      </c>
      <c r="B19" s="2797" t="s">
        <v>1868</v>
      </c>
      <c r="C19" s="1771"/>
    </row>
    <row r="20" spans="1:3">
      <c r="A20" s="2797" t="s">
        <v>606</v>
      </c>
      <c r="B20" s="2797" t="s">
        <v>1868</v>
      </c>
      <c r="C20" s="1771"/>
    </row>
    <row r="21" spans="1:3">
      <c r="A21" s="2797" t="s">
        <v>607</v>
      </c>
      <c r="B21" s="2797" t="s">
        <v>1868</v>
      </c>
      <c r="C21" s="1771"/>
    </row>
    <row r="22" spans="1:3">
      <c r="A22" s="2797" t="s">
        <v>608</v>
      </c>
      <c r="B22" s="2797" t="s">
        <v>1868</v>
      </c>
      <c r="C22" s="1771"/>
    </row>
    <row r="23" spans="1:3">
      <c r="A23" s="2797" t="s">
        <v>609</v>
      </c>
      <c r="B23" s="2797" t="s">
        <v>1868</v>
      </c>
      <c r="C23" s="1771"/>
    </row>
    <row r="24" spans="1:3">
      <c r="A24" s="2797" t="s">
        <v>610</v>
      </c>
      <c r="B24" s="2797" t="s">
        <v>1868</v>
      </c>
      <c r="C24" s="1771"/>
    </row>
    <row r="25" spans="1:3">
      <c r="A25" s="2797" t="s">
        <v>611</v>
      </c>
      <c r="B25" s="2797" t="s">
        <v>1868</v>
      </c>
      <c r="C25" s="1771"/>
    </row>
    <row r="26" spans="1:3">
      <c r="A26" s="2797" t="s">
        <v>612</v>
      </c>
      <c r="B26" s="2797" t="s">
        <v>1868</v>
      </c>
      <c r="C26" s="1771"/>
    </row>
    <row r="27" spans="1:3">
      <c r="A27" s="2797" t="s">
        <v>3164</v>
      </c>
      <c r="B27" s="2797" t="s">
        <v>1868</v>
      </c>
      <c r="C27" s="1771"/>
    </row>
    <row r="28" spans="1:3">
      <c r="A28" s="2797" t="s">
        <v>1868</v>
      </c>
      <c r="B28" s="2797" t="s">
        <v>1868</v>
      </c>
      <c r="C28" s="1771"/>
    </row>
    <row r="29" spans="1:3">
      <c r="A29" s="2797" t="s">
        <v>1868</v>
      </c>
      <c r="B29" s="2797" t="s">
        <v>1868</v>
      </c>
      <c r="C29" s="1771"/>
    </row>
    <row r="30" spans="1:3">
      <c r="A30" s="2797" t="s">
        <v>1868</v>
      </c>
      <c r="B30" s="2797" t="s">
        <v>1868</v>
      </c>
      <c r="C30" s="1771"/>
    </row>
    <row r="31" spans="1:3">
      <c r="A31" s="2797" t="s">
        <v>1868</v>
      </c>
      <c r="B31" s="2797" t="s">
        <v>1868</v>
      </c>
      <c r="C31" s="1771"/>
    </row>
    <row r="32" spans="1:3">
      <c r="A32" s="2797" t="s">
        <v>1868</v>
      </c>
      <c r="B32" s="2797" t="s">
        <v>1868</v>
      </c>
      <c r="C32" s="1771"/>
    </row>
    <row r="33" spans="1:3">
      <c r="A33" s="2797" t="s">
        <v>1868</v>
      </c>
      <c r="B33" s="2797" t="s">
        <v>1868</v>
      </c>
      <c r="C33" s="1771"/>
    </row>
    <row r="34" spans="1:3">
      <c r="A34" s="2797" t="s">
        <v>1868</v>
      </c>
      <c r="B34" s="2797" t="s">
        <v>1868</v>
      </c>
      <c r="C34" s="1771"/>
    </row>
    <row r="35" spans="1:3">
      <c r="A35" s="2797" t="s">
        <v>1868</v>
      </c>
      <c r="B35" s="2797" t="s">
        <v>1868</v>
      </c>
      <c r="C35" s="1771"/>
    </row>
    <row r="36" spans="1:3">
      <c r="A36" s="2797" t="s">
        <v>1868</v>
      </c>
      <c r="B36" s="2797" t="s">
        <v>1868</v>
      </c>
      <c r="C36" s="1771"/>
    </row>
    <row r="37" spans="1:3">
      <c r="A37" s="2797" t="s">
        <v>1868</v>
      </c>
      <c r="B37" s="2797" t="s">
        <v>1868</v>
      </c>
      <c r="C37" s="1771"/>
    </row>
    <row r="38" spans="1:3">
      <c r="A38" s="2797" t="s">
        <v>1868</v>
      </c>
      <c r="B38" s="2797" t="s">
        <v>1868</v>
      </c>
      <c r="C38" s="1771"/>
    </row>
    <row r="39" spans="1:3">
      <c r="A39" s="2797" t="s">
        <v>1868</v>
      </c>
      <c r="B39" s="2797" t="s">
        <v>1868</v>
      </c>
      <c r="C39" s="1771"/>
    </row>
    <row r="40" spans="1:3">
      <c r="A40" s="2797" t="s">
        <v>1868</v>
      </c>
      <c r="B40" s="2797" t="s">
        <v>1868</v>
      </c>
      <c r="C40" s="1771"/>
    </row>
    <row r="41" spans="1:3">
      <c r="A41" s="2797" t="s">
        <v>1868</v>
      </c>
      <c r="B41" s="2797" t="s">
        <v>1868</v>
      </c>
      <c r="C41" s="1771"/>
    </row>
    <row r="42" spans="1:3">
      <c r="A42" s="2797" t="s">
        <v>1868</v>
      </c>
      <c r="B42" s="2797" t="s">
        <v>1868</v>
      </c>
      <c r="C42" s="1771"/>
    </row>
    <row r="43" spans="1:3">
      <c r="A43" s="2797" t="s">
        <v>1868</v>
      </c>
      <c r="B43" s="2797" t="s">
        <v>1868</v>
      </c>
      <c r="C43" s="1771"/>
    </row>
    <row r="44" spans="1:3">
      <c r="A44" s="2797" t="s">
        <v>1868</v>
      </c>
      <c r="B44" s="2797" t="s">
        <v>1868</v>
      </c>
      <c r="C44" s="1771"/>
    </row>
    <row r="45" spans="1:3">
      <c r="A45" s="2797" t="s">
        <v>1868</v>
      </c>
      <c r="B45" s="2797" t="s">
        <v>1868</v>
      </c>
      <c r="C45" s="1771"/>
    </row>
    <row r="46" spans="1:3">
      <c r="A46" s="2797" t="s">
        <v>1868</v>
      </c>
      <c r="B46" s="2797" t="s">
        <v>1868</v>
      </c>
      <c r="C46" s="1771"/>
    </row>
    <row r="47" spans="1:3">
      <c r="A47" s="2797" t="s">
        <v>1868</v>
      </c>
      <c r="B47" s="2797" t="s">
        <v>1868</v>
      </c>
      <c r="C47" s="1771"/>
    </row>
    <row r="48" spans="1:3">
      <c r="A48" s="2797" t="s">
        <v>1868</v>
      </c>
      <c r="B48" s="2797" t="s">
        <v>1868</v>
      </c>
      <c r="C48" s="1771"/>
    </row>
    <row r="49" spans="1:4">
      <c r="A49" s="2797" t="s">
        <v>1868</v>
      </c>
      <c r="B49" s="2797" t="s">
        <v>1868</v>
      </c>
      <c r="C49" s="1771"/>
    </row>
    <row r="50" spans="1:4">
      <c r="A50" s="2797" t="s">
        <v>1868</v>
      </c>
      <c r="B50" s="2797" t="s">
        <v>1868</v>
      </c>
      <c r="C50" s="1771"/>
    </row>
    <row r="51" spans="1:4">
      <c r="A51" s="1951" t="s">
        <v>2010</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4" t="s">
        <v>2865</v>
      </c>
    </row>
    <row r="52" spans="1:4">
      <c r="A52" s="1951" t="s">
        <v>2013</v>
      </c>
      <c r="B52" s="1951" t="s">
        <v>2014</v>
      </c>
      <c r="C52" s="1160" t="s">
        <v>2015</v>
      </c>
      <c r="D52" s="1160" t="s">
        <v>2016</v>
      </c>
    </row>
    <row r="53" spans="1:4">
      <c r="A53" s="3469" t="s">
        <v>2017</v>
      </c>
      <c r="B53" s="2094" t="s">
        <v>2018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2094" t="s">
        <v>2019</v>
      </c>
      <c r="C54" s="1160" t="s">
        <v>2862</v>
      </c>
    </row>
    <row r="55" spans="1:4">
      <c r="A55" s="3469"/>
      <c r="B55" s="2094" t="s">
        <v>2020</v>
      </c>
      <c r="C55" s="1160" t="s">
        <v>2863</v>
      </c>
    </row>
    <row r="56" spans="1:4">
      <c r="A56" s="3469"/>
      <c r="B56" s="2094" t="s">
        <v>2021</v>
      </c>
      <c r="C56" s="1160" t="s">
        <v>2873</v>
      </c>
    </row>
    <row r="57" spans="1:4">
      <c r="A57" s="3469"/>
      <c r="B57" s="2094" t="s">
        <v>2022</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2124</v>
      </c>
      <c r="B1" s="3478" t="str">
        <f>IF(B10="北京市","北京市",C10)&amp;F10&amp;IF(结果表!G1="在建","出让国有建设用地使用权及在建建筑物",IF(结果表!G1="土地","出让国有建设用地使用权",))&amp;B9&amp;"预评估"</f>
        <v>北京市怀柔区杨宋镇凤翔二园1号1-7幢房地产抵押价值预评估</v>
      </c>
      <c r="C1" s="3479"/>
      <c r="D1" s="3479"/>
      <c r="E1" s="3479"/>
      <c r="F1" s="3479"/>
      <c r="G1" s="3479"/>
      <c r="H1" s="3479"/>
      <c r="I1" s="3480"/>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5" t="s">
        <v>2125</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0" t="s">
        <v>2003</v>
      </c>
      <c r="B3" s="3231">
        <v>42986</v>
      </c>
      <c r="C3" s="1923" t="s">
        <v>2004</v>
      </c>
      <c r="D3" s="3231">
        <v>42986</v>
      </c>
      <c r="E3" s="1995"/>
      <c r="F3" s="1995"/>
      <c r="G3" s="1995"/>
      <c r="H3" s="1995"/>
      <c r="I3" s="1995"/>
      <c r="J3" s="1995"/>
      <c r="K3" s="2101"/>
      <c r="L3" s="1996"/>
      <c r="M3" s="1996"/>
      <c r="N3" s="1195"/>
      <c r="O3" s="11"/>
      <c r="P3" s="1195"/>
      <c r="Q3" s="1195"/>
      <c r="R3" s="1195"/>
      <c r="S3" s="1194"/>
    </row>
    <row r="4" spans="1:19" ht="18" customHeight="1" thickBot="1">
      <c r="A4" s="1924" t="s">
        <v>2005</v>
      </c>
      <c r="B4" s="1925" t="s">
        <v>3064</v>
      </c>
      <c r="C4" s="1926">
        <f ca="1">SUMIF(注册房地产估价师,B4,估价师及机构信息!B3:B24)</f>
        <v>1120140022</v>
      </c>
      <c r="D4" s="1925" t="s">
        <v>3065</v>
      </c>
      <c r="E4" s="1927">
        <f ca="1">SUMIF(注册房地产估价师,D4,估价师及机构信息!B3:B24)</f>
        <v>1419970001</v>
      </c>
      <c r="F4" s="1925" t="s">
        <v>530</v>
      </c>
      <c r="G4" s="1954">
        <f>SUMIF(注册房地产估价师,F4,估价师及机构信息!B3:B24)</f>
        <v>0</v>
      </c>
      <c r="H4" s="1925" t="s">
        <v>530</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2089</v>
      </c>
      <c r="B5" s="3286"/>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2090</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2868</v>
      </c>
      <c r="B7" s="3287"/>
      <c r="C7" s="2041"/>
      <c r="D7" s="2002"/>
      <c r="E7" s="1998"/>
      <c r="F7" s="2000"/>
      <c r="G7" s="2000"/>
      <c r="H7" s="2000"/>
      <c r="I7" s="2000"/>
      <c r="J7" s="2000"/>
      <c r="K7" s="2103"/>
      <c r="L7" s="1996"/>
      <c r="M7" s="1996"/>
      <c r="N7" s="1195"/>
      <c r="O7" s="11"/>
      <c r="P7" s="1195"/>
      <c r="Q7" s="1195"/>
      <c r="R7" s="1195"/>
    </row>
    <row r="8" spans="1:19" ht="18" customHeight="1">
      <c r="A8" s="1929" t="s">
        <v>1955</v>
      </c>
      <c r="B8" s="2034" t="s">
        <v>3066</v>
      </c>
      <c r="C8" s="2003"/>
      <c r="D8" s="3481" t="s">
        <v>2012</v>
      </c>
      <c r="E8" s="2035"/>
      <c r="F8" s="2036"/>
      <c r="G8" s="1995"/>
      <c r="H8" s="1995"/>
      <c r="I8" s="1995"/>
      <c r="J8" s="2000"/>
      <c r="K8" s="2102"/>
      <c r="L8" s="1996"/>
      <c r="M8" s="1996"/>
      <c r="N8" s="1195"/>
      <c r="O8" s="11"/>
      <c r="P8" s="1195"/>
      <c r="Q8" s="1195"/>
      <c r="R8" s="1195"/>
    </row>
    <row r="9" spans="1:19" ht="18" customHeight="1" thickBot="1">
      <c r="A9" s="1954" t="s">
        <v>1956</v>
      </c>
      <c r="B9" s="1955" t="s">
        <v>3067</v>
      </c>
      <c r="C9" s="2004"/>
      <c r="D9" s="3482"/>
      <c r="E9" s="1955"/>
      <c r="F9" s="2889"/>
      <c r="G9" s="1999"/>
      <c r="H9" s="1999"/>
      <c r="I9" s="1999"/>
      <c r="J9" s="2000"/>
      <c r="K9" s="2103"/>
      <c r="L9" s="1996"/>
      <c r="M9" s="1996"/>
      <c r="N9" s="1195"/>
      <c r="O9" s="11"/>
      <c r="P9" s="1195"/>
      <c r="Q9" s="1195"/>
      <c r="R9" s="1195"/>
    </row>
    <row r="10" spans="1:19" ht="18" customHeight="1" thickTop="1">
      <c r="A10" s="2009" t="s">
        <v>2061</v>
      </c>
      <c r="B10" s="2055" t="s">
        <v>3068</v>
      </c>
      <c r="C10" s="2037" t="s">
        <v>3069</v>
      </c>
      <c r="D10" s="2001"/>
      <c r="E10" s="1939" t="s">
        <v>1957</v>
      </c>
      <c r="F10" s="1952" t="s">
        <v>3071</v>
      </c>
      <c r="G10" s="2887"/>
      <c r="H10" s="2888"/>
      <c r="I10" s="2001"/>
      <c r="J10" s="2000"/>
      <c r="K10" s="2103"/>
      <c r="L10" s="1996"/>
      <c r="M10" s="1996"/>
      <c r="N10" s="1195"/>
      <c r="O10" s="11"/>
      <c r="P10" s="1195"/>
      <c r="Q10" s="1195"/>
      <c r="R10" s="1195"/>
    </row>
    <row r="11" spans="1:19" ht="18" customHeight="1">
      <c r="A11" s="1958" t="s">
        <v>2062</v>
      </c>
      <c r="B11" s="2054" t="s">
        <v>3070</v>
      </c>
      <c r="C11" s="2038" t="s">
        <v>3072</v>
      </c>
      <c r="D11" s="2005"/>
      <c r="E11" s="2000"/>
      <c r="F11" s="2000"/>
      <c r="G11" s="2000"/>
      <c r="H11" s="2000"/>
      <c r="I11" s="2000"/>
      <c r="J11" s="2000"/>
      <c r="K11" s="2103"/>
      <c r="L11" s="1996"/>
      <c r="M11" s="1996"/>
      <c r="N11" s="1195"/>
      <c r="O11" s="11"/>
      <c r="P11" s="1195"/>
      <c r="Q11" s="1195"/>
      <c r="R11" s="1195"/>
    </row>
    <row r="12" spans="1:19" ht="18" customHeight="1">
      <c r="A12" s="2053" t="s">
        <v>2088</v>
      </c>
      <c r="B12" s="2054" t="s">
        <v>2023</v>
      </c>
      <c r="C12" s="2012" t="s">
        <v>2092</v>
      </c>
      <c r="D12" s="2024" t="s">
        <v>1949</v>
      </c>
      <c r="E12" s="2024" t="s">
        <v>2705</v>
      </c>
      <c r="F12" s="2024" t="s">
        <v>2706</v>
      </c>
      <c r="G12" s="2024" t="s">
        <v>2707</v>
      </c>
      <c r="H12" s="2024" t="s">
        <v>2708</v>
      </c>
      <c r="I12" s="2024" t="s">
        <v>2709</v>
      </c>
      <c r="J12" s="2000"/>
      <c r="K12" s="2103"/>
      <c r="L12" s="1996"/>
      <c r="M12" s="1996"/>
      <c r="N12" s="1195"/>
      <c r="O12" s="11"/>
      <c r="P12" s="1195"/>
      <c r="Q12" s="1195"/>
      <c r="R12" s="1195"/>
    </row>
    <row r="13" spans="1:19" ht="18" customHeight="1">
      <c r="A13" s="2008"/>
      <c r="B13" s="2083"/>
      <c r="C13" s="2084" t="s">
        <v>2091</v>
      </c>
      <c r="D13" s="3230"/>
      <c r="E13" s="3230"/>
      <c r="F13" s="3230">
        <v>55511</v>
      </c>
      <c r="G13" s="3230"/>
      <c r="H13" s="3230"/>
      <c r="I13" s="2049"/>
      <c r="J13" s="2000"/>
      <c r="K13" s="2103"/>
      <c r="L13" s="1996"/>
      <c r="M13" s="1996"/>
      <c r="N13" s="1195"/>
      <c r="O13" s="11"/>
      <c r="P13" s="1195"/>
      <c r="Q13" s="1195"/>
      <c r="R13" s="1195"/>
    </row>
    <row r="14" spans="1:19" ht="18" customHeight="1">
      <c r="A14" s="2008"/>
      <c r="B14" s="2083"/>
      <c r="C14" s="2084" t="s">
        <v>2093</v>
      </c>
      <c r="D14" s="2052"/>
      <c r="E14" s="2052">
        <v>40</v>
      </c>
      <c r="F14" s="2052">
        <v>50</v>
      </c>
      <c r="G14" s="2052"/>
      <c r="H14" s="2052"/>
      <c r="I14" s="2052"/>
      <c r="J14" s="2000"/>
      <c r="K14" s="2104"/>
      <c r="L14" s="1996"/>
      <c r="M14" s="1996"/>
      <c r="N14" s="1195"/>
      <c r="O14" s="11"/>
      <c r="P14" s="1195"/>
      <c r="Q14" s="1195"/>
      <c r="R14" s="1195"/>
    </row>
    <row r="15" spans="1:19" ht="18" customHeight="1">
      <c r="A15" s="2009"/>
      <c r="B15" s="2085"/>
      <c r="C15" s="2084" t="s">
        <v>2094</v>
      </c>
      <c r="D15" s="2051" t="str">
        <f>IF(B12="出让",IF(D13="","",ROUNDDOWN(MIN((D13-$D$3)/365,D14),2)),D14)</f>
        <v/>
      </c>
      <c r="E15" s="2051" t="str">
        <f>IF(B12="出让",IF(E13="","",ROUNDDOWN(MIN((E13-$D$3)/365,E14),2)),E14)</f>
        <v/>
      </c>
      <c r="F15" s="2051">
        <f>IF(B12="出让",IF(F13="","",ROUNDDOWN(MIN((F13-$D$3)/365,F14),2)),F14)</f>
        <v>34.31</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2095</v>
      </c>
      <c r="B16" s="3488"/>
      <c r="C16" s="3489"/>
      <c r="D16" s="3490"/>
      <c r="E16" s="1956" t="s">
        <v>2024</v>
      </c>
      <c r="F16" s="3491" t="s">
        <v>3073</v>
      </c>
      <c r="G16" s="3492"/>
      <c r="H16" s="3492"/>
      <c r="I16" s="3493"/>
      <c r="J16" s="1195"/>
      <c r="K16" s="2105"/>
      <c r="L16" s="1229"/>
      <c r="M16" s="1229"/>
      <c r="N16" s="2020"/>
      <c r="O16" s="1229"/>
      <c r="P16" s="2020"/>
      <c r="Q16" s="1195"/>
      <c r="R16" s="1195"/>
    </row>
    <row r="17" spans="1:22" ht="18" customHeight="1">
      <c r="A17" s="2007" t="s">
        <v>1958</v>
      </c>
      <c r="B17" s="1940" t="s">
        <v>1959</v>
      </c>
      <c r="C17" s="2086">
        <f>'数据-汇总表'!E3</f>
        <v>28973.439999999999</v>
      </c>
      <c r="D17" s="1941" t="s">
        <v>1960</v>
      </c>
      <c r="E17" s="3494" t="s">
        <v>3074</v>
      </c>
      <c r="F17" s="3495"/>
      <c r="G17" s="3495"/>
      <c r="H17" s="3495"/>
      <c r="I17" s="3496"/>
      <c r="J17" s="1195"/>
      <c r="K17" s="2696"/>
      <c r="L17" s="1229"/>
      <c r="M17" s="1229"/>
      <c r="N17" s="2020"/>
      <c r="O17" s="1229"/>
      <c r="P17" s="2020"/>
      <c r="Q17" s="1195"/>
      <c r="R17" s="1195"/>
      <c r="S17" s="1195"/>
      <c r="T17" s="1195"/>
      <c r="U17" s="1195"/>
      <c r="V17" s="1195"/>
    </row>
    <row r="18" spans="1:22" ht="36" customHeight="1" thickBot="1">
      <c r="A18" s="2895" t="s">
        <v>2701</v>
      </c>
      <c r="B18" s="1924" t="s">
        <v>1961</v>
      </c>
      <c r="C18" s="2896">
        <f>'数据-汇总表'!D3</f>
        <v>92783.56</v>
      </c>
      <c r="D18" s="2897" t="s">
        <v>1960</v>
      </c>
      <c r="E18" s="3497" t="s">
        <v>3075</v>
      </c>
      <c r="F18" s="3498"/>
      <c r="G18" s="3498"/>
      <c r="H18" s="3498"/>
      <c r="I18" s="3499"/>
      <c r="J18" s="1195"/>
      <c r="K18" s="2696"/>
      <c r="L18" s="1229"/>
      <c r="M18" s="1229"/>
      <c r="N18" s="2020"/>
      <c r="O18" s="1229"/>
      <c r="P18" s="2020"/>
      <c r="Q18" s="1195"/>
      <c r="R18" s="1195"/>
      <c r="S18" s="1195"/>
      <c r="T18" s="1195"/>
      <c r="U18" s="1195"/>
      <c r="V18" s="1195"/>
    </row>
    <row r="19" spans="1:22" ht="37.5" customHeight="1" thickTop="1" thickBot="1">
      <c r="A19" s="2894" t="s">
        <v>2041</v>
      </c>
      <c r="B19" s="2060" t="s">
        <v>2042</v>
      </c>
      <c r="C19" s="2061"/>
      <c r="D19" s="2043" t="s">
        <v>2045</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2046</v>
      </c>
      <c r="B20" s="3484" t="s">
        <v>2047</v>
      </c>
      <c r="C20" s="3485"/>
      <c r="D20" s="3486" t="s">
        <v>2048</v>
      </c>
      <c r="E20" s="3487"/>
      <c r="F20" s="2068" t="s">
        <v>2049</v>
      </c>
      <c r="G20" s="2000"/>
      <c r="H20" s="2000"/>
      <c r="I20" s="2000"/>
      <c r="J20" s="2000"/>
      <c r="K20" s="3483" t="s">
        <v>2044</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2050</v>
      </c>
      <c r="C21" s="2032" t="s">
        <v>2051</v>
      </c>
      <c r="D21" s="1989" t="s">
        <v>2054</v>
      </c>
      <c r="E21" s="2033" t="s">
        <v>2051</v>
      </c>
      <c r="F21" s="1978"/>
      <c r="G21" s="2000"/>
      <c r="H21" s="2000"/>
      <c r="I21" s="2000"/>
      <c r="J21" s="2000"/>
      <c r="K21" s="3483"/>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2052</v>
      </c>
      <c r="C22" s="2032" t="s">
        <v>2053</v>
      </c>
      <c r="D22" s="1995"/>
      <c r="E22" s="1995"/>
      <c r="F22" s="2069"/>
      <c r="G22" s="2000"/>
      <c r="H22" s="2000"/>
      <c r="I22" s="2000"/>
      <c r="J22" s="2000"/>
      <c r="K22" s="3483"/>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2055</v>
      </c>
      <c r="B23" s="2065" t="s">
        <v>2056</v>
      </c>
      <c r="C23" s="2066"/>
      <c r="D23" s="1979" t="s">
        <v>2056</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2057</v>
      </c>
      <c r="C24" s="2067"/>
      <c r="D24" s="1977" t="s">
        <v>2057</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2058</v>
      </c>
      <c r="C25" s="2067"/>
      <c r="D25" s="1977" t="s">
        <v>2058</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2059</v>
      </c>
      <c r="C26" s="2071"/>
      <c r="D26" s="2059" t="s">
        <v>2059</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71" t="s">
        <v>2063</v>
      </c>
      <c r="B27" s="2009" t="s">
        <v>2064</v>
      </c>
      <c r="C27" s="1930" t="s">
        <v>3162</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71"/>
      <c r="B28" s="1940" t="s">
        <v>2065</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71"/>
      <c r="B29" s="1940" t="s">
        <v>2066</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72"/>
      <c r="B30" s="1940" t="s">
        <v>2067</v>
      </c>
      <c r="C30" s="3473"/>
      <c r="D30" s="3474"/>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75" t="s">
        <v>2068</v>
      </c>
      <c r="B31" s="1936" t="s">
        <v>3130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76"/>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76"/>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2025</v>
      </c>
      <c r="B34" s="1960"/>
      <c r="C34" s="1960"/>
      <c r="D34" s="1960"/>
      <c r="E34" s="1960"/>
      <c r="F34" s="1960"/>
      <c r="G34" s="1960"/>
      <c r="H34" s="1960"/>
      <c r="I34" s="2000"/>
      <c r="J34" s="2000"/>
      <c r="K34" s="2884">
        <f>COUNTIF(B34:H34,"——")</f>
        <v>0</v>
      </c>
      <c r="L34" s="2012" t="s">
        <v>2097</v>
      </c>
      <c r="M34" s="2012" t="s">
        <v>2098</v>
      </c>
      <c r="N34" s="2012" t="s">
        <v>2099</v>
      </c>
      <c r="O34" s="2012" t="s">
        <v>2100</v>
      </c>
      <c r="P34" s="2012" t="s">
        <v>2101</v>
      </c>
      <c r="Q34" s="2012" t="s">
        <v>2102</v>
      </c>
      <c r="R34" s="2012" t="s">
        <v>2103</v>
      </c>
      <c r="S34" s="3470" t="s">
        <v>2104</v>
      </c>
      <c r="T34" s="2013" t="str">
        <f>NUMBERSTRING(7-K34,1)&amp;"通"</f>
        <v>七通</v>
      </c>
      <c r="U34" s="1195"/>
      <c r="V34" s="1195"/>
    </row>
    <row r="35" spans="1:22" ht="18" customHeight="1">
      <c r="A35" s="2014"/>
      <c r="B35" s="3477" t="s">
        <v>1874</v>
      </c>
      <c r="C35" s="3477"/>
      <c r="D35" s="3477"/>
      <c r="E35" s="3477"/>
      <c r="F35" s="2015" t="str">
        <f>C10</f>
        <v>怀柔区</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0"/>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t="s">
        <v>1542</v>
      </c>
      <c r="C37" s="2019" t="s">
        <v>1542</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t="s">
        <v>3124</v>
      </c>
      <c r="C38" s="2047" t="s">
        <v>3124</v>
      </c>
      <c r="D38" s="2047"/>
      <c r="E38" s="2047"/>
      <c r="F38" s="2048"/>
      <c r="G38" s="1999"/>
      <c r="H38" s="1999"/>
      <c r="I38" s="1999"/>
      <c r="J38" s="2000"/>
      <c r="K38" s="2103"/>
      <c r="L38" s="1996"/>
      <c r="M38" s="1996"/>
      <c r="N38" s="1195"/>
      <c r="O38" s="11"/>
      <c r="P38" s="1195"/>
      <c r="Q38" s="1195"/>
      <c r="R38" s="1195"/>
      <c r="S38" s="1195"/>
      <c r="T38" s="1195"/>
      <c r="U38" s="1195"/>
      <c r="V38" s="1195"/>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2069</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2070</v>
      </c>
      <c r="B42" s="1986" t="s">
        <v>2071</v>
      </c>
      <c r="C42" s="1986" t="s">
        <v>2072</v>
      </c>
      <c r="D42" s="1986" t="s">
        <v>2073</v>
      </c>
      <c r="E42" s="1986" t="s">
        <v>2074</v>
      </c>
      <c r="F42" s="1986" t="s">
        <v>2075</v>
      </c>
      <c r="G42" s="1986" t="s">
        <v>2076</v>
      </c>
      <c r="H42" s="1986" t="s">
        <v>2077</v>
      </c>
      <c r="I42" s="1986" t="s">
        <v>2078</v>
      </c>
      <c r="J42" s="2099" t="s">
        <v>2079</v>
      </c>
      <c r="K42" s="2024" t="s">
        <v>2080</v>
      </c>
      <c r="L42" s="2024" t="s">
        <v>2081</v>
      </c>
      <c r="M42" s="2024" t="s">
        <v>2082</v>
      </c>
      <c r="N42" s="1986" t="s">
        <v>2083</v>
      </c>
      <c r="O42" s="1986" t="s">
        <v>2084</v>
      </c>
      <c r="P42" s="1986" t="s">
        <v>2085</v>
      </c>
      <c r="Q42" s="2012" t="s">
        <v>2086</v>
      </c>
      <c r="R42" s="2012"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2405</v>
      </c>
      <c r="AZ2" s="2520" t="s">
        <v>2406</v>
      </c>
      <c r="BA2" s="2521"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424">
        <v>92783.56</v>
      </c>
      <c r="B3" s="301">
        <f>IF(C3="否",G5-AT5,G5)</f>
        <v>28973.439999999999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4" t="s">
        <v>23</v>
      </c>
      <c r="F5" s="304">
        <f>SUM(F13:F587)</f>
        <v>0</v>
      </c>
      <c r="G5" s="304">
        <f>SUM(G13:G587)</f>
        <v>28973.439999999999</v>
      </c>
      <c r="H5" s="304">
        <f t="shared" ref="H5:AT5" si="0">SUM(H13:H656)</f>
        <v>28973.439999999999</v>
      </c>
      <c r="I5" s="304">
        <f t="shared" si="0"/>
        <v>28973.439999999999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618</v>
      </c>
      <c r="AW5" s="220"/>
      <c r="AX5" s="220"/>
      <c r="AY5" s="305" t="s">
        <v>29</v>
      </c>
      <c r="AZ5" s="306">
        <f t="shared" ref="AZ5:BT5" si="1">SUM(AZ13:AZ656)</f>
        <v>28973.439999999999</v>
      </c>
      <c r="BA5" s="306">
        <f t="shared" si="1"/>
        <v>28973.439999999999</v>
      </c>
      <c r="BB5" s="306">
        <f t="shared" si="1"/>
        <v>28973.439999999999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619</v>
      </c>
      <c r="B6" s="223"/>
      <c r="C6" s="223"/>
      <c r="D6" s="224"/>
      <c r="E6" s="304">
        <f>H6+AC6+AT6</f>
        <v>92783.56</v>
      </c>
      <c r="F6" s="304" t="s">
        <v>23</v>
      </c>
      <c r="G6" s="304" t="s">
        <v>25</v>
      </c>
      <c r="H6" s="308">
        <f>SUMIF(I$12:AB$12,"总值",I6:AB6)</f>
        <v>92783.56</v>
      </c>
      <c r="I6" s="304">
        <f t="shared" ref="I6:AB6" si="2">ROUND($A$3*I5/$B$3,2)</f>
        <v>92783.56</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619</v>
      </c>
      <c r="AW6" s="223"/>
      <c r="AX6" s="223"/>
      <c r="AY6" s="309">
        <f>IF(AY3&gt;0,AY3,ROUND($A$3*AZ5/$B$3,2))</f>
        <v>92783.56</v>
      </c>
      <c r="AZ6" s="304" t="s">
        <v>29</v>
      </c>
      <c r="BA6" s="304">
        <f>ROUND($AY$6*BA5/$AZ$5,2)</f>
        <v>92783.56</v>
      </c>
      <c r="BB6" s="304">
        <f>ROUND($AY$6*BB5/$AZ$5,2)</f>
        <v>92783.56</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c r="A13" s="216"/>
      <c r="B13" s="216"/>
      <c r="C13" s="3369">
        <f>面积!A4</f>
        <v>1</v>
      </c>
      <c r="D13" s="217" t="s">
        <v>3132</v>
      </c>
      <c r="E13" s="304">
        <f>IF($C$3="是",ROUND($A$3*G13/$B$3,2),ROUND($A$3*(G13-AT13)/$B$3,2))</f>
        <v>32887.82</v>
      </c>
      <c r="F13" s="320"/>
      <c r="G13" s="321">
        <f>H13+AC13+AT13</f>
        <v>10269.85</v>
      </c>
      <c r="H13" s="308">
        <f>SUMIF(I$12:AB$12,"总值",I13:AB13)</f>
        <v>10269.85</v>
      </c>
      <c r="I13" s="1416">
        <f>面积!E4</f>
        <v>10269.85</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1</v>
      </c>
      <c r="AY13" s="303">
        <f>ROUND($AY$6*AZ13/$AZ$5,2)</f>
        <v>32887.82</v>
      </c>
      <c r="AZ13" s="304">
        <f>BA13+BL13</f>
        <v>10269.85</v>
      </c>
      <c r="BA13" s="304">
        <f>SUM(BB13:BK13)</f>
        <v>10269.85</v>
      </c>
      <c r="BB13" s="304">
        <f>IF($D13="是",I13-J13,0)</f>
        <v>10269.85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c r="A14" s="216"/>
      <c r="B14" s="216"/>
      <c r="C14" s="3369">
        <f>面积!A5</f>
        <v>2</v>
      </c>
      <c r="D14" s="217" t="s">
        <v>3133</v>
      </c>
      <c r="E14" s="304">
        <f>IF($C$3="是",ROUND($A$3*G14/$B$3,2),ROUND($A$3*(G14-AT14)/$B$3,2))</f>
        <v>33913.06</v>
      </c>
      <c r="F14" s="320"/>
      <c r="G14" s="321">
        <f>H14+AC14+AT14</f>
        <v>10590</v>
      </c>
      <c r="H14" s="308">
        <f>SUMIF(I$12:AB$12,"总值",I14:AB14)</f>
        <v>10590</v>
      </c>
      <c r="I14" s="3423">
        <f>面积!K5</f>
        <v>10590</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2</v>
      </c>
      <c r="AY14" s="303">
        <f>ROUND($AY$6*AZ14/$AZ$5,2)</f>
        <v>33913.06</v>
      </c>
      <c r="AZ14" s="304">
        <f>BA14+BL14</f>
        <v>10590</v>
      </c>
      <c r="BA14" s="304">
        <f>SUM(BB14:BK14)</f>
        <v>10590</v>
      </c>
      <c r="BB14" s="304">
        <f>IF($D14="是",I14-J14,0)</f>
        <v>10590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c r="A15" s="216"/>
      <c r="B15" s="216"/>
      <c r="C15" s="3369">
        <f>面积!A6</f>
        <v>3</v>
      </c>
      <c r="D15" s="217" t="s">
        <v>3133</v>
      </c>
      <c r="E15" s="304">
        <f>IF($C$3="是",ROUND($A$3*G15/$B$3,2),ROUND($A$3*(G15-AT15)/$B$3,2))</f>
        <v>2314.83</v>
      </c>
      <c r="F15" s="320"/>
      <c r="G15" s="321">
        <f>H15+AC15+AT15</f>
        <v>722.85</v>
      </c>
      <c r="H15" s="308">
        <f>SUMIF(I$12:AB$12,"总值",I15:AB15)</f>
        <v>722.85</v>
      </c>
      <c r="I15" s="1416">
        <f>面积!E6</f>
        <v>722.85</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3</v>
      </c>
      <c r="AY15" s="303">
        <f>ROUND($AY$6*AZ15/$AZ$5,2)</f>
        <v>2314.83</v>
      </c>
      <c r="AZ15" s="304">
        <f>BA15+BL15</f>
        <v>722.85</v>
      </c>
      <c r="BA15" s="304">
        <f>SUM(BB15:BK15)</f>
        <v>722.85</v>
      </c>
      <c r="BB15" s="304">
        <f>IF($D15="是",I15-J15,0)</f>
        <v>722.85</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c r="A16" s="216"/>
      <c r="B16" s="216"/>
      <c r="C16" s="3369">
        <f>面积!A7</f>
        <v>4</v>
      </c>
      <c r="D16" s="217" t="s">
        <v>3133</v>
      </c>
      <c r="E16" s="304">
        <f>IF($C$3="是",ROUND($A$3*G16/$B$3,2),ROUND($A$3*(G16-AT16)/$B$3,2))</f>
        <v>9024.49</v>
      </c>
      <c r="F16" s="320"/>
      <c r="G16" s="321">
        <f>H16+AC16+AT16</f>
        <v>2818.07</v>
      </c>
      <c r="H16" s="308">
        <f>SUMIF(I$12:AB$12,"总值",I16:AB16)</f>
        <v>2818.07</v>
      </c>
      <c r="I16" s="1416">
        <f>面积!E7</f>
        <v>2818.07</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4</v>
      </c>
      <c r="AY16" s="303">
        <f>ROUND($AY$6*AZ16/$AZ$5,2)</f>
        <v>9024.49</v>
      </c>
      <c r="AZ16" s="304">
        <f>BA16+BL16</f>
        <v>2818.07</v>
      </c>
      <c r="BA16" s="304">
        <f>SUM(BB16:BK16)</f>
        <v>2818.07</v>
      </c>
      <c r="BB16" s="304">
        <f>IF($D16="是",I16-J16,0)</f>
        <v>2818.07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c r="A17" s="216"/>
      <c r="B17" s="216"/>
      <c r="C17" s="3369">
        <f>面积!A8</f>
        <v>5</v>
      </c>
      <c r="D17" s="217" t="s">
        <v>3133</v>
      </c>
      <c r="E17" s="304">
        <f>IF($C$3="是",ROUND($A$3*G17/$B$3,2),ROUND($A$3*(G17-AT17)/$B$3,2))</f>
        <v>4304.91</v>
      </c>
      <c r="F17" s="320"/>
      <c r="G17" s="321">
        <f>H17+AC17+AT17</f>
        <v>1344.29</v>
      </c>
      <c r="H17" s="308">
        <f>SUMIF(I$12:AB$12,"总值",I17:AB17)</f>
        <v>1344.29</v>
      </c>
      <c r="I17" s="1416">
        <f>面积!E8</f>
        <v>1344.29</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5</v>
      </c>
      <c r="AY17" s="303">
        <f>ROUND($AY$6*AZ17/$AZ$5,2)</f>
        <v>4304.91</v>
      </c>
      <c r="AZ17" s="304">
        <f>BA17+BL17</f>
        <v>1344.29</v>
      </c>
      <c r="BA17" s="304">
        <f>SUM(BB17:BK17)</f>
        <v>1344.29</v>
      </c>
      <c r="BB17" s="304">
        <f>IF($D17="是",I17-J17,0)</f>
        <v>1344.29</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369">
        <f>面积!A9</f>
        <v>6</v>
      </c>
      <c r="D18" s="217" t="s">
        <v>3133</v>
      </c>
      <c r="E18" s="323">
        <f t="shared" ref="E18:E112" si="7">IF($C$3="是",ROUND($A$3*G18/$B$3,2),ROUND($A$3*(G18-AT18)/$B$3,2))</f>
        <v>0</v>
      </c>
      <c r="F18" s="324"/>
      <c r="G18" s="325">
        <f t="shared" ref="G18:G109" si="8">H18+AC18+AT18</f>
        <v>0</v>
      </c>
      <c r="H18" s="326">
        <f t="shared" ref="H18:H109" si="9">SUMIF(I$12:AB$12,"总值",I18:AB18)</f>
        <v>0</v>
      </c>
      <c r="I18" s="3423"/>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6</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369">
        <f>面积!A10</f>
        <v>7</v>
      </c>
      <c r="D19" s="217" t="s">
        <v>3133</v>
      </c>
      <c r="E19" s="323">
        <f t="shared" si="7"/>
        <v>10338.450000000001</v>
      </c>
      <c r="F19" s="324"/>
      <c r="G19" s="325">
        <f t="shared" si="8"/>
        <v>3228.38</v>
      </c>
      <c r="H19" s="326">
        <f t="shared" si="9"/>
        <v>3228.38</v>
      </c>
      <c r="I19" s="1416">
        <f>面积!E10</f>
        <v>3228.38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7</v>
      </c>
      <c r="AY19" s="330">
        <f t="shared" si="14"/>
        <v>10338.450000000001</v>
      </c>
      <c r="AZ19" s="323">
        <f t="shared" si="15"/>
        <v>3228.38</v>
      </c>
      <c r="BA19" s="323">
        <f t="shared" si="16"/>
        <v>3228.38</v>
      </c>
      <c r="BB19" s="323">
        <f t="shared" si="17"/>
        <v>3228.38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369"/>
      <c r="D20" s="217"/>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369"/>
      <c r="D21" s="217"/>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369"/>
      <c r="D22" s="217"/>
      <c r="E22" s="323">
        <f t="shared" si="7"/>
        <v>0</v>
      </c>
      <c r="F22" s="324"/>
      <c r="G22" s="325">
        <f t="shared" si="8"/>
        <v>0</v>
      </c>
      <c r="H22" s="326">
        <f t="shared" si="9"/>
        <v>0</v>
      </c>
      <c r="I22" s="1416"/>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369"/>
      <c r="D23" s="217"/>
      <c r="E23" s="323">
        <f t="shared" si="7"/>
        <v>0</v>
      </c>
      <c r="F23" s="324"/>
      <c r="G23" s="325">
        <f t="shared" si="8"/>
        <v>0</v>
      </c>
      <c r="H23" s="326">
        <f t="shared" si="9"/>
        <v>0</v>
      </c>
      <c r="I23" s="1416"/>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369"/>
      <c r="D24" s="217"/>
      <c r="E24" s="323">
        <f t="shared" si="7"/>
        <v>0</v>
      </c>
      <c r="F24" s="324"/>
      <c r="G24" s="325">
        <f t="shared" si="8"/>
        <v>0</v>
      </c>
      <c r="H24" s="326">
        <f t="shared" si="9"/>
        <v>0</v>
      </c>
      <c r="I24" s="1416"/>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369"/>
      <c r="D25" s="217"/>
      <c r="E25" s="323">
        <f t="shared" si="7"/>
        <v>0</v>
      </c>
      <c r="F25" s="324"/>
      <c r="G25" s="325">
        <f t="shared" si="8"/>
        <v>0</v>
      </c>
      <c r="H25" s="326">
        <f t="shared" si="9"/>
        <v>0</v>
      </c>
      <c r="I25" s="1416"/>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369"/>
      <c r="D26" s="217"/>
      <c r="E26" s="323">
        <f t="shared" si="7"/>
        <v>0</v>
      </c>
      <c r="F26" s="324"/>
      <c r="G26" s="325">
        <f t="shared" si="8"/>
        <v>0</v>
      </c>
      <c r="H26" s="326">
        <f t="shared" si="9"/>
        <v>0</v>
      </c>
      <c r="I26" s="1416"/>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369"/>
      <c r="D27" s="217"/>
      <c r="E27" s="323">
        <f t="shared" si="7"/>
        <v>0</v>
      </c>
      <c r="F27" s="324"/>
      <c r="G27" s="325">
        <f t="shared" si="8"/>
        <v>0</v>
      </c>
      <c r="H27" s="326">
        <f t="shared" si="9"/>
        <v>0</v>
      </c>
      <c r="I27" s="1416"/>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369"/>
      <c r="D28" s="217"/>
      <c r="E28" s="323">
        <f t="shared" si="7"/>
        <v>0</v>
      </c>
      <c r="F28" s="324"/>
      <c r="G28" s="325">
        <f t="shared" si="8"/>
        <v>0</v>
      </c>
      <c r="H28" s="326">
        <f t="shared" si="9"/>
        <v>0</v>
      </c>
      <c r="I28" s="1416"/>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369"/>
      <c r="D29" s="217"/>
      <c r="E29" s="323">
        <f t="shared" si="7"/>
        <v>0</v>
      </c>
      <c r="F29" s="324"/>
      <c r="G29" s="325">
        <f t="shared" si="8"/>
        <v>0</v>
      </c>
      <c r="H29" s="326">
        <f t="shared" si="9"/>
        <v>0</v>
      </c>
      <c r="I29" s="1416"/>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369"/>
      <c r="D30" s="217"/>
      <c r="E30" s="323">
        <f t="shared" si="7"/>
        <v>0</v>
      </c>
      <c r="F30" s="324"/>
      <c r="G30" s="325">
        <f t="shared" si="8"/>
        <v>0</v>
      </c>
      <c r="H30" s="326">
        <f t="shared" si="9"/>
        <v>0</v>
      </c>
      <c r="I30" s="1416"/>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369"/>
      <c r="D31" s="217"/>
      <c r="E31" s="323">
        <f t="shared" si="7"/>
        <v>0</v>
      </c>
      <c r="F31" s="324"/>
      <c r="G31" s="325">
        <f t="shared" si="8"/>
        <v>0</v>
      </c>
      <c r="H31" s="326">
        <f t="shared" si="9"/>
        <v>0</v>
      </c>
      <c r="I31" s="1416"/>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369"/>
      <c r="D32" s="217"/>
      <c r="E32" s="323">
        <f t="shared" si="7"/>
        <v>0</v>
      </c>
      <c r="F32" s="324"/>
      <c r="G32" s="325">
        <f t="shared" si="8"/>
        <v>0</v>
      </c>
      <c r="H32" s="326">
        <f t="shared" si="9"/>
        <v>0</v>
      </c>
      <c r="I32" s="1416"/>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369"/>
      <c r="D33" s="217"/>
      <c r="E33" s="323">
        <f t="shared" si="7"/>
        <v>0</v>
      </c>
      <c r="F33" s="324"/>
      <c r="G33" s="325">
        <f t="shared" si="8"/>
        <v>0</v>
      </c>
      <c r="H33" s="326">
        <f t="shared" si="9"/>
        <v>0</v>
      </c>
      <c r="I33" s="1416"/>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369"/>
      <c r="D34" s="217"/>
      <c r="E34" s="323">
        <f t="shared" si="7"/>
        <v>0</v>
      </c>
      <c r="F34" s="324"/>
      <c r="G34" s="325">
        <f t="shared" si="8"/>
        <v>0</v>
      </c>
      <c r="H34" s="326">
        <f t="shared" si="9"/>
        <v>0</v>
      </c>
      <c r="I34" s="1416"/>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369"/>
      <c r="D35" s="217"/>
      <c r="E35" s="323">
        <f t="shared" si="7"/>
        <v>0</v>
      </c>
      <c r="F35" s="324"/>
      <c r="G35" s="325">
        <f t="shared" si="8"/>
        <v>0</v>
      </c>
      <c r="H35" s="326">
        <f t="shared" si="9"/>
        <v>0</v>
      </c>
      <c r="I35" s="1416"/>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369"/>
      <c r="D36" s="217"/>
      <c r="E36" s="323">
        <f t="shared" si="7"/>
        <v>0</v>
      </c>
      <c r="F36" s="324"/>
      <c r="G36" s="325">
        <f t="shared" si="8"/>
        <v>0</v>
      </c>
      <c r="H36" s="326">
        <f t="shared" si="9"/>
        <v>0</v>
      </c>
      <c r="I36" s="1416"/>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369"/>
      <c r="D37" s="217"/>
      <c r="E37" s="323">
        <f t="shared" si="7"/>
        <v>0</v>
      </c>
      <c r="F37" s="324"/>
      <c r="G37" s="325">
        <f t="shared" si="8"/>
        <v>0</v>
      </c>
      <c r="H37" s="326">
        <f t="shared" si="9"/>
        <v>0</v>
      </c>
      <c r="I37" s="1416"/>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369"/>
      <c r="D38" s="217"/>
      <c r="E38" s="323">
        <f t="shared" si="7"/>
        <v>0</v>
      </c>
      <c r="F38" s="324"/>
      <c r="G38" s="325">
        <f t="shared" si="8"/>
        <v>0</v>
      </c>
      <c r="H38" s="326">
        <f t="shared" si="9"/>
        <v>0</v>
      </c>
      <c r="I38" s="1416"/>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369"/>
      <c r="D39" s="217"/>
      <c r="E39" s="323">
        <f t="shared" si="7"/>
        <v>0</v>
      </c>
      <c r="F39" s="324"/>
      <c r="G39" s="325">
        <f t="shared" si="8"/>
        <v>0</v>
      </c>
      <c r="H39" s="326">
        <f t="shared" si="9"/>
        <v>0</v>
      </c>
      <c r="I39" s="1416"/>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369"/>
      <c r="D40" s="217"/>
      <c r="E40" s="323">
        <f t="shared" si="7"/>
        <v>0</v>
      </c>
      <c r="F40" s="324"/>
      <c r="G40" s="325">
        <f t="shared" si="8"/>
        <v>0</v>
      </c>
      <c r="H40" s="326">
        <f t="shared" si="9"/>
        <v>0</v>
      </c>
      <c r="I40" s="1416"/>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369"/>
      <c r="D41" s="217"/>
      <c r="E41" s="323">
        <f t="shared" si="7"/>
        <v>0</v>
      </c>
      <c r="F41" s="324"/>
      <c r="G41" s="325">
        <f t="shared" si="8"/>
        <v>0</v>
      </c>
      <c r="H41" s="326">
        <f t="shared" si="9"/>
        <v>0</v>
      </c>
      <c r="I41" s="1416"/>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369"/>
      <c r="D42" s="217"/>
      <c r="E42" s="323">
        <f t="shared" si="7"/>
        <v>0</v>
      </c>
      <c r="F42" s="324"/>
      <c r="G42" s="325">
        <f t="shared" si="8"/>
        <v>0</v>
      </c>
      <c r="H42" s="326">
        <f t="shared" si="9"/>
        <v>0</v>
      </c>
      <c r="I42" s="1416"/>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369"/>
      <c r="D43" s="217"/>
      <c r="E43" s="323">
        <f t="shared" si="7"/>
        <v>0</v>
      </c>
      <c r="F43" s="324"/>
      <c r="G43" s="325">
        <f t="shared" si="8"/>
        <v>0</v>
      </c>
      <c r="H43" s="326">
        <f t="shared" si="9"/>
        <v>0</v>
      </c>
      <c r="I43" s="1416"/>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369"/>
      <c r="D44" s="217"/>
      <c r="E44" s="323">
        <f t="shared" si="7"/>
        <v>0</v>
      </c>
      <c r="F44" s="324"/>
      <c r="G44" s="325">
        <f t="shared" si="8"/>
        <v>0</v>
      </c>
      <c r="H44" s="326">
        <f t="shared" si="9"/>
        <v>0</v>
      </c>
      <c r="I44" s="1416"/>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369"/>
      <c r="D45" s="217"/>
      <c r="E45" s="323">
        <f t="shared" si="7"/>
        <v>0</v>
      </c>
      <c r="F45" s="324"/>
      <c r="G45" s="325">
        <f t="shared" si="8"/>
        <v>0</v>
      </c>
      <c r="H45" s="326">
        <f t="shared" si="9"/>
        <v>0</v>
      </c>
      <c r="I45" s="1416"/>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369"/>
      <c r="D46" s="217"/>
      <c r="E46" s="323">
        <f t="shared" si="7"/>
        <v>0</v>
      </c>
      <c r="F46" s="324"/>
      <c r="G46" s="325">
        <f t="shared" si="8"/>
        <v>0</v>
      </c>
      <c r="H46" s="326">
        <f t="shared" si="9"/>
        <v>0</v>
      </c>
      <c r="I46" s="1416"/>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369"/>
      <c r="D47" s="217"/>
      <c r="E47" s="323">
        <f t="shared" si="7"/>
        <v>0</v>
      </c>
      <c r="F47" s="324"/>
      <c r="G47" s="325">
        <f t="shared" si="8"/>
        <v>0</v>
      </c>
      <c r="H47" s="326">
        <f t="shared" si="9"/>
        <v>0</v>
      </c>
      <c r="I47" s="1416"/>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369"/>
      <c r="D48" s="217"/>
      <c r="E48" s="323">
        <f t="shared" si="7"/>
        <v>0</v>
      </c>
      <c r="F48" s="324"/>
      <c r="G48" s="325">
        <f t="shared" si="8"/>
        <v>0</v>
      </c>
      <c r="H48" s="326">
        <f t="shared" si="9"/>
        <v>0</v>
      </c>
      <c r="I48" s="1416"/>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369"/>
      <c r="D49" s="217"/>
      <c r="E49" s="323">
        <f t="shared" si="7"/>
        <v>0</v>
      </c>
      <c r="F49" s="324"/>
      <c r="G49" s="325">
        <f t="shared" si="8"/>
        <v>0</v>
      </c>
      <c r="H49" s="326">
        <f t="shared" si="9"/>
        <v>0</v>
      </c>
      <c r="I49" s="1416"/>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369"/>
      <c r="D50" s="217"/>
      <c r="E50" s="323">
        <f t="shared" si="7"/>
        <v>0</v>
      </c>
      <c r="F50" s="324"/>
      <c r="G50" s="325">
        <f t="shared" si="8"/>
        <v>0</v>
      </c>
      <c r="H50" s="326">
        <f t="shared" si="9"/>
        <v>0</v>
      </c>
      <c r="I50" s="1416"/>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369"/>
      <c r="D51" s="217"/>
      <c r="E51" s="323">
        <f t="shared" si="7"/>
        <v>0</v>
      </c>
      <c r="F51" s="324"/>
      <c r="G51" s="325">
        <f t="shared" si="8"/>
        <v>0</v>
      </c>
      <c r="H51" s="326">
        <f t="shared" si="9"/>
        <v>0</v>
      </c>
      <c r="I51" s="1416"/>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369"/>
      <c r="D52" s="217"/>
      <c r="E52" s="323">
        <f t="shared" si="7"/>
        <v>0</v>
      </c>
      <c r="F52" s="324"/>
      <c r="G52" s="325">
        <f t="shared" si="8"/>
        <v>0</v>
      </c>
      <c r="H52" s="326">
        <f t="shared" si="9"/>
        <v>0</v>
      </c>
      <c r="I52" s="1416"/>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369"/>
      <c r="D53" s="217"/>
      <c r="E53" s="323">
        <f t="shared" si="7"/>
        <v>0</v>
      </c>
      <c r="F53" s="324"/>
      <c r="G53" s="325">
        <f t="shared" si="8"/>
        <v>0</v>
      </c>
      <c r="H53" s="326">
        <f t="shared" si="9"/>
        <v>0</v>
      </c>
      <c r="I53" s="1416"/>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369"/>
      <c r="D54" s="217"/>
      <c r="E54" s="323">
        <f t="shared" si="7"/>
        <v>0</v>
      </c>
      <c r="F54" s="324"/>
      <c r="G54" s="325">
        <f t="shared" si="8"/>
        <v>0</v>
      </c>
      <c r="H54" s="326">
        <f t="shared" si="9"/>
        <v>0</v>
      </c>
      <c r="I54" s="1416"/>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369"/>
      <c r="D55" s="217"/>
      <c r="E55" s="323">
        <f t="shared" si="7"/>
        <v>0</v>
      </c>
      <c r="F55" s="324"/>
      <c r="G55" s="325">
        <f t="shared" si="8"/>
        <v>0</v>
      </c>
      <c r="H55" s="326">
        <f t="shared" si="9"/>
        <v>0</v>
      </c>
      <c r="I55" s="1416"/>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369"/>
      <c r="D56" s="217"/>
      <c r="E56" s="323">
        <f t="shared" si="7"/>
        <v>0</v>
      </c>
      <c r="F56" s="324"/>
      <c r="G56" s="325">
        <f t="shared" si="8"/>
        <v>0</v>
      </c>
      <c r="H56" s="326">
        <f t="shared" si="9"/>
        <v>0</v>
      </c>
      <c r="I56" s="1416"/>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369"/>
      <c r="D57" s="217"/>
      <c r="E57" s="323">
        <f t="shared" si="7"/>
        <v>0</v>
      </c>
      <c r="F57" s="324"/>
      <c r="G57" s="325">
        <f t="shared" si="8"/>
        <v>0</v>
      </c>
      <c r="H57" s="326">
        <f t="shared" si="9"/>
        <v>0</v>
      </c>
      <c r="I57" s="1416"/>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369"/>
      <c r="D58" s="217"/>
      <c r="E58" s="323">
        <f t="shared" si="7"/>
        <v>0</v>
      </c>
      <c r="F58" s="324"/>
      <c r="G58" s="325">
        <f t="shared" si="8"/>
        <v>0</v>
      </c>
      <c r="H58" s="326">
        <f t="shared" si="9"/>
        <v>0</v>
      </c>
      <c r="I58" s="1416"/>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369"/>
      <c r="D59" s="217"/>
      <c r="E59" s="323">
        <f t="shared" si="7"/>
        <v>0</v>
      </c>
      <c r="F59" s="324"/>
      <c r="G59" s="325">
        <f t="shared" si="8"/>
        <v>0</v>
      </c>
      <c r="H59" s="326">
        <f t="shared" si="9"/>
        <v>0</v>
      </c>
      <c r="I59" s="1416"/>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369"/>
      <c r="D60" s="217"/>
      <c r="E60" s="323">
        <f t="shared" si="7"/>
        <v>0</v>
      </c>
      <c r="F60" s="324"/>
      <c r="G60" s="325">
        <f t="shared" si="8"/>
        <v>0</v>
      </c>
      <c r="H60" s="326">
        <f t="shared" si="9"/>
        <v>0</v>
      </c>
      <c r="I60" s="1416"/>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369"/>
      <c r="D61" s="217"/>
      <c r="E61" s="323">
        <f t="shared" si="7"/>
        <v>0</v>
      </c>
      <c r="F61" s="324"/>
      <c r="G61" s="325">
        <f t="shared" si="8"/>
        <v>0</v>
      </c>
      <c r="H61" s="326">
        <f t="shared" si="9"/>
        <v>0</v>
      </c>
      <c r="I61" s="1416"/>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369"/>
      <c r="D62" s="217"/>
      <c r="E62" s="323">
        <f t="shared" si="7"/>
        <v>0</v>
      </c>
      <c r="F62" s="324"/>
      <c r="G62" s="325">
        <f t="shared" si="8"/>
        <v>0</v>
      </c>
      <c r="H62" s="326">
        <f t="shared" si="9"/>
        <v>0</v>
      </c>
      <c r="I62" s="1416"/>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369"/>
      <c r="D63" s="217"/>
      <c r="E63" s="323">
        <f t="shared" si="7"/>
        <v>0</v>
      </c>
      <c r="F63" s="324"/>
      <c r="G63" s="325">
        <f t="shared" si="8"/>
        <v>0</v>
      </c>
      <c r="H63" s="326">
        <f t="shared" si="9"/>
        <v>0</v>
      </c>
      <c r="I63" s="1416"/>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369"/>
      <c r="D64" s="217"/>
      <c r="E64" s="323">
        <f t="shared" si="7"/>
        <v>0</v>
      </c>
      <c r="F64" s="324"/>
      <c r="G64" s="325">
        <f t="shared" si="8"/>
        <v>0</v>
      </c>
      <c r="H64" s="326">
        <f t="shared" si="9"/>
        <v>0</v>
      </c>
      <c r="I64" s="1416"/>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369"/>
      <c r="D65" s="217"/>
      <c r="E65" s="323">
        <f t="shared" si="7"/>
        <v>0</v>
      </c>
      <c r="F65" s="324"/>
      <c r="G65" s="325">
        <f t="shared" si="8"/>
        <v>0</v>
      </c>
      <c r="H65" s="326">
        <f t="shared" si="9"/>
        <v>0</v>
      </c>
      <c r="I65" s="1416"/>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369"/>
      <c r="D66" s="217"/>
      <c r="E66" s="323">
        <f t="shared" si="7"/>
        <v>0</v>
      </c>
      <c r="F66" s="324"/>
      <c r="G66" s="325">
        <f t="shared" si="8"/>
        <v>0</v>
      </c>
      <c r="H66" s="326">
        <f t="shared" si="9"/>
        <v>0</v>
      </c>
      <c r="I66" s="1416"/>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369"/>
      <c r="D67" s="217"/>
      <c r="E67" s="323">
        <f t="shared" si="7"/>
        <v>0</v>
      </c>
      <c r="F67" s="324"/>
      <c r="G67" s="325">
        <f t="shared" si="8"/>
        <v>0</v>
      </c>
      <c r="H67" s="326">
        <f t="shared" si="9"/>
        <v>0</v>
      </c>
      <c r="I67" s="1416"/>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369"/>
      <c r="D68" s="217"/>
      <c r="E68" s="323">
        <f t="shared" si="7"/>
        <v>0</v>
      </c>
      <c r="F68" s="324"/>
      <c r="G68" s="325">
        <f t="shared" si="8"/>
        <v>0</v>
      </c>
      <c r="H68" s="326">
        <f t="shared" si="9"/>
        <v>0</v>
      </c>
      <c r="I68" s="1416"/>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369"/>
      <c r="D69" s="217"/>
      <c r="E69" s="323">
        <f t="shared" si="7"/>
        <v>0</v>
      </c>
      <c r="F69" s="324"/>
      <c r="G69" s="325">
        <f t="shared" si="8"/>
        <v>0</v>
      </c>
      <c r="H69" s="326">
        <f t="shared" si="9"/>
        <v>0</v>
      </c>
      <c r="I69" s="1416"/>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369"/>
      <c r="D70" s="217"/>
      <c r="E70" s="323">
        <f t="shared" si="7"/>
        <v>0</v>
      </c>
      <c r="F70" s="324"/>
      <c r="G70" s="325">
        <f t="shared" si="8"/>
        <v>0</v>
      </c>
      <c r="H70" s="326">
        <f t="shared" si="9"/>
        <v>0</v>
      </c>
      <c r="I70" s="1416"/>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369"/>
      <c r="D71" s="217"/>
      <c r="E71" s="323">
        <f t="shared" si="7"/>
        <v>0</v>
      </c>
      <c r="F71" s="324"/>
      <c r="G71" s="325">
        <f t="shared" si="8"/>
        <v>0</v>
      </c>
      <c r="H71" s="326">
        <f t="shared" si="9"/>
        <v>0</v>
      </c>
      <c r="I71" s="1416"/>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369"/>
      <c r="D72" s="217"/>
      <c r="E72" s="323">
        <f t="shared" si="7"/>
        <v>0</v>
      </c>
      <c r="F72" s="324"/>
      <c r="G72" s="325">
        <f t="shared" si="8"/>
        <v>0</v>
      </c>
      <c r="H72" s="326">
        <f t="shared" si="9"/>
        <v>0</v>
      </c>
      <c r="I72" s="1416"/>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369"/>
      <c r="D73" s="217"/>
      <c r="E73" s="323">
        <f t="shared" si="7"/>
        <v>0</v>
      </c>
      <c r="F73" s="324"/>
      <c r="G73" s="325">
        <f t="shared" si="8"/>
        <v>0</v>
      </c>
      <c r="H73" s="326">
        <f t="shared" si="9"/>
        <v>0</v>
      </c>
      <c r="I73" s="1416"/>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369"/>
      <c r="D74" s="217"/>
      <c r="E74" s="323">
        <f t="shared" si="7"/>
        <v>0</v>
      </c>
      <c r="F74" s="324"/>
      <c r="G74" s="325">
        <f t="shared" si="8"/>
        <v>0</v>
      </c>
      <c r="H74" s="326">
        <f t="shared" si="9"/>
        <v>0</v>
      </c>
      <c r="I74" s="1416"/>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369"/>
      <c r="D75" s="217"/>
      <c r="E75" s="323">
        <f t="shared" si="7"/>
        <v>0</v>
      </c>
      <c r="F75" s="324"/>
      <c r="G75" s="325">
        <f t="shared" si="8"/>
        <v>0</v>
      </c>
      <c r="H75" s="326">
        <f t="shared" si="9"/>
        <v>0</v>
      </c>
      <c r="I75" s="1416"/>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369"/>
      <c r="D76" s="217"/>
      <c r="E76" s="323">
        <f t="shared" si="7"/>
        <v>0</v>
      </c>
      <c r="F76" s="324"/>
      <c r="G76" s="325">
        <f t="shared" si="8"/>
        <v>0</v>
      </c>
      <c r="H76" s="326">
        <f t="shared" si="9"/>
        <v>0</v>
      </c>
      <c r="I76" s="1416"/>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369"/>
      <c r="D77" s="217"/>
      <c r="E77" s="323">
        <f t="shared" si="7"/>
        <v>0</v>
      </c>
      <c r="F77" s="324"/>
      <c r="G77" s="325">
        <f t="shared" si="8"/>
        <v>0</v>
      </c>
      <c r="H77" s="326">
        <f t="shared" si="9"/>
        <v>0</v>
      </c>
      <c r="I77" s="1416"/>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369"/>
      <c r="D78" s="217"/>
      <c r="E78" s="323">
        <f t="shared" si="7"/>
        <v>0</v>
      </c>
      <c r="F78" s="324"/>
      <c r="G78" s="325">
        <f t="shared" si="8"/>
        <v>0</v>
      </c>
      <c r="H78" s="326">
        <f t="shared" si="9"/>
        <v>0</v>
      </c>
      <c r="I78" s="1416"/>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369"/>
      <c r="D79" s="217"/>
      <c r="E79" s="323">
        <f t="shared" si="7"/>
        <v>0</v>
      </c>
      <c r="F79" s="324"/>
      <c r="G79" s="325">
        <f t="shared" si="8"/>
        <v>0</v>
      </c>
      <c r="H79" s="326">
        <f t="shared" si="9"/>
        <v>0</v>
      </c>
      <c r="I79" s="1416"/>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369"/>
      <c r="D80" s="217"/>
      <c r="E80" s="323">
        <f t="shared" si="7"/>
        <v>0</v>
      </c>
      <c r="F80" s="324"/>
      <c r="G80" s="325">
        <f t="shared" si="8"/>
        <v>0</v>
      </c>
      <c r="H80" s="326">
        <f t="shared" si="9"/>
        <v>0</v>
      </c>
      <c r="I80" s="1416"/>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369"/>
      <c r="D81" s="217"/>
      <c r="E81" s="323">
        <f t="shared" si="7"/>
        <v>0</v>
      </c>
      <c r="F81" s="324"/>
      <c r="G81" s="325">
        <f t="shared" si="8"/>
        <v>0</v>
      </c>
      <c r="H81" s="326">
        <f t="shared" si="9"/>
        <v>0</v>
      </c>
      <c r="I81" s="1416"/>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369"/>
      <c r="D82" s="217"/>
      <c r="E82" s="323">
        <f t="shared" si="7"/>
        <v>0</v>
      </c>
      <c r="F82" s="324"/>
      <c r="G82" s="325">
        <f t="shared" si="8"/>
        <v>0</v>
      </c>
      <c r="H82" s="326">
        <f t="shared" si="9"/>
        <v>0</v>
      </c>
      <c r="I82" s="1416"/>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369"/>
      <c r="D83" s="217"/>
      <c r="E83" s="323">
        <f t="shared" si="7"/>
        <v>0</v>
      </c>
      <c r="F83" s="324"/>
      <c r="G83" s="325">
        <f t="shared" si="8"/>
        <v>0</v>
      </c>
      <c r="H83" s="326">
        <f t="shared" si="9"/>
        <v>0</v>
      </c>
      <c r="I83" s="1416"/>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369"/>
      <c r="D84" s="217"/>
      <c r="E84" s="323">
        <f t="shared" si="7"/>
        <v>0</v>
      </c>
      <c r="F84" s="324"/>
      <c r="G84" s="325">
        <f t="shared" si="8"/>
        <v>0</v>
      </c>
      <c r="H84" s="326">
        <f t="shared" si="9"/>
        <v>0</v>
      </c>
      <c r="I84" s="1416"/>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369"/>
      <c r="D85" s="217"/>
      <c r="E85" s="323">
        <f t="shared" si="7"/>
        <v>0</v>
      </c>
      <c r="F85" s="324"/>
      <c r="G85" s="325">
        <f t="shared" si="8"/>
        <v>0</v>
      </c>
      <c r="H85" s="326">
        <f t="shared" si="9"/>
        <v>0</v>
      </c>
      <c r="I85" s="1416"/>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369"/>
      <c r="D86" s="217"/>
      <c r="E86" s="323">
        <f t="shared" si="7"/>
        <v>0</v>
      </c>
      <c r="F86" s="324"/>
      <c r="G86" s="325">
        <f t="shared" si="8"/>
        <v>0</v>
      </c>
      <c r="H86" s="326">
        <f t="shared" si="9"/>
        <v>0</v>
      </c>
      <c r="I86" s="1416"/>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369"/>
      <c r="D87" s="217"/>
      <c r="E87" s="323">
        <f t="shared" si="7"/>
        <v>0</v>
      </c>
      <c r="F87" s="324"/>
      <c r="G87" s="325">
        <f t="shared" si="8"/>
        <v>0</v>
      </c>
      <c r="H87" s="326">
        <f t="shared" si="9"/>
        <v>0</v>
      </c>
      <c r="I87" s="1416"/>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369"/>
      <c r="D88" s="217"/>
      <c r="E88" s="323">
        <f t="shared" si="7"/>
        <v>0</v>
      </c>
      <c r="F88" s="324"/>
      <c r="G88" s="325">
        <f t="shared" si="8"/>
        <v>0</v>
      </c>
      <c r="H88" s="326">
        <f t="shared" si="9"/>
        <v>0</v>
      </c>
      <c r="I88" s="1416"/>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369"/>
      <c r="D89" s="217"/>
      <c r="E89" s="323">
        <f t="shared" si="7"/>
        <v>0</v>
      </c>
      <c r="F89" s="324"/>
      <c r="G89" s="325">
        <f t="shared" si="8"/>
        <v>0</v>
      </c>
      <c r="H89" s="326">
        <f t="shared" si="9"/>
        <v>0</v>
      </c>
      <c r="I89" s="1416"/>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369"/>
      <c r="D90" s="217"/>
      <c r="E90" s="323">
        <f t="shared" si="7"/>
        <v>0</v>
      </c>
      <c r="F90" s="324"/>
      <c r="G90" s="325">
        <f t="shared" si="8"/>
        <v>0</v>
      </c>
      <c r="H90" s="326">
        <f t="shared" si="9"/>
        <v>0</v>
      </c>
      <c r="I90" s="1416"/>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369"/>
      <c r="D91" s="217"/>
      <c r="E91" s="323">
        <f t="shared" si="7"/>
        <v>0</v>
      </c>
      <c r="F91" s="324"/>
      <c r="G91" s="325">
        <f t="shared" si="8"/>
        <v>0</v>
      </c>
      <c r="H91" s="326">
        <f t="shared" si="9"/>
        <v>0</v>
      </c>
      <c r="I91" s="1416"/>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369"/>
      <c r="D92" s="217"/>
      <c r="E92" s="323">
        <f t="shared" si="7"/>
        <v>0</v>
      </c>
      <c r="F92" s="324"/>
      <c r="G92" s="325">
        <f t="shared" si="8"/>
        <v>0</v>
      </c>
      <c r="H92" s="326">
        <f t="shared" si="9"/>
        <v>0</v>
      </c>
      <c r="I92" s="1416"/>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369"/>
      <c r="D93" s="217"/>
      <c r="E93" s="323">
        <f t="shared" si="7"/>
        <v>0</v>
      </c>
      <c r="F93" s="324"/>
      <c r="G93" s="325">
        <f t="shared" si="8"/>
        <v>0</v>
      </c>
      <c r="H93" s="326">
        <f t="shared" si="9"/>
        <v>0</v>
      </c>
      <c r="I93" s="1416"/>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369"/>
      <c r="D94" s="217"/>
      <c r="E94" s="323">
        <f t="shared" si="7"/>
        <v>0</v>
      </c>
      <c r="F94" s="324"/>
      <c r="G94" s="325">
        <f t="shared" si="8"/>
        <v>0</v>
      </c>
      <c r="H94" s="326">
        <f t="shared" si="9"/>
        <v>0</v>
      </c>
      <c r="I94" s="1416"/>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369"/>
      <c r="D95" s="217"/>
      <c r="E95" s="323">
        <f t="shared" si="7"/>
        <v>0</v>
      </c>
      <c r="F95" s="324"/>
      <c r="G95" s="325">
        <f t="shared" si="8"/>
        <v>0</v>
      </c>
      <c r="H95" s="326">
        <f t="shared" si="9"/>
        <v>0</v>
      </c>
      <c r="I95" s="1416"/>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369"/>
      <c r="D96" s="217"/>
      <c r="E96" s="323">
        <f t="shared" si="7"/>
        <v>0</v>
      </c>
      <c r="F96" s="324"/>
      <c r="G96" s="325">
        <f t="shared" si="8"/>
        <v>0</v>
      </c>
      <c r="H96" s="326">
        <f t="shared" si="9"/>
        <v>0</v>
      </c>
      <c r="I96" s="1416"/>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369"/>
      <c r="D97" s="217"/>
      <c r="E97" s="323">
        <f t="shared" si="7"/>
        <v>0</v>
      </c>
      <c r="F97" s="324"/>
      <c r="G97" s="325">
        <f t="shared" si="8"/>
        <v>0</v>
      </c>
      <c r="H97" s="326">
        <f t="shared" si="9"/>
        <v>0</v>
      </c>
      <c r="I97" s="1416"/>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369"/>
      <c r="D98" s="217"/>
      <c r="E98" s="323">
        <f t="shared" si="7"/>
        <v>0</v>
      </c>
      <c r="F98" s="324"/>
      <c r="G98" s="325">
        <f t="shared" si="8"/>
        <v>0</v>
      </c>
      <c r="H98" s="326">
        <f t="shared" si="9"/>
        <v>0</v>
      </c>
      <c r="I98" s="1416"/>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369"/>
      <c r="D99" s="217"/>
      <c r="E99" s="323">
        <f t="shared" si="7"/>
        <v>0</v>
      </c>
      <c r="F99" s="324"/>
      <c r="G99" s="325">
        <f t="shared" si="8"/>
        <v>0</v>
      </c>
      <c r="H99" s="326">
        <f t="shared" si="9"/>
        <v>0</v>
      </c>
      <c r="I99" s="1416"/>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369"/>
      <c r="D100" s="217"/>
      <c r="E100" s="323">
        <f t="shared" si="7"/>
        <v>0</v>
      </c>
      <c r="F100" s="324"/>
      <c r="G100" s="325">
        <f t="shared" si="8"/>
        <v>0</v>
      </c>
      <c r="H100" s="326">
        <f t="shared" si="9"/>
        <v>0</v>
      </c>
      <c r="I100" s="1416"/>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369"/>
      <c r="D101" s="217"/>
      <c r="E101" s="323">
        <f t="shared" si="7"/>
        <v>0</v>
      </c>
      <c r="F101" s="324"/>
      <c r="G101" s="325">
        <f t="shared" si="8"/>
        <v>0</v>
      </c>
      <c r="H101" s="326">
        <f t="shared" si="9"/>
        <v>0</v>
      </c>
      <c r="I101" s="1416"/>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369"/>
      <c r="D102" s="217"/>
      <c r="E102" s="323">
        <f t="shared" si="7"/>
        <v>0</v>
      </c>
      <c r="F102" s="324"/>
      <c r="G102" s="325">
        <f t="shared" si="8"/>
        <v>0</v>
      </c>
      <c r="H102" s="326">
        <f t="shared" si="9"/>
        <v>0</v>
      </c>
      <c r="I102" s="1416"/>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369"/>
      <c r="D103" s="217"/>
      <c r="E103" s="323">
        <f t="shared" si="7"/>
        <v>0</v>
      </c>
      <c r="F103" s="324"/>
      <c r="G103" s="325">
        <f t="shared" si="8"/>
        <v>0</v>
      </c>
      <c r="H103" s="326">
        <f t="shared" si="9"/>
        <v>0</v>
      </c>
      <c r="I103" s="1416"/>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369"/>
      <c r="D104" s="217"/>
      <c r="E104" s="323">
        <f t="shared" si="7"/>
        <v>0</v>
      </c>
      <c r="F104" s="324"/>
      <c r="G104" s="325">
        <f t="shared" si="8"/>
        <v>0</v>
      </c>
      <c r="H104" s="326">
        <f t="shared" si="9"/>
        <v>0</v>
      </c>
      <c r="I104" s="1416"/>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369"/>
      <c r="D105" s="217"/>
      <c r="E105" s="323">
        <f t="shared" si="7"/>
        <v>0</v>
      </c>
      <c r="F105" s="324"/>
      <c r="G105" s="325">
        <f t="shared" si="8"/>
        <v>0</v>
      </c>
      <c r="H105" s="326">
        <f t="shared" si="9"/>
        <v>0</v>
      </c>
      <c r="I105" s="1416"/>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369"/>
      <c r="D106" s="217"/>
      <c r="E106" s="323">
        <f t="shared" si="7"/>
        <v>0</v>
      </c>
      <c r="F106" s="324"/>
      <c r="G106" s="325">
        <f t="shared" si="8"/>
        <v>0</v>
      </c>
      <c r="H106" s="326">
        <f t="shared" si="9"/>
        <v>0</v>
      </c>
      <c r="I106" s="1416"/>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369"/>
      <c r="D107" s="217"/>
      <c r="E107" s="323">
        <f t="shared" si="7"/>
        <v>0</v>
      </c>
      <c r="F107" s="324"/>
      <c r="G107" s="325">
        <f t="shared" si="8"/>
        <v>0</v>
      </c>
      <c r="H107" s="326">
        <f t="shared" si="9"/>
        <v>0</v>
      </c>
      <c r="I107" s="1416"/>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369"/>
      <c r="D108" s="217"/>
      <c r="E108" s="323">
        <f t="shared" si="7"/>
        <v>0</v>
      </c>
      <c r="F108" s="324"/>
      <c r="G108" s="325">
        <f t="shared" si="8"/>
        <v>0</v>
      </c>
      <c r="H108" s="326">
        <f t="shared" si="9"/>
        <v>0</v>
      </c>
      <c r="I108" s="1416"/>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369"/>
      <c r="D109" s="217"/>
      <c r="E109" s="323">
        <f t="shared" si="7"/>
        <v>0</v>
      </c>
      <c r="F109" s="324"/>
      <c r="G109" s="325">
        <f t="shared" si="8"/>
        <v>0</v>
      </c>
      <c r="H109" s="326">
        <f t="shared" si="9"/>
        <v>0</v>
      </c>
      <c r="I109" s="1416"/>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3369"/>
      <c r="D110" s="217"/>
      <c r="E110" s="323">
        <f t="shared" si="7"/>
        <v>0</v>
      </c>
      <c r="F110" s="332"/>
      <c r="G110" s="325">
        <f t="shared" ref="G110:G141" si="36">H110+AC110+AT110</f>
        <v>0</v>
      </c>
      <c r="H110" s="326">
        <f t="shared" ref="H110:H141" si="37">SUMIF(I$12:AB$12,"总值",I110:AB110)</f>
        <v>0</v>
      </c>
      <c r="I110" s="1416"/>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3369"/>
      <c r="D111" s="217"/>
      <c r="E111" s="323">
        <f t="shared" si="7"/>
        <v>0</v>
      </c>
      <c r="F111" s="332"/>
      <c r="G111" s="325">
        <f t="shared" si="36"/>
        <v>0</v>
      </c>
      <c r="H111" s="326">
        <f t="shared" si="37"/>
        <v>0</v>
      </c>
      <c r="I111" s="1416"/>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3369"/>
      <c r="D112" s="217"/>
      <c r="E112" s="323">
        <f t="shared" si="7"/>
        <v>0</v>
      </c>
      <c r="F112" s="332"/>
      <c r="G112" s="325">
        <f t="shared" si="36"/>
        <v>0</v>
      </c>
      <c r="H112" s="326">
        <f t="shared" si="37"/>
        <v>0</v>
      </c>
      <c r="I112" s="1416"/>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369"/>
      <c r="D113" s="217"/>
      <c r="E113" s="323">
        <f t="shared" ref="E113:E144" si="61">IF($C$3="是",ROUND($A$3*G113/$B$3,2),ROUND($A$3*(G113-AT113)/$B$3,2))</f>
        <v>0</v>
      </c>
      <c r="F113" s="324"/>
      <c r="G113" s="325">
        <f t="shared" si="36"/>
        <v>0</v>
      </c>
      <c r="H113" s="326">
        <f t="shared" si="37"/>
        <v>0</v>
      </c>
      <c r="I113" s="1416"/>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369"/>
      <c r="D114" s="217"/>
      <c r="E114" s="323">
        <f t="shared" si="61"/>
        <v>0</v>
      </c>
      <c r="F114" s="324"/>
      <c r="G114" s="325">
        <f t="shared" si="36"/>
        <v>0</v>
      </c>
      <c r="H114" s="326">
        <f t="shared" si="37"/>
        <v>0</v>
      </c>
      <c r="I114" s="1416"/>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369"/>
      <c r="D115" s="217"/>
      <c r="E115" s="323">
        <f t="shared" si="61"/>
        <v>0</v>
      </c>
      <c r="F115" s="324"/>
      <c r="G115" s="325">
        <f t="shared" si="36"/>
        <v>0</v>
      </c>
      <c r="H115" s="326">
        <f t="shared" si="37"/>
        <v>0</v>
      </c>
      <c r="I115" s="1416"/>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369"/>
      <c r="D116" s="217"/>
      <c r="E116" s="323">
        <f t="shared" si="61"/>
        <v>0</v>
      </c>
      <c r="F116" s="324"/>
      <c r="G116" s="325">
        <f t="shared" si="36"/>
        <v>0</v>
      </c>
      <c r="H116" s="326">
        <f t="shared" si="37"/>
        <v>0</v>
      </c>
      <c r="I116" s="1416"/>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369"/>
      <c r="D117" s="217"/>
      <c r="E117" s="323">
        <f t="shared" si="61"/>
        <v>0</v>
      </c>
      <c r="F117" s="324"/>
      <c r="G117" s="325">
        <f t="shared" si="36"/>
        <v>0</v>
      </c>
      <c r="H117" s="326">
        <f t="shared" si="37"/>
        <v>0</v>
      </c>
      <c r="I117" s="1416"/>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369"/>
      <c r="D118" s="217"/>
      <c r="E118" s="323">
        <f t="shared" si="61"/>
        <v>0</v>
      </c>
      <c r="F118" s="324"/>
      <c r="G118" s="325">
        <f t="shared" si="36"/>
        <v>0</v>
      </c>
      <c r="H118" s="326">
        <f t="shared" si="37"/>
        <v>0</v>
      </c>
      <c r="I118" s="1416"/>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369"/>
      <c r="D119" s="217"/>
      <c r="E119" s="323">
        <f t="shared" si="61"/>
        <v>0</v>
      </c>
      <c r="F119" s="324"/>
      <c r="G119" s="325">
        <f t="shared" si="36"/>
        <v>0</v>
      </c>
      <c r="H119" s="326">
        <f t="shared" si="37"/>
        <v>0</v>
      </c>
      <c r="I119" s="1416"/>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369"/>
      <c r="D120" s="217"/>
      <c r="E120" s="323">
        <f t="shared" si="61"/>
        <v>0</v>
      </c>
      <c r="F120" s="324"/>
      <c r="G120" s="325">
        <f t="shared" si="36"/>
        <v>0</v>
      </c>
      <c r="H120" s="326">
        <f t="shared" si="37"/>
        <v>0</v>
      </c>
      <c r="I120" s="1416"/>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369"/>
      <c r="D121" s="217"/>
      <c r="E121" s="323">
        <f t="shared" si="61"/>
        <v>0</v>
      </c>
      <c r="F121" s="324"/>
      <c r="G121" s="325">
        <f t="shared" si="36"/>
        <v>0</v>
      </c>
      <c r="H121" s="326">
        <f t="shared" si="37"/>
        <v>0</v>
      </c>
      <c r="I121" s="1416"/>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369"/>
      <c r="D122" s="217"/>
      <c r="E122" s="323">
        <f t="shared" si="61"/>
        <v>0</v>
      </c>
      <c r="F122" s="324"/>
      <c r="G122" s="325">
        <f t="shared" si="36"/>
        <v>0</v>
      </c>
      <c r="H122" s="326">
        <f t="shared" si="37"/>
        <v>0</v>
      </c>
      <c r="I122" s="1416"/>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369"/>
      <c r="D123" s="217"/>
      <c r="E123" s="323">
        <f t="shared" si="61"/>
        <v>0</v>
      </c>
      <c r="F123" s="324"/>
      <c r="G123" s="325">
        <f t="shared" si="36"/>
        <v>0</v>
      </c>
      <c r="H123" s="326">
        <f t="shared" si="37"/>
        <v>0</v>
      </c>
      <c r="I123" s="1416"/>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369"/>
      <c r="D124" s="217"/>
      <c r="E124" s="323">
        <f t="shared" si="61"/>
        <v>0</v>
      </c>
      <c r="F124" s="324"/>
      <c r="G124" s="325">
        <f t="shared" si="36"/>
        <v>0</v>
      </c>
      <c r="H124" s="326">
        <f t="shared" si="37"/>
        <v>0</v>
      </c>
      <c r="I124" s="1416"/>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369"/>
      <c r="D125" s="217"/>
      <c r="E125" s="323">
        <f t="shared" si="61"/>
        <v>0</v>
      </c>
      <c r="F125" s="324"/>
      <c r="G125" s="325">
        <f t="shared" si="36"/>
        <v>0</v>
      </c>
      <c r="H125" s="326">
        <f t="shared" si="37"/>
        <v>0</v>
      </c>
      <c r="I125" s="1416"/>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369"/>
      <c r="D126" s="217"/>
      <c r="E126" s="323">
        <f t="shared" si="61"/>
        <v>0</v>
      </c>
      <c r="F126" s="324"/>
      <c r="G126" s="325">
        <f t="shared" si="36"/>
        <v>0</v>
      </c>
      <c r="H126" s="326">
        <f t="shared" si="37"/>
        <v>0</v>
      </c>
      <c r="I126" s="1416"/>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369"/>
      <c r="D127" s="217"/>
      <c r="E127" s="323">
        <f t="shared" si="61"/>
        <v>0</v>
      </c>
      <c r="F127" s="324"/>
      <c r="G127" s="325">
        <f t="shared" si="36"/>
        <v>0</v>
      </c>
      <c r="H127" s="326">
        <f t="shared" si="37"/>
        <v>0</v>
      </c>
      <c r="I127" s="1416"/>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369"/>
      <c r="D128" s="217"/>
      <c r="E128" s="323">
        <f t="shared" si="61"/>
        <v>0</v>
      </c>
      <c r="F128" s="324"/>
      <c r="G128" s="325">
        <f t="shared" si="36"/>
        <v>0</v>
      </c>
      <c r="H128" s="326">
        <f t="shared" si="37"/>
        <v>0</v>
      </c>
      <c r="I128" s="1416"/>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369"/>
      <c r="D129" s="217"/>
      <c r="E129" s="323">
        <f t="shared" si="61"/>
        <v>0</v>
      </c>
      <c r="F129" s="324"/>
      <c r="G129" s="325">
        <f t="shared" si="36"/>
        <v>0</v>
      </c>
      <c r="H129" s="326">
        <f t="shared" si="37"/>
        <v>0</v>
      </c>
      <c r="I129" s="1416"/>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369"/>
      <c r="D130" s="217"/>
      <c r="E130" s="323">
        <f t="shared" si="61"/>
        <v>0</v>
      </c>
      <c r="F130" s="324"/>
      <c r="G130" s="325">
        <f t="shared" si="36"/>
        <v>0</v>
      </c>
      <c r="H130" s="326">
        <f t="shared" si="37"/>
        <v>0</v>
      </c>
      <c r="I130" s="1416"/>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369"/>
      <c r="D131" s="217"/>
      <c r="E131" s="323">
        <f t="shared" si="61"/>
        <v>0</v>
      </c>
      <c r="F131" s="324"/>
      <c r="G131" s="325">
        <f t="shared" si="36"/>
        <v>0</v>
      </c>
      <c r="H131" s="326">
        <f t="shared" si="37"/>
        <v>0</v>
      </c>
      <c r="I131" s="1416"/>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369"/>
      <c r="D132" s="217"/>
      <c r="E132" s="323">
        <f t="shared" si="61"/>
        <v>0</v>
      </c>
      <c r="F132" s="324"/>
      <c r="G132" s="325">
        <f t="shared" si="36"/>
        <v>0</v>
      </c>
      <c r="H132" s="326">
        <f t="shared" si="37"/>
        <v>0</v>
      </c>
      <c r="I132" s="1416"/>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369"/>
      <c r="D133" s="217"/>
      <c r="E133" s="323">
        <f t="shared" si="61"/>
        <v>0</v>
      </c>
      <c r="F133" s="324"/>
      <c r="G133" s="325">
        <f t="shared" si="36"/>
        <v>0</v>
      </c>
      <c r="H133" s="326">
        <f t="shared" si="37"/>
        <v>0</v>
      </c>
      <c r="I133" s="1416"/>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369"/>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369"/>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369"/>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369"/>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3" t="s">
        <v>2</v>
      </c>
      <c r="B1" s="3443" t="s">
        <v>37</v>
      </c>
      <c r="C1" s="3443" t="s">
        <v>38</v>
      </c>
      <c r="D1" s="3500" t="s">
        <v>199</v>
      </c>
      <c r="E1" s="3500" t="s">
        <v>200</v>
      </c>
      <c r="F1" s="3500"/>
      <c r="G1" s="3500"/>
      <c r="H1" s="3500"/>
      <c r="I1" s="3500"/>
      <c r="J1" s="3500"/>
      <c r="K1" s="3500"/>
      <c r="L1" s="3500"/>
      <c r="M1" s="3500"/>
    </row>
    <row r="2" spans="1:13" ht="27" customHeight="1">
      <c r="A2" s="3443"/>
      <c r="B2" s="3443"/>
      <c r="C2" s="3443"/>
      <c r="D2" s="3500"/>
      <c r="E2" s="3500" t="s">
        <v>183</v>
      </c>
      <c r="F2" s="3500" t="s">
        <v>184</v>
      </c>
      <c r="G2" s="3500"/>
      <c r="H2" s="3500"/>
      <c r="I2" s="3500"/>
      <c r="J2" s="3500" t="s">
        <v>185</v>
      </c>
      <c r="K2" s="3500"/>
      <c r="L2" s="3500"/>
      <c r="M2" s="3500"/>
    </row>
    <row r="3" spans="1:13" ht="28.5">
      <c r="A3" s="3443"/>
      <c r="B3" s="3443"/>
      <c r="C3" s="3443"/>
      <c r="D3" s="3500"/>
      <c r="E3" s="3500"/>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0" t="s">
        <v>201</v>
      </c>
      <c r="B9" s="3500"/>
      <c r="C9" s="350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C20" sqref="C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642</v>
      </c>
      <c r="B1" s="2225"/>
      <c r="C1" s="2225"/>
      <c r="D1" s="2225"/>
      <c r="E1" s="2225"/>
      <c r="F1" s="2225"/>
      <c r="G1" s="2225"/>
      <c r="H1" s="2225"/>
      <c r="I1" s="2225"/>
      <c r="J1" s="2225"/>
      <c r="K1" s="2225"/>
      <c r="L1" s="2225"/>
      <c r="M1" s="2225"/>
      <c r="N1" s="2225"/>
      <c r="O1" s="2225"/>
      <c r="P1" s="2225"/>
    </row>
    <row r="2" spans="1:16">
      <c r="A2" s="3510" t="s">
        <v>643</v>
      </c>
      <c r="B2" s="3510"/>
      <c r="C2" s="3510"/>
      <c r="D2" s="2209" t="s">
        <v>644</v>
      </c>
      <c r="E2" s="19" t="s">
        <v>645</v>
      </c>
      <c r="F2" s="2225"/>
      <c r="G2" s="1178"/>
      <c r="H2" s="1179"/>
      <c r="I2" s="2217" t="s">
        <v>646</v>
      </c>
      <c r="J2" s="2225"/>
      <c r="K2" s="2225"/>
      <c r="L2" s="2225"/>
      <c r="M2" s="2225"/>
      <c r="N2" s="2234"/>
      <c r="O2" s="2225"/>
      <c r="P2" s="2225"/>
    </row>
    <row r="3" spans="1:16" ht="15.75" thickBot="1">
      <c r="A3" s="3511" t="s">
        <v>647</v>
      </c>
      <c r="B3" s="3511"/>
      <c r="C3" s="3511"/>
      <c r="D3" s="334">
        <f>'数据-基础表'!AY6</f>
        <v>92783.56</v>
      </c>
      <c r="E3" s="334">
        <f>'数据-基础表'!AZ5</f>
        <v>28973.439999999999</v>
      </c>
      <c r="F3" s="2225"/>
      <c r="G3" s="441"/>
      <c r="H3" s="439" t="s">
        <v>648</v>
      </c>
      <c r="I3" s="343">
        <f>ROUND('数据-基础表'!B3/'数据-基础表'!A3,2)</f>
        <v>0.31</v>
      </c>
      <c r="J3" s="2225"/>
      <c r="K3" s="2225"/>
      <c r="L3" s="2225"/>
      <c r="M3" s="2225"/>
      <c r="N3" s="2234"/>
      <c r="O3" s="2225"/>
      <c r="P3" s="2225"/>
    </row>
    <row r="4" spans="1:16" ht="14.25">
      <c r="A4" s="3512"/>
      <c r="B4" s="3513"/>
      <c r="C4" s="3514"/>
      <c r="D4" s="20" t="s">
        <v>644</v>
      </c>
      <c r="E4" s="21" t="s">
        <v>645</v>
      </c>
      <c r="F4" s="2225"/>
      <c r="G4" s="1180" t="s">
        <v>1792</v>
      </c>
      <c r="H4" s="439" t="s">
        <v>649</v>
      </c>
      <c r="I4" s="343">
        <f>ROUND(SUMIF('数据-基础表'!I9:AS9,"地上",'数据-基础表'!I5:AS5)/'数据-基础表'!A3,2)</f>
        <v>0.31</v>
      </c>
      <c r="J4" s="2225"/>
      <c r="K4" s="2225"/>
      <c r="L4" s="2225"/>
      <c r="M4" s="2225"/>
      <c r="N4" s="2234"/>
      <c r="O4" s="2225"/>
      <c r="P4" s="2225"/>
    </row>
    <row r="5" spans="1:16" ht="14.25">
      <c r="A5" s="22" t="s">
        <v>650</v>
      </c>
      <c r="B5" s="3515" t="s">
        <v>651</v>
      </c>
      <c r="C5" s="3515"/>
      <c r="D5" s="336">
        <f>ROUND($D$3*E5/$E$3,2)</f>
        <v>0</v>
      </c>
      <c r="E5" s="337">
        <f>SUMIF('数据-基础表'!$11:$11,"住宅",'数据-基础表'!$5:$5)</f>
        <v>0</v>
      </c>
      <c r="F5" s="2225"/>
      <c r="G5" s="441"/>
      <c r="H5" s="439" t="s">
        <v>648</v>
      </c>
      <c r="I5" s="343">
        <f>ROUND(E31/D31,2)</f>
        <v>0.31</v>
      </c>
      <c r="J5" s="2225"/>
      <c r="K5" s="2225"/>
      <c r="L5" s="2225"/>
      <c r="M5" s="2225"/>
      <c r="N5" s="2225"/>
      <c r="O5" s="2225"/>
      <c r="P5" s="2225"/>
    </row>
    <row r="6" spans="1:16" ht="15" thickBot="1">
      <c r="A6" s="24"/>
      <c r="B6" s="3515" t="s">
        <v>652</v>
      </c>
      <c r="C6" s="3515"/>
      <c r="D6" s="336">
        <f>ROUND($D$3*E6/$E$3,2)</f>
        <v>92783.56</v>
      </c>
      <c r="E6" s="337">
        <f>E3-E5</f>
        <v>28973.439999999999</v>
      </c>
      <c r="F6" s="2225"/>
      <c r="G6" s="1759" t="s">
        <v>1793</v>
      </c>
      <c r="H6" s="441" t="s">
        <v>649</v>
      </c>
      <c r="I6" s="1760">
        <f>ROUND(F31/D31,2)</f>
        <v>0.31</v>
      </c>
      <c r="J6" s="2225"/>
      <c r="K6" s="2225"/>
      <c r="L6" s="2225"/>
      <c r="M6" s="2225"/>
      <c r="N6" s="2225"/>
      <c r="O6" s="2225"/>
      <c r="P6" s="2225"/>
    </row>
    <row r="7" spans="1:16" ht="14.25">
      <c r="A7" s="3507"/>
      <c r="B7" s="3508"/>
      <c r="C7" s="3509"/>
      <c r="D7" s="20" t="s">
        <v>644</v>
      </c>
      <c r="E7" s="25" t="s">
        <v>645</v>
      </c>
      <c r="F7" s="2225"/>
      <c r="G7" s="1178" t="s">
        <v>1872</v>
      </c>
      <c r="H7" s="38"/>
      <c r="I7" s="762"/>
      <c r="J7" s="2225"/>
      <c r="K7" s="2225"/>
      <c r="L7" s="2225"/>
      <c r="M7" s="2225"/>
      <c r="N7" s="2225"/>
      <c r="O7" s="2225"/>
      <c r="P7" s="2225"/>
    </row>
    <row r="8" spans="1:16" ht="14.25">
      <c r="A8" s="22" t="s">
        <v>653</v>
      </c>
      <c r="B8" s="26" t="s">
        <v>654</v>
      </c>
      <c r="C8" s="23" t="s">
        <v>655</v>
      </c>
      <c r="D8" s="336">
        <f t="shared" ref="D8:D15" si="0">ROUND($D$3*E8/$E$3,2)</f>
        <v>92783.56</v>
      </c>
      <c r="E8" s="339">
        <f>SUMIF('数据-基础表'!BB10:BK10,"地上",'数据-基础表'!BB5:BK5)</f>
        <v>28973.439999999999</v>
      </c>
      <c r="F8" s="2225"/>
      <c r="G8" s="2226"/>
      <c r="H8" s="2226"/>
      <c r="I8" s="2225"/>
      <c r="J8" s="2225"/>
      <c r="K8" s="2225"/>
      <c r="L8" s="2225"/>
      <c r="M8" s="2225"/>
      <c r="N8" s="2225"/>
      <c r="O8" s="2225"/>
      <c r="P8" s="2225"/>
    </row>
    <row r="9" spans="1:16" ht="14.25">
      <c r="A9" s="27"/>
      <c r="B9" s="28"/>
      <c r="C9" s="23" t="s">
        <v>656</v>
      </c>
      <c r="D9" s="336">
        <f t="shared" si="0"/>
        <v>0</v>
      </c>
      <c r="E9" s="340">
        <v>0</v>
      </c>
      <c r="F9" s="2225"/>
      <c r="G9" s="2226"/>
      <c r="H9" s="2226"/>
      <c r="I9" s="2225"/>
      <c r="J9" s="2225"/>
      <c r="K9" s="2225"/>
      <c r="L9" s="2225"/>
      <c r="M9" s="2225"/>
      <c r="N9" s="2225"/>
      <c r="O9" s="2225"/>
      <c r="P9" s="2225"/>
    </row>
    <row r="10" spans="1:16" ht="14.25">
      <c r="A10" s="27"/>
      <c r="B10" s="28"/>
      <c r="C10" s="23" t="s">
        <v>657</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658</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659</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660</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661</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662</v>
      </c>
      <c r="D16" s="338">
        <f>SUM(D8:D15)</f>
        <v>92783.56</v>
      </c>
      <c r="E16" s="341">
        <f>SUM(E8:E15)</f>
        <v>28973.439999999999</v>
      </c>
      <c r="F16" s="2225"/>
      <c r="G16" s="2226"/>
      <c r="H16" s="1177" t="s">
        <v>533</v>
      </c>
      <c r="I16" s="1181"/>
      <c r="J16" s="2225"/>
      <c r="K16" s="3504" t="s">
        <v>533</v>
      </c>
      <c r="L16" s="3505"/>
      <c r="M16" s="3505"/>
      <c r="N16" s="3505"/>
      <c r="O16" s="3505"/>
      <c r="P16" s="3506"/>
    </row>
    <row r="17" spans="1:19" ht="14.25">
      <c r="A17" s="29" t="s">
        <v>663</v>
      </c>
      <c r="B17" s="30" t="s">
        <v>664</v>
      </c>
      <c r="C17" s="34" t="s">
        <v>2387</v>
      </c>
      <c r="D17" s="2075" t="s">
        <v>644</v>
      </c>
      <c r="E17" s="2073" t="s">
        <v>645</v>
      </c>
      <c r="F17" s="36"/>
      <c r="G17" s="37"/>
      <c r="H17" s="1182" t="s">
        <v>665</v>
      </c>
      <c r="I17" s="1183" t="s">
        <v>206</v>
      </c>
      <c r="J17" s="2225"/>
      <c r="K17" s="3501" t="s">
        <v>671</v>
      </c>
      <c r="L17" s="3502"/>
      <c r="M17" s="3503"/>
      <c r="N17" s="3501" t="s">
        <v>2689</v>
      </c>
      <c r="O17" s="3502"/>
      <c r="P17" s="3503"/>
      <c r="R17" s="2485" t="s">
        <v>2388</v>
      </c>
      <c r="S17" s="353"/>
    </row>
    <row r="18" spans="1:19">
      <c r="A18" s="27"/>
      <c r="B18" s="31"/>
      <c r="C18" s="35"/>
      <c r="D18" s="2076"/>
      <c r="E18" s="2074" t="s">
        <v>666</v>
      </c>
      <c r="F18" s="15" t="s">
        <v>667</v>
      </c>
      <c r="G18" s="16" t="s">
        <v>668</v>
      </c>
      <c r="H18" s="1184" t="s">
        <v>669</v>
      </c>
      <c r="I18" s="1185" t="s">
        <v>670</v>
      </c>
      <c r="J18" s="2225"/>
      <c r="K18" s="1184" t="s">
        <v>2682</v>
      </c>
      <c r="L18" s="6" t="s">
        <v>2690</v>
      </c>
      <c r="M18" s="2803" t="s">
        <v>2688</v>
      </c>
      <c r="N18" s="1184" t="s">
        <v>2682</v>
      </c>
      <c r="O18" s="6" t="s">
        <v>2690</v>
      </c>
      <c r="P18" s="2803" t="s">
        <v>2688</v>
      </c>
      <c r="R18" s="2486" t="s">
        <v>2389</v>
      </c>
      <c r="S18" s="2486" t="s">
        <v>2390</v>
      </c>
    </row>
    <row r="19" spans="1:19" ht="14.25">
      <c r="A19" s="32"/>
      <c r="B19" s="26" t="s">
        <v>119</v>
      </c>
      <c r="C19" s="1419" t="s">
        <v>3165</v>
      </c>
      <c r="D19" s="336">
        <f>ROUND($D$3*E19/$E$3,2)</f>
        <v>92783.56</v>
      </c>
      <c r="E19" s="344">
        <f t="shared" ref="E19:E26" si="1">SUM(F19:G19)</f>
        <v>28973.439999999999</v>
      </c>
      <c r="F19" s="3370">
        <f>'数据-基础表'!H5</f>
        <v>28973.439999999999</v>
      </c>
      <c r="G19" s="346"/>
      <c r="H19" s="1131">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92783.56</v>
      </c>
      <c r="S19" s="2488">
        <f t="shared" si="5"/>
        <v>28973.439999999999</v>
      </c>
    </row>
    <row r="20" spans="1:19" ht="14.25">
      <c r="A20" s="33"/>
      <c r="B20" s="26" t="s">
        <v>637</v>
      </c>
      <c r="C20" s="1419"/>
      <c r="D20" s="336">
        <f t="shared" ref="D20:D26" si="6">ROUND($D$3*E20/$E$3,2)</f>
        <v>0</v>
      </c>
      <c r="E20" s="344">
        <f t="shared" si="1"/>
        <v>0</v>
      </c>
      <c r="F20" s="345"/>
      <c r="G20" s="346"/>
      <c r="H20" s="1131">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637</v>
      </c>
      <c r="C21" s="1419"/>
      <c r="D21" s="336">
        <f t="shared" si="6"/>
        <v>0</v>
      </c>
      <c r="E21" s="344">
        <f t="shared" si="1"/>
        <v>0</v>
      </c>
      <c r="F21" s="345"/>
      <c r="G21" s="346"/>
      <c r="H21" s="1131">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637</v>
      </c>
      <c r="C22" s="348"/>
      <c r="D22" s="336">
        <f t="shared" si="6"/>
        <v>0</v>
      </c>
      <c r="E22" s="344">
        <f t="shared" si="1"/>
        <v>0</v>
      </c>
      <c r="F22" s="349"/>
      <c r="G22" s="350"/>
      <c r="H22" s="1131">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637</v>
      </c>
      <c r="C23" s="348"/>
      <c r="D23" s="336">
        <f>ROUND($D$3*E23/$E$3,2)</f>
        <v>0</v>
      </c>
      <c r="E23" s="344">
        <f>SUM(F23:G23)</f>
        <v>0</v>
      </c>
      <c r="F23" s="349"/>
      <c r="G23" s="350"/>
      <c r="H23" s="1131">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637</v>
      </c>
      <c r="C24" s="348"/>
      <c r="D24" s="336">
        <f>ROUND($D$3*E24/$E$3,2)</f>
        <v>0</v>
      </c>
      <c r="E24" s="344">
        <f>SUM(F24:G24)</f>
        <v>0</v>
      </c>
      <c r="F24" s="349"/>
      <c r="G24" s="350"/>
      <c r="H24" s="1131">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637</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637</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638</v>
      </c>
      <c r="D27" s="2807">
        <f>SUM(D19:D26)</f>
        <v>92783.56</v>
      </c>
      <c r="E27" s="2808">
        <f>IF(SUM(E19:E26)='数据-基础表'!BA5,SUM(E19:E26),IF(F27="地上面积有误","面积有误","地下面积有误"))</f>
        <v>28973.439999999999</v>
      </c>
      <c r="F27" s="2807">
        <f>IF(SUM(F19:F26)=E8,SUM(F19:F26),"地上面积有误")</f>
        <v>28973.439999999999</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92783.56</v>
      </c>
      <c r="S27" s="2487">
        <f>IF(SUM(S19:S26)=$E$3,SUM(S19:S26),SUM(S19:S26)&amp;"误差"&amp;ROUND(SUM(S19:S26)-E3,2))</f>
        <v>28973.439999999999</v>
      </c>
    </row>
    <row r="28" spans="1:19" ht="14.25">
      <c r="A28" s="33"/>
      <c r="B28" s="26" t="s">
        <v>639</v>
      </c>
      <c r="C28" s="5" t="s">
        <v>640</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639</v>
      </c>
      <c r="C29" s="13" t="s">
        <v>2391</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638</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641</v>
      </c>
      <c r="D31" s="1187">
        <f>D27+D30</f>
        <v>92783.56</v>
      </c>
      <c r="E31" s="1187">
        <f>E27+E30</f>
        <v>28973.439999999999</v>
      </c>
      <c r="F31" s="1188">
        <f>F27+F30</f>
        <v>28973.439999999999</v>
      </c>
      <c r="G31" s="1189">
        <f>G27+G30</f>
        <v>0</v>
      </c>
      <c r="H31" s="2225"/>
      <c r="I31" s="2225"/>
      <c r="J31" s="2225"/>
      <c r="K31" s="2225"/>
      <c r="L31" s="2225"/>
      <c r="M31" s="2225"/>
      <c r="N31" s="2225"/>
      <c r="O31" s="2225"/>
      <c r="P31" s="2225"/>
    </row>
    <row r="32" spans="1:19" ht="14.25">
      <c r="A32" s="1180"/>
      <c r="B32" s="1180" t="s">
        <v>2703</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SheetLayoutView="90" workbookViewId="0">
      <pane xSplit="3" ySplit="5" topLeftCell="I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672</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673</v>
      </c>
      <c r="B2" s="2516">
        <f>项目基本情况!D3</f>
        <v>42986</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2683</v>
      </c>
      <c r="T5" s="274" t="s">
        <v>694</v>
      </c>
      <c r="U5" s="2517" t="s">
        <v>2399</v>
      </c>
      <c r="V5" s="51" t="s">
        <v>695</v>
      </c>
      <c r="W5" s="2518" t="s">
        <v>2400</v>
      </c>
      <c r="X5" s="62"/>
      <c r="Y5" s="60" t="s">
        <v>696</v>
      </c>
      <c r="Z5" s="61" t="s">
        <v>697</v>
      </c>
      <c r="AA5" s="51" t="s">
        <v>695</v>
      </c>
      <c r="AB5" s="2518" t="s">
        <v>2400</v>
      </c>
      <c r="AC5" s="62"/>
      <c r="AD5" s="62" t="s">
        <v>696</v>
      </c>
      <c r="AE5" s="14" t="s">
        <v>538</v>
      </c>
      <c r="AF5" s="51" t="s">
        <v>698</v>
      </c>
      <c r="AG5" s="60" t="s">
        <v>699</v>
      </c>
      <c r="AH5" s="14" t="s">
        <v>2404</v>
      </c>
      <c r="AI5" s="61" t="s">
        <v>2321</v>
      </c>
      <c r="AJ5" s="61" t="s">
        <v>700</v>
      </c>
      <c r="AK5" s="2518" t="s">
        <v>2401</v>
      </c>
      <c r="AL5" s="2518" t="s">
        <v>2402</v>
      </c>
      <c r="AM5" s="359" t="s">
        <v>2403</v>
      </c>
      <c r="AN5" s="2575" t="s">
        <v>2443</v>
      </c>
      <c r="AO5" s="2012"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影视基地</v>
      </c>
      <c r="B6" s="2493" t="str">
        <f>IF(A6=0,"","经营性")</f>
        <v>经营性</v>
      </c>
      <c r="C6" s="39" t="s">
        <v>3161</v>
      </c>
      <c r="D6" s="2056">
        <f>SUMIF(项目基本情况!D$12:I$12,C6,项目基本情况!D$14:I$14)</f>
        <v>50</v>
      </c>
      <c r="E6" s="2050">
        <f>IF(B6="","",SUMIF(项目基本情况!D$12:I$12,C6,项目基本情况!D$13:I$13))</f>
        <v>55511</v>
      </c>
      <c r="F6" s="361">
        <f>SUMIF(项目基本情况!D$12:I$12,C6,项目基本情况!D$15:I$15)</f>
        <v>34.31</v>
      </c>
      <c r="G6" s="362">
        <f>IF(ISERROR(ROUND(POWER(1+H6,D6-F6)*(POWER(1+H6,F6)-1)/(POWER(1+H6,D6)-1),3)),0,ROUND(POWER(1+H6,D6-F6)*(POWER(1+H6,F6)-1)/(POWER(1+H6,D6)-1),3))</f>
        <v>0.876</v>
      </c>
      <c r="H6" s="1474">
        <v>4.4999999999999998E-2</v>
      </c>
      <c r="I6" s="1474">
        <v>0.05</v>
      </c>
      <c r="J6" s="363">
        <v>8.5000000000000006E-2</v>
      </c>
      <c r="K6" s="2496">
        <f>SUMIF('数据-汇总表'!C$19:C$33,A6,'数据-汇总表'!E$19:E$33)</f>
        <v>28973.439999999999</v>
      </c>
      <c r="L6" s="1475">
        <v>2500</v>
      </c>
      <c r="M6" s="364">
        <f t="shared" ref="M6:M14" si="0">ROUND(K6*L6/10000,0)</f>
        <v>7243</v>
      </c>
      <c r="N6" s="1473">
        <f>N22</f>
        <v>0.7</v>
      </c>
      <c r="O6" s="364" t="str">
        <f>IF($N$5="成新度","——",ROUND(M6*N6,0))</f>
        <v>——</v>
      </c>
      <c r="P6" s="365" t="str">
        <f>IF($N$5="成新度","——",M6-O6)</f>
        <v>——</v>
      </c>
      <c r="Q6" s="1476">
        <v>0.2</v>
      </c>
      <c r="R6" s="366">
        <f ca="1">SUMIF('数据-汇总表'!C$19:C$33,A6,'数据-汇总表'!R$19:R$27)</f>
        <v>92783.56</v>
      </c>
      <c r="S6" s="342">
        <f>IF('数据-汇总表'!$I$17="按面积比例",SUMIF('数据-汇总表'!C$19:C$33,A6,'数据-汇总表'!K$19:K$33),SUMIF('数据-汇总表'!C$19:C$33,A6,'数据-汇总表'!N$19:N$33))</f>
        <v>0</v>
      </c>
      <c r="T6" s="2890">
        <f>ROUND($L$14*S6/10000,0)</f>
        <v>0</v>
      </c>
      <c r="U6" s="3382">
        <v>5.2</v>
      </c>
      <c r="V6" s="368">
        <v>0.03</v>
      </c>
      <c r="W6" s="368">
        <v>0.35</v>
      </c>
      <c r="X6" s="2506"/>
      <c r="Y6" s="369">
        <f>N6</f>
        <v>0.7</v>
      </c>
      <c r="Z6" s="370"/>
      <c r="AA6" s="363"/>
      <c r="AB6" s="363"/>
      <c r="AC6" s="2506"/>
      <c r="AD6" s="371"/>
      <c r="AE6" s="2507">
        <f ca="1">IF(AN6="",0,SUMIF(INDIRECT("'"&amp;AN6&amp;"'"&amp;"!E:E"),$AE$5,INDIRECT("'"&amp;AN6&amp;"'"&amp;"!F:F")))</f>
        <v>34.31</v>
      </c>
      <c r="AF6" s="351"/>
      <c r="AG6" s="477">
        <f>IF(AF6="",0,AE6-AF6)</f>
        <v>0</v>
      </c>
      <c r="AH6" s="372"/>
      <c r="AI6" s="374">
        <v>365</v>
      </c>
      <c r="AJ6" s="376">
        <v>1.2E-2</v>
      </c>
      <c r="AK6" s="376">
        <v>1.4999999999999999E-2</v>
      </c>
      <c r="AL6" s="377">
        <v>1.5E-3</v>
      </c>
      <c r="AM6" s="378">
        <v>0.02</v>
      </c>
      <c r="AN6" s="2576" t="s">
        <v>3160</v>
      </c>
      <c r="AO6" s="343">
        <f ca="1">SUMIF(INDIRECT("'"&amp;AN6&amp;"'"&amp;"!A:A"),"总价",INDIRECT("'"&amp;AN6&amp;"'"&amp;"!B:B"))</f>
        <v>73256</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4"/>
      <c r="I8" s="1474"/>
      <c r="J8" s="363"/>
      <c r="K8" s="2496">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0">
        <f t="shared" si="5"/>
        <v>0</v>
      </c>
      <c r="U8" s="1477"/>
      <c r="V8" s="1478"/>
      <c r="W8" s="1478"/>
      <c r="X8" s="2506"/>
      <c r="Y8" s="1479"/>
      <c r="Z8" s="370"/>
      <c r="AA8" s="363"/>
      <c r="AB8" s="363"/>
      <c r="AC8" s="2506"/>
      <c r="AD8" s="371"/>
      <c r="AE8" s="2507">
        <f t="shared" ca="1" si="6"/>
        <v>0</v>
      </c>
      <c r="AF8" s="351"/>
      <c r="AG8" s="477">
        <f t="shared" si="7"/>
        <v>0</v>
      </c>
      <c r="AH8" s="1480"/>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1"/>
      <c r="V14" s="2501"/>
      <c r="W14" s="2501"/>
      <c r="X14" s="2502"/>
      <c r="Y14" s="2503"/>
      <c r="Z14" s="2504"/>
      <c r="AA14" s="2505"/>
      <c r="AB14" s="2505"/>
      <c r="AC14" s="2506"/>
      <c r="AD14" s="2502"/>
      <c r="AE14" s="2507"/>
      <c r="AF14" s="343"/>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2392</v>
      </c>
      <c r="B15" s="2493" t="s">
        <v>534</v>
      </c>
      <c r="C15" s="2494" t="s">
        <v>2096</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1"/>
      <c r="V15" s="2501"/>
      <c r="W15" s="2501"/>
      <c r="X15" s="2502"/>
      <c r="Y15" s="2503"/>
      <c r="Z15" s="2504"/>
      <c r="AA15" s="2505"/>
      <c r="AB15" s="2505"/>
      <c r="AC15" s="2506"/>
      <c r="AD15" s="2502"/>
      <c r="AE15" s="2507"/>
      <c r="AF15" s="343"/>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6"/>
      <c r="G16" s="387">
        <f>ROUND(SUMPRODUCT(G6:G13,K6:K13)/SUMPRODUCT((G6:G13&gt;0)*(K6:K13)),3)</f>
        <v>0.876</v>
      </c>
      <c r="H16" s="388">
        <f>ROUND(SUMPRODUCT(H6:H13,K6:K13)/SUMPRODUCT((H6:H13&gt;0)*(K6:K13)),3)</f>
        <v>4.4999999999999998E-2</v>
      </c>
      <c r="I16" s="389"/>
      <c r="J16" s="389"/>
      <c r="K16" s="390">
        <f>SUM(K6:K15)</f>
        <v>28973.439999999999</v>
      </c>
      <c r="L16" s="391">
        <f>ROUND(M16*10000/SUM(K6:K14),0)</f>
        <v>2500</v>
      </c>
      <c r="M16" s="391">
        <f>SUM(M6:M14)</f>
        <v>7243</v>
      </c>
      <c r="N16" s="392">
        <f>ROUND(SUMPRODUCT(M6:M14,N6:N14)/M16,3)</f>
        <v>0.7</v>
      </c>
      <c r="O16" s="391">
        <f>SUM(O6:O14)</f>
        <v>0</v>
      </c>
      <c r="P16" s="391">
        <f>SUM(P6:P14)</f>
        <v>0</v>
      </c>
      <c r="Q16" s="393">
        <f>ROUND(SUMPRODUCT(Q6:Q13,K6:K13)/SUMPRODUCT((Q6:Q13&gt;0)*(K6:K13)),2)</f>
        <v>0.2</v>
      </c>
      <c r="R16" s="2500">
        <f ca="1">SUM(R6:R13)</f>
        <v>92783.56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2408</v>
      </c>
      <c r="D19" s="2233"/>
      <c r="E19" s="2232"/>
      <c r="F19" s="2232"/>
      <c r="G19" s="2232"/>
      <c r="H19" s="2232"/>
      <c r="I19" s="2232"/>
      <c r="J19" s="2232"/>
      <c r="K19" s="2231"/>
      <c r="L19" s="2231" t="s">
        <v>3322</v>
      </c>
      <c r="M19" s="2229" t="s">
        <v>3323</v>
      </c>
      <c r="N19" s="2229" t="s">
        <v>3324</v>
      </c>
      <c r="O19" s="2229" t="s">
        <v>3325</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701</v>
      </c>
      <c r="B20" s="402">
        <v>2</v>
      </c>
      <c r="C20" s="2232" t="s">
        <v>2409</v>
      </c>
      <c r="D20" s="2233"/>
      <c r="E20" s="2232"/>
      <c r="F20" s="2232"/>
      <c r="G20" s="2232"/>
      <c r="H20" s="2232"/>
      <c r="I20" s="2232"/>
      <c r="J20" s="2232"/>
      <c r="K20" s="2231" t="s">
        <v>3320</v>
      </c>
      <c r="L20" s="3425">
        <f>K6-L21</f>
        <v>18383.439999999999</v>
      </c>
      <c r="M20" s="2229">
        <f>ROUND(L20/K6,2)</f>
        <v>0.63</v>
      </c>
      <c r="N20" s="3426">
        <v>0.6</v>
      </c>
      <c r="O20" s="2229">
        <v>2200</v>
      </c>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702</v>
      </c>
      <c r="B21" s="402">
        <v>2</v>
      </c>
      <c r="C21" s="2232"/>
      <c r="D21" s="2233"/>
      <c r="E21" s="2232"/>
      <c r="F21" s="2232"/>
      <c r="G21" s="2232"/>
      <c r="H21" s="2232"/>
      <c r="I21" s="2232"/>
      <c r="J21" s="2232"/>
      <c r="K21" s="2231" t="s">
        <v>3321</v>
      </c>
      <c r="L21" s="2231">
        <f>'数据-基础表'!I14</f>
        <v>10590</v>
      </c>
      <c r="M21" s="2229">
        <f>ROUND(L21/K6,2)</f>
        <v>0.37</v>
      </c>
      <c r="N21" s="3426">
        <f>ROUND(1-(2017-2010)/60,2)</f>
        <v>0.88</v>
      </c>
      <c r="O21" s="2229">
        <v>3000</v>
      </c>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703</v>
      </c>
      <c r="B22" s="403">
        <f>B19+B20</f>
        <v>2</v>
      </c>
      <c r="C22" s="2232"/>
      <c r="D22" s="2233"/>
      <c r="E22" s="2232"/>
      <c r="F22" s="2232"/>
      <c r="G22" s="2232"/>
      <c r="H22" s="2232"/>
      <c r="I22" s="2232"/>
      <c r="J22" s="2232"/>
      <c r="K22" s="2231"/>
      <c r="L22" s="2231"/>
      <c r="M22" s="2229"/>
      <c r="N22" s="2229">
        <f>ROUND(N20*M20+N21*M21,2)</f>
        <v>0.7</v>
      </c>
      <c r="O22" s="2229">
        <f>ROUND(O20*M20+O21*M21,2)</f>
        <v>2496</v>
      </c>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704</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705</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706</v>
      </c>
      <c r="B26" s="72" t="s">
        <v>707</v>
      </c>
      <c r="C26" s="2235" t="s">
        <v>708</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709</v>
      </c>
      <c r="B27" s="405"/>
      <c r="C27" s="2528" t="s">
        <v>710</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711</v>
      </c>
      <c r="B28" s="408">
        <v>160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2686</v>
      </c>
      <c r="B29" s="410">
        <f ca="1">成本法!C10</f>
        <v>464</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712</v>
      </c>
      <c r="B30" s="1132"/>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713</v>
      </c>
      <c r="B31" s="409">
        <f>B30-B32</f>
        <v>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714</v>
      </c>
      <c r="B32" s="1133"/>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715</v>
      </c>
      <c r="B33" s="1134">
        <v>0.03</v>
      </c>
      <c r="C33" s="3288"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716</v>
      </c>
      <c r="B34" s="411">
        <v>0</v>
      </c>
      <c r="C34" s="3288" t="s">
        <v>2999</v>
      </c>
      <c r="D34" s="2233" t="s">
        <v>717</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718</v>
      </c>
      <c r="B35" s="408">
        <v>200</v>
      </c>
      <c r="C35" s="3288"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719</v>
      </c>
      <c r="B36" s="412">
        <v>1.4999999999999999E-2</v>
      </c>
      <c r="C36" s="3288"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720</v>
      </c>
      <c r="B37" s="413">
        <v>0.02</v>
      </c>
      <c r="C37" s="3288"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721</v>
      </c>
      <c r="B38" s="411">
        <v>0.02</v>
      </c>
      <c r="C38" s="3288"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722</v>
      </c>
      <c r="B41" s="414">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723</v>
      </c>
      <c r="B42" s="415">
        <v>0.05</v>
      </c>
      <c r="C42" s="3313">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724</v>
      </c>
      <c r="B43" s="416">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725</v>
      </c>
      <c r="B44" s="417">
        <v>0.05</v>
      </c>
      <c r="C44" s="3288"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726</v>
      </c>
      <c r="B45" s="415">
        <v>0.03</v>
      </c>
      <c r="C45" s="3289"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727</v>
      </c>
      <c r="B46" s="415">
        <v>0.02</v>
      </c>
      <c r="C46" s="3289"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728</v>
      </c>
      <c r="B47" s="418"/>
      <c r="C47" s="2528" t="s">
        <v>729</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730</v>
      </c>
      <c r="B48" s="419">
        <v>0.03</v>
      </c>
      <c r="C48" s="3311"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731</v>
      </c>
      <c r="B49" s="415">
        <v>5.0000000000000001E-4</v>
      </c>
      <c r="C49" s="3311"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732</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733</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734</v>
      </c>
      <c r="B52" s="422">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735</v>
      </c>
      <c r="B53" s="41" t="s">
        <v>202</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3"/>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3"/>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6" t="s">
        <v>750</v>
      </c>
      <c r="B1" s="3517"/>
      <c r="C1" s="3517"/>
      <c r="D1" s="3517"/>
      <c r="E1" s="3517"/>
      <c r="F1" s="3517"/>
      <c r="G1" s="3517"/>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40.5">
      <c r="A3" s="1019" t="s">
        <v>753</v>
      </c>
      <c r="B3" s="51" t="s">
        <v>52</v>
      </c>
      <c r="C3" s="3290"/>
      <c r="D3" s="2256"/>
      <c r="E3" s="1028" t="s">
        <v>753</v>
      </c>
      <c r="F3" s="1212" t="s">
        <v>99</v>
      </c>
      <c r="G3" s="3294" t="s">
        <v>3011</v>
      </c>
      <c r="H3" s="2255"/>
      <c r="I3" s="2255"/>
      <c r="J3" s="2255"/>
      <c r="K3" s="2255"/>
      <c r="L3" s="2255"/>
      <c r="M3" s="2255"/>
      <c r="N3" s="2255"/>
      <c r="O3" s="2255"/>
      <c r="P3" s="2255"/>
      <c r="Q3" s="2255"/>
      <c r="R3" s="2255"/>
    </row>
    <row r="4" spans="1:29" ht="40.5">
      <c r="A4" s="1028"/>
      <c r="B4" s="2211" t="s">
        <v>754</v>
      </c>
      <c r="C4" s="3291"/>
      <c r="D4" s="2256"/>
      <c r="E4" s="1213"/>
      <c r="F4" s="2215" t="s">
        <v>755</v>
      </c>
      <c r="G4" s="3292" t="s">
        <v>756</v>
      </c>
      <c r="H4" s="2255"/>
      <c r="I4" s="2255"/>
      <c r="J4" s="2255"/>
      <c r="K4" s="2255"/>
      <c r="L4" s="2255"/>
      <c r="M4" s="2255"/>
      <c r="N4" s="2255"/>
      <c r="O4" s="2255"/>
      <c r="P4" s="2255"/>
      <c r="Q4" s="2255"/>
      <c r="R4" s="2255"/>
    </row>
    <row r="5" spans="1:29" ht="81">
      <c r="A5" s="1028"/>
      <c r="B5" s="2211" t="s">
        <v>757</v>
      </c>
      <c r="C5" s="3291" t="s">
        <v>3166</v>
      </c>
      <c r="D5" s="2256"/>
      <c r="E5" s="1213"/>
      <c r="F5" s="2744" t="s">
        <v>2629</v>
      </c>
      <c r="G5" s="3292" t="s">
        <v>2631</v>
      </c>
      <c r="H5" s="2255"/>
      <c r="I5" s="2255"/>
      <c r="J5" s="2255"/>
      <c r="K5" s="2255"/>
      <c r="L5" s="2255"/>
      <c r="M5" s="2255"/>
      <c r="N5" s="2255"/>
      <c r="O5" s="2255"/>
      <c r="P5" s="2255"/>
      <c r="Q5" s="2255"/>
      <c r="R5" s="2255"/>
    </row>
    <row r="6" spans="1:29" ht="94.5">
      <c r="A6" s="1028"/>
      <c r="B6" s="2211" t="s">
        <v>72</v>
      </c>
      <c r="C6" s="3292" t="s">
        <v>3167</v>
      </c>
      <c r="D6" s="2256"/>
      <c r="E6" s="1213"/>
      <c r="F6" s="2744" t="s">
        <v>2628</v>
      </c>
      <c r="G6" s="3292" t="s">
        <v>2630</v>
      </c>
      <c r="H6" s="2255"/>
      <c r="I6" s="2255"/>
      <c r="J6" s="2255"/>
      <c r="K6" s="2255"/>
      <c r="L6" s="2255"/>
      <c r="M6" s="2255"/>
      <c r="N6" s="2255"/>
      <c r="O6" s="2255"/>
      <c r="P6" s="2255"/>
      <c r="Q6" s="2255"/>
      <c r="R6" s="2255"/>
    </row>
    <row r="7" spans="1:29" ht="122.25" thickBot="1">
      <c r="A7" s="1028"/>
      <c r="B7" s="2211" t="s">
        <v>2629</v>
      </c>
      <c r="C7" s="3292" t="s">
        <v>3168</v>
      </c>
      <c r="D7" s="2257"/>
      <c r="E7" s="1214"/>
      <c r="F7" s="1215" t="s">
        <v>736</v>
      </c>
      <c r="G7" s="3295" t="s">
        <v>3012</v>
      </c>
      <c r="H7" s="2255"/>
      <c r="I7" s="2255"/>
      <c r="J7" s="2255"/>
      <c r="K7" s="2255"/>
      <c r="L7" s="2255"/>
      <c r="M7" s="2255"/>
      <c r="N7" s="2255"/>
      <c r="O7" s="2255"/>
      <c r="P7" s="2255"/>
      <c r="Q7" s="2255"/>
      <c r="R7" s="2255"/>
    </row>
    <row r="8" spans="1:29" ht="27">
      <c r="A8" s="1028"/>
      <c r="B8" s="2744" t="s">
        <v>2628</v>
      </c>
      <c r="C8" s="3292" t="s">
        <v>3169</v>
      </c>
      <c r="D8" s="2257"/>
      <c r="E8" s="2257"/>
      <c r="F8" s="2258"/>
      <c r="G8" s="2258"/>
      <c r="H8" s="2255"/>
      <c r="I8" s="2255"/>
      <c r="J8" s="2255"/>
      <c r="K8" s="2255"/>
      <c r="L8" s="2255"/>
      <c r="M8" s="2255"/>
      <c r="N8" s="2255"/>
      <c r="O8" s="2255"/>
      <c r="P8" s="2255"/>
      <c r="Q8" s="2255"/>
      <c r="R8" s="2255"/>
    </row>
    <row r="9" spans="1:29" ht="94.5">
      <c r="A9" s="1028"/>
      <c r="B9" s="2211" t="s">
        <v>73</v>
      </c>
      <c r="C9" s="3291" t="s">
        <v>3170</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3" t="s">
        <v>3177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738</v>
      </c>
      <c r="B13" s="2742"/>
      <c r="C13" s="2742"/>
      <c r="D13" s="2254"/>
      <c r="E13" s="2742"/>
      <c r="F13" s="2742"/>
      <c r="G13" s="2742"/>
    </row>
    <row r="14" spans="1:29" ht="14.25" thickBot="1">
      <c r="A14" s="1219"/>
      <c r="B14" s="1220"/>
      <c r="C14" s="1221" t="s">
        <v>739</v>
      </c>
      <c r="D14" s="2256"/>
      <c r="E14" s="1222"/>
      <c r="F14" s="1222"/>
      <c r="G14" s="1209" t="s">
        <v>740</v>
      </c>
    </row>
    <row r="15" spans="1:29" ht="40.5">
      <c r="A15" s="46" t="s">
        <v>741</v>
      </c>
      <c r="B15" s="14" t="s">
        <v>52</v>
      </c>
      <c r="C15" s="1223">
        <f>C3</f>
        <v>0</v>
      </c>
      <c r="D15" s="2256"/>
      <c r="E15" s="2757" t="s">
        <v>742</v>
      </c>
      <c r="F15" s="14" t="s">
        <v>743</v>
      </c>
      <c r="G15" s="1021" t="str">
        <f>G3</f>
        <v>估价对象位于XX开发区，园区建设成熟度XX，产业集聚程度XX</v>
      </c>
    </row>
    <row r="16" spans="1:29" ht="40.5">
      <c r="A16" s="2760"/>
      <c r="B16" s="1224" t="s">
        <v>744</v>
      </c>
      <c r="C16" s="1225">
        <f>C4</f>
        <v>0</v>
      </c>
      <c r="D16" s="2256"/>
      <c r="E16" s="2758"/>
      <c r="F16" s="1226" t="s">
        <v>745</v>
      </c>
      <c r="G16" s="1023" t="str">
        <f>G4</f>
        <v>估价对象周边道路状况、公共交通通达情况、停车便捷程度，综合评价交通便捷度较好</v>
      </c>
    </row>
    <row r="17" spans="1:18" ht="81">
      <c r="A17" s="2760"/>
      <c r="B17" s="1224" t="s">
        <v>746</v>
      </c>
      <c r="C17" s="1225" t="str">
        <f>C5</f>
        <v>估价对象位于怀柔区杨宋镇，目前投用项目有中影基地、星美影视城、百汇演艺学校等类似用房以及相关行业酒店等配套设施，产业聚集度较好</v>
      </c>
      <c r="D17" s="2257"/>
      <c r="E17" s="2758"/>
      <c r="F17" s="1226" t="s">
        <v>747</v>
      </c>
      <c r="G17" s="271"/>
    </row>
    <row r="18" spans="1:18" ht="94.5">
      <c r="A18" s="2760"/>
      <c r="B18" s="1226" t="s">
        <v>72</v>
      </c>
      <c r="C18" s="1023" t="str">
        <f>C6</f>
        <v>估价对象紧邻城市次干道——怀耿路，半径1公里内有866、H07、H09、H44路等公交线路，周边有怀耿路、杨雁路两条城市次干道，西北距离怀柔火车站4公里，交通便捷度较差</v>
      </c>
      <c r="D18" s="2257"/>
      <c r="E18" s="2758"/>
      <c r="F18" s="1226" t="s">
        <v>736</v>
      </c>
      <c r="G18" s="1023" t="str">
        <f>G7</f>
        <v>该园区内是否有污染型企业，绿化情况，卫生条件，整体环境状况判断</v>
      </c>
    </row>
    <row r="19" spans="1:18" ht="27">
      <c r="A19" s="2760"/>
      <c r="B19" s="1226" t="s">
        <v>91</v>
      </c>
      <c r="C19" s="271" t="s">
        <v>3172</v>
      </c>
      <c r="D19" s="2256"/>
      <c r="E19" s="2758"/>
      <c r="F19" s="2744" t="s">
        <v>2629</v>
      </c>
      <c r="G19" s="1023" t="str">
        <f>G5</f>
        <v>估价对象所在区域公共配套设施齐备情况</v>
      </c>
    </row>
    <row r="20" spans="1:18" ht="94.5">
      <c r="A20" s="2760"/>
      <c r="B20" s="1226" t="s">
        <v>90</v>
      </c>
      <c r="C20" s="1225" t="str">
        <f>C9</f>
        <v>周边约1公里范围内有北京影视研修学院、北京怀柔中视腾飞影视培训学校等演艺教育学校，人文环境一般；周边有约1公里有栖河，自然环境一般。综合评价自然与人文环境一般</v>
      </c>
      <c r="D20" s="2257"/>
      <c r="E20" s="2758"/>
      <c r="F20" s="2744" t="s">
        <v>2628</v>
      </c>
      <c r="G20" s="1023" t="str">
        <f>G6</f>
        <v>估价对象所在区域基础设施水平</v>
      </c>
    </row>
    <row r="21" spans="1:18" ht="121.5">
      <c r="A21" s="2760"/>
      <c r="B21" s="2744" t="s">
        <v>2629</v>
      </c>
      <c r="C21" s="1023" t="str">
        <f>C7</f>
        <v>周边2公里内的公共服务配套设施情况一般，无大型购物场所、医院（怀柔区杨宋镇卫生院）、银行（中国邮政储蓄银行）、学校（北京影视研修学院、北京怀柔中视腾飞影视培训学校）、餐饮等公共服务配套设施。</v>
      </c>
      <c r="D21" s="2256"/>
      <c r="E21" s="2758"/>
      <c r="F21" s="1226" t="s">
        <v>89</v>
      </c>
      <c r="G21" s="283"/>
    </row>
    <row r="22" spans="1:18" ht="13.5" customHeight="1">
      <c r="A22" s="2760"/>
      <c r="B22" s="2744" t="s">
        <v>2628</v>
      </c>
      <c r="C22" s="1023" t="str">
        <f>C8</f>
        <v>估价对象所在区域基础设施水平达到七通</v>
      </c>
      <c r="D22" s="2256"/>
      <c r="E22" s="2758"/>
      <c r="F22" s="1226" t="s">
        <v>748</v>
      </c>
      <c r="G22" s="271"/>
    </row>
    <row r="23" spans="1:18" s="2255" customFormat="1" ht="14.25" thickBot="1">
      <c r="A23" s="2760"/>
      <c r="B23" s="1226" t="s">
        <v>89</v>
      </c>
      <c r="C23" s="283" t="s">
        <v>3173</v>
      </c>
      <c r="D23" s="2268"/>
      <c r="E23" s="2759"/>
      <c r="F23" s="1227" t="s">
        <v>749</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城市主干道-怀耿路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2981</v>
      </c>
      <c r="B1" s="3254">
        <f>SUM(B14:B23)</f>
        <v>28973.439999999999</v>
      </c>
      <c r="C1" s="3253"/>
      <c r="D1" s="3253"/>
      <c r="E1" s="3253"/>
      <c r="F1" s="3253"/>
      <c r="G1" s="3251"/>
    </row>
    <row r="2" spans="1:10" ht="16.5">
      <c r="A2" s="3254" t="s">
        <v>2969</v>
      </c>
      <c r="B2" s="3254">
        <f>SUM(C14:C23)</f>
        <v>92783.56</v>
      </c>
      <c r="C2" s="3253"/>
      <c r="D2" s="3253"/>
      <c r="E2" s="3253"/>
      <c r="F2" s="3253"/>
      <c r="G2" s="3251"/>
    </row>
    <row r="3" spans="1:10" ht="16.5">
      <c r="A3" s="3254" t="s">
        <v>2978</v>
      </c>
      <c r="B3" s="3255">
        <f>项目基本情况!D3</f>
        <v>42986</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71289</v>
      </c>
      <c r="C5" s="3254">
        <f ca="1">ROUND(B5*10000/$B$1,0)</f>
        <v>24605</v>
      </c>
      <c r="D5" s="3254">
        <f ca="1">ROUND(B5*10000/$B$2,0)</f>
        <v>7683</v>
      </c>
      <c r="E5" s="3253"/>
      <c r="F5" s="3251"/>
      <c r="G5" s="3251"/>
    </row>
    <row r="6" spans="1:10" ht="16.5">
      <c r="A6" s="3254" t="s">
        <v>2972</v>
      </c>
      <c r="B6" s="3254">
        <f ca="1">SUM(G14:G23)</f>
        <v>71289</v>
      </c>
      <c r="C6" s="3254">
        <f ca="1">ROUND(B6*10000/$B$1,0)</f>
        <v>24605</v>
      </c>
      <c r="D6" s="3254">
        <f ca="1">ROUND(B6*10000/$B$2,0)</f>
        <v>7683</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28973.439999999999</v>
      </c>
      <c r="C14" s="3252">
        <f>'数据-汇总表'!D3</f>
        <v>92783.56</v>
      </c>
      <c r="D14" s="3252">
        <f ca="1">结果表!H118</f>
        <v>71289</v>
      </c>
      <c r="E14" s="3252">
        <f ca="1">ROUND(D14*10000/B14,0)</f>
        <v>24605</v>
      </c>
      <c r="F14" s="3252">
        <f ca="1">ROUND(D14*10000/C14,0)</f>
        <v>7683</v>
      </c>
      <c r="G14" s="3252">
        <f ca="1">结果表!D122</f>
        <v>71289</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9" zoomScaleSheetLayoutView="100" zoomScalePageLayoutView="80" workbookViewId="0">
      <selection activeCell="I28" sqref="I2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3163</v>
      </c>
      <c r="D1" s="1241"/>
      <c r="E1" s="1241"/>
      <c r="F1" s="2081" t="s">
        <v>2105</v>
      </c>
      <c r="G1" s="2054" t="s">
        <v>3130</v>
      </c>
      <c r="H1" s="2110" t="str">
        <f>IF(G1="现房","——","估价对象范围")</f>
        <v>——</v>
      </c>
      <c r="I1" s="2087" t="s">
        <v>3182</v>
      </c>
    </row>
    <row r="2" spans="1:12" ht="21.75" customHeight="1" thickBot="1">
      <c r="A2" s="3553" t="str">
        <f>项目基本情况!S2</f>
        <v>北京市怀柔区杨宋镇凤翔二园1号1-7幢房地产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8" t="s">
        <v>11</v>
      </c>
      <c r="B4" s="429" t="s">
        <v>12</v>
      </c>
      <c r="C4" s="430" t="s">
        <v>3183</v>
      </c>
      <c r="D4" s="430" t="s">
        <v>3160</v>
      </c>
      <c r="E4" s="3559" t="s">
        <v>759</v>
      </c>
      <c r="F4" s="3560"/>
      <c r="G4" s="3560"/>
      <c r="H4" s="3560"/>
      <c r="I4" s="3561"/>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32" t="s">
        <v>13</v>
      </c>
      <c r="B5" s="3519">
        <v>25</v>
      </c>
      <c r="C5" s="3535"/>
      <c r="D5" s="3556"/>
      <c r="E5" s="470" t="s">
        <v>803</v>
      </c>
      <c r="F5" s="431"/>
      <c r="G5" s="431"/>
      <c r="H5" s="431"/>
      <c r="I5" s="432"/>
    </row>
    <row r="6" spans="1:12" ht="12.75">
      <c r="A6" s="3532"/>
      <c r="B6" s="3519"/>
      <c r="C6" s="3536"/>
      <c r="D6" s="3556"/>
      <c r="E6" s="470" t="s">
        <v>804</v>
      </c>
      <c r="F6" s="431"/>
      <c r="G6" s="431"/>
      <c r="H6" s="431"/>
      <c r="I6" s="432"/>
    </row>
    <row r="7" spans="1:12" ht="12.75">
      <c r="A7" s="3532"/>
      <c r="B7" s="3519"/>
      <c r="C7" s="3537"/>
      <c r="D7" s="3556"/>
      <c r="E7" s="470" t="s">
        <v>805</v>
      </c>
      <c r="F7" s="431"/>
      <c r="G7" s="431"/>
      <c r="H7" s="431"/>
      <c r="I7" s="432"/>
    </row>
    <row r="8" spans="1:12" ht="12.75">
      <c r="A8" s="3532" t="s">
        <v>14</v>
      </c>
      <c r="B8" s="3519">
        <v>15</v>
      </c>
      <c r="C8" s="3535"/>
      <c r="D8" s="3556"/>
      <c r="E8" s="470" t="s">
        <v>806</v>
      </c>
      <c r="F8" s="431"/>
      <c r="G8" s="431"/>
      <c r="H8" s="431"/>
      <c r="I8" s="432"/>
    </row>
    <row r="9" spans="1:12" ht="12.75">
      <c r="A9" s="3532"/>
      <c r="B9" s="3519"/>
      <c r="C9" s="3537"/>
      <c r="D9" s="3556"/>
      <c r="E9" s="470" t="s">
        <v>807</v>
      </c>
      <c r="F9" s="431"/>
      <c r="G9" s="431"/>
      <c r="H9" s="431"/>
      <c r="I9" s="432"/>
    </row>
    <row r="10" spans="1:12" ht="12.75">
      <c r="A10" s="3532" t="s">
        <v>15</v>
      </c>
      <c r="B10" s="3519">
        <v>15</v>
      </c>
      <c r="C10" s="3535"/>
      <c r="D10" s="3556"/>
      <c r="E10" s="470" t="s">
        <v>808</v>
      </c>
      <c r="F10" s="431"/>
      <c r="G10" s="431"/>
      <c r="H10" s="431"/>
      <c r="I10" s="432"/>
    </row>
    <row r="11" spans="1:12" ht="12.75">
      <c r="A11" s="3532"/>
      <c r="B11" s="3519"/>
      <c r="C11" s="3537"/>
      <c r="D11" s="3556"/>
      <c r="E11" s="470" t="s">
        <v>809</v>
      </c>
      <c r="F11" s="431"/>
      <c r="G11" s="431"/>
      <c r="H11" s="431"/>
      <c r="I11" s="432"/>
    </row>
    <row r="12" spans="1:12" ht="12.75">
      <c r="A12" s="3532" t="s">
        <v>16</v>
      </c>
      <c r="B12" s="3519">
        <v>15</v>
      </c>
      <c r="C12" s="3535"/>
      <c r="D12" s="3556"/>
      <c r="E12" s="470" t="s">
        <v>810</v>
      </c>
      <c r="F12" s="431"/>
      <c r="G12" s="431"/>
      <c r="H12" s="431"/>
      <c r="I12" s="432"/>
    </row>
    <row r="13" spans="1:12" ht="12.75">
      <c r="A13" s="3532"/>
      <c r="B13" s="3519"/>
      <c r="C13" s="3537"/>
      <c r="D13" s="3556"/>
      <c r="E13" s="470" t="s">
        <v>811</v>
      </c>
      <c r="F13" s="431"/>
      <c r="G13" s="431"/>
      <c r="H13" s="431"/>
      <c r="I13" s="432"/>
    </row>
    <row r="14" spans="1:12" ht="12.75">
      <c r="A14" s="3532" t="s">
        <v>17</v>
      </c>
      <c r="B14" s="3519">
        <v>30</v>
      </c>
      <c r="C14" s="3535">
        <v>4</v>
      </c>
      <c r="D14" s="3556">
        <v>6</v>
      </c>
      <c r="E14" s="470" t="s">
        <v>812</v>
      </c>
      <c r="F14" s="431"/>
      <c r="G14" s="431"/>
      <c r="H14" s="431"/>
      <c r="I14" s="432"/>
    </row>
    <row r="15" spans="1:12" ht="12.75">
      <c r="A15" s="3532"/>
      <c r="B15" s="3519"/>
      <c r="C15" s="3536"/>
      <c r="D15" s="3556"/>
      <c r="E15" s="470" t="s">
        <v>813</v>
      </c>
      <c r="F15" s="431"/>
      <c r="G15" s="431"/>
      <c r="H15" s="431"/>
      <c r="I15" s="432"/>
    </row>
    <row r="16" spans="1:12" ht="12.75">
      <c r="A16" s="3532"/>
      <c r="B16" s="3519"/>
      <c r="C16" s="3537"/>
      <c r="D16" s="3556"/>
      <c r="E16" s="470" t="s">
        <v>814</v>
      </c>
      <c r="F16" s="431"/>
      <c r="G16" s="431"/>
      <c r="H16" s="431"/>
      <c r="I16" s="432"/>
    </row>
    <row r="17" spans="1:35" ht="14.25">
      <c r="A17" s="433" t="s">
        <v>18</v>
      </c>
      <c r="B17" s="38"/>
      <c r="C17" s="471">
        <f>SUM(C5:C16)</f>
        <v>4</v>
      </c>
      <c r="D17" s="471">
        <f>SUM(D5:D16)</f>
        <v>6</v>
      </c>
      <c r="E17" s="2276"/>
      <c r="F17" s="2276"/>
      <c r="G17" s="2276"/>
      <c r="H17" s="2276"/>
      <c r="I17" s="2276"/>
      <c r="K17" s="2183"/>
      <c r="L17" s="2184" t="s">
        <v>2313</v>
      </c>
      <c r="M17" s="2184" t="s">
        <v>2314</v>
      </c>
    </row>
    <row r="18" spans="1:35" ht="15" thickBot="1">
      <c r="A18" s="434" t="s">
        <v>19</v>
      </c>
      <c r="B18" s="18"/>
      <c r="C18" s="472">
        <f>ROUND(C17/SUM(C17:D17),2)</f>
        <v>0.4</v>
      </c>
      <c r="D18" s="472">
        <f>1-C18</f>
        <v>0.6</v>
      </c>
      <c r="E18" s="2276"/>
      <c r="F18" s="2276"/>
      <c r="G18" s="2276"/>
      <c r="H18" s="2276"/>
      <c r="I18" s="2276"/>
      <c r="K18" s="2183" t="s">
        <v>2127</v>
      </c>
      <c r="L18" s="2183">
        <f>IF(C1="",'数据-汇总表'!E3,SUMIF(项目类型,C1,'数据-汇总表'!E17:E26)+SUMIF(项目类型,C1,'数据-汇总表'!I17:I26))</f>
        <v>28973.439999999999</v>
      </c>
      <c r="M18" s="2183">
        <f>IF(C1="",'数据-汇总表'!E3,SUMIF(项目类型,C1,'数据-汇总表'!E17:E26))</f>
        <v>28973.439999999999</v>
      </c>
    </row>
    <row r="19" spans="1:35" ht="14.25">
      <c r="A19" s="435" t="s">
        <v>179</v>
      </c>
      <c r="B19" s="436" t="s">
        <v>20</v>
      </c>
      <c r="C19" s="473">
        <f ca="1">SUMIF(INDIRECT("'"&amp;C4&amp;"'"&amp;"!A:A"),结果表!B19,INDIRECT("'"&amp;C4&amp;"'"&amp;"!B:B"))</f>
        <v>68338</v>
      </c>
      <c r="D19" s="474">
        <f ca="1">SUMIF(INDIRECT("'"&amp;D4&amp;"'"&amp;"!A:A"),结果表!B19,INDIRECT("'"&amp;D4&amp;"'"&amp;"!B:B"))</f>
        <v>73256</v>
      </c>
      <c r="E19" s="435" t="s">
        <v>178</v>
      </c>
      <c r="F19" s="436" t="s">
        <v>20</v>
      </c>
      <c r="G19" s="475">
        <f ca="1">ROUND(C19*$C$18+D19*$D$18,0)</f>
        <v>71289</v>
      </c>
      <c r="H19" s="437" t="s">
        <v>227</v>
      </c>
      <c r="I19" s="2276"/>
      <c r="J19" s="1444">
        <f ca="1">G19+[1]结果表!$G$19</f>
        <v>102451</v>
      </c>
      <c r="K19" s="2183" t="s">
        <v>2128</v>
      </c>
      <c r="L19" s="2183">
        <f>IF(C1="",'数据-汇总表'!D3,SUMIF(项目类型,C1,'数据-汇总表'!D17:D26)+SUMIF(项目类型,C1,'数据-汇总表'!H17:H27))</f>
        <v>92783.56</v>
      </c>
      <c r="M19" s="2183">
        <f>IF(C1="",'数据-汇总表'!D3,SUMIF(项目类型,C1,'数据-汇总表'!D17:D26))</f>
        <v>92783.56</v>
      </c>
    </row>
    <row r="20" spans="1:35" ht="14.25">
      <c r="A20" s="438"/>
      <c r="B20" s="439" t="s">
        <v>21</v>
      </c>
      <c r="C20" s="476">
        <f ca="1">SUMIF(INDIRECT("'"&amp;C4&amp;"'"&amp;"!A:A"),结果表!B20,INDIRECT("'"&amp;C4&amp;"'"&amp;"!B:B"))</f>
        <v>23586</v>
      </c>
      <c r="D20" s="477">
        <f ca="1">SUMIF(INDIRECT("'"&amp;D4&amp;"'"&amp;"!A:A"),结果表!B20,INDIRECT("'"&amp;D4&amp;"'"&amp;"!B:B"))</f>
        <v>25284</v>
      </c>
      <c r="E20" s="438"/>
      <c r="F20" s="439" t="s">
        <v>21</v>
      </c>
      <c r="G20" s="478">
        <f ca="1">ROUND(C20*$C$18+D20*$D$18,0)</f>
        <v>24605</v>
      </c>
      <c r="H20" s="440" t="s">
        <v>226</v>
      </c>
      <c r="I20" s="2276"/>
    </row>
    <row r="21" spans="1:35" ht="15" customHeight="1" thickBot="1">
      <c r="A21" s="442"/>
      <c r="B21" s="443" t="s">
        <v>22</v>
      </c>
      <c r="C21" s="1420">
        <f ca="1">ROUND(C19*10000/L19,0)</f>
        <v>7365</v>
      </c>
      <c r="D21" s="1421">
        <f ca="1">ROUND(D19*10000/L19,0)</f>
        <v>7895</v>
      </c>
      <c r="E21" s="442"/>
      <c r="F21" s="443" t="s">
        <v>22</v>
      </c>
      <c r="G21" s="479">
        <f ca="1">ROUND(G19*10000/L19,0)</f>
        <v>7683</v>
      </c>
      <c r="H21" s="444" t="s">
        <v>226</v>
      </c>
      <c r="I21" s="2276"/>
    </row>
    <row r="22" spans="1:35" ht="15" thickBot="1">
      <c r="A22" s="275" t="s">
        <v>180</v>
      </c>
      <c r="B22" s="1422"/>
      <c r="C22" s="1423"/>
      <c r="D22" s="1424">
        <f ca="1">IF(C19&lt;D19,D19/C19-1,C19/D19-1)</f>
        <v>7.1965816968597274E-2</v>
      </c>
      <c r="E22" s="2276"/>
      <c r="F22" s="2276"/>
      <c r="G22" s="2276"/>
      <c r="H22" s="2276"/>
      <c r="I22" s="2276"/>
    </row>
    <row r="23" spans="1:35" ht="12.75" thickBot="1">
      <c r="A23" s="1241"/>
      <c r="B23" s="1241"/>
      <c r="C23" s="1241"/>
      <c r="D23" s="1241"/>
      <c r="E23" s="2276"/>
      <c r="F23" s="2276"/>
      <c r="G23" s="2276"/>
      <c r="H23" s="2276"/>
      <c r="I23" s="2276"/>
    </row>
    <row r="24" spans="1:35" ht="14.25">
      <c r="A24" s="3526" t="s">
        <v>176</v>
      </c>
      <c r="B24" s="436" t="s">
        <v>20</v>
      </c>
      <c r="C24" s="475">
        <f>IF(B30=0,0,D30)</f>
        <v>0</v>
      </c>
      <c r="D24" s="445"/>
      <c r="E24" s="2276"/>
      <c r="F24" s="2276"/>
      <c r="G24" s="2276"/>
      <c r="H24" s="2276"/>
      <c r="I24" s="2276"/>
    </row>
    <row r="25" spans="1:35" ht="14.25">
      <c r="A25" s="3527"/>
      <c r="B25" s="439" t="s">
        <v>21</v>
      </c>
      <c r="C25" s="480">
        <f>IF(B30=0,0,C30)</f>
        <v>0</v>
      </c>
      <c r="D25" s="446"/>
      <c r="E25" s="2276"/>
      <c r="F25" s="2276"/>
      <c r="G25" s="2276"/>
      <c r="H25" s="2276"/>
      <c r="I25" s="2276"/>
      <c r="K25" s="1444">
        <f ca="1">G19+[1]结果表!$G$19</f>
        <v>102451</v>
      </c>
    </row>
    <row r="26" spans="1:35" ht="13.5" customHeight="1">
      <c r="A26" s="447" t="s">
        <v>177</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175</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71289</v>
      </c>
      <c r="D32" s="2091" t="s">
        <v>209</v>
      </c>
      <c r="E32" s="2276"/>
      <c r="F32" s="2276"/>
      <c r="G32" s="2276"/>
      <c r="H32" s="2276"/>
      <c r="I32" s="2276"/>
    </row>
    <row r="33" spans="1:15" ht="13.5">
      <c r="A33" s="456" t="s">
        <v>760</v>
      </c>
      <c r="B33" s="2090"/>
      <c r="C33" s="2873" t="s">
        <v>3187</v>
      </c>
      <c r="D33" s="2876" t="s">
        <v>3183</v>
      </c>
      <c r="E33" s="2088" t="s">
        <v>2107</v>
      </c>
      <c r="F33" s="2089" t="str">
        <f>IF(D32="楼面单价","取值（单价）","取值（总价）")</f>
        <v>取值（总价）</v>
      </c>
      <c r="G33" s="2276"/>
      <c r="H33" s="2276"/>
      <c r="I33" s="2276"/>
    </row>
    <row r="34" spans="1:15" ht="15">
      <c r="A34" s="457"/>
      <c r="B34" s="458" t="s">
        <v>763</v>
      </c>
      <c r="C34" s="488">
        <f ca="1">IF(C33="自定义",F34,C32-C35)</f>
        <v>63091</v>
      </c>
      <c r="D34" s="2092">
        <f ca="1">IF(C33="自定义",ROUND(C34/C32,3),IF(C33="收益比率",SUMIF(INDIRECT("'"&amp;D33&amp;"'"&amp;"!b:b"),"土地收益比率",INDIRECT("'"&amp;D33&amp;"'"&amp;"!c:c")),SUMIF(INDIRECT("'"&amp;D33&amp;"'"&amp;"!b:b"),"土地成本比率",INDIRECT("'"&amp;D33&amp;"'"&amp;"!c:c"))))</f>
        <v>0.88500000000000001</v>
      </c>
      <c r="E34" s="2874" t="s">
        <v>2108</v>
      </c>
      <c r="F34" s="3247"/>
      <c r="G34" s="2276"/>
      <c r="H34" s="2276"/>
      <c r="I34" s="2276"/>
    </row>
    <row r="35" spans="1:15" ht="15.75" thickBot="1">
      <c r="A35" s="460"/>
      <c r="B35" s="2877" t="s">
        <v>765</v>
      </c>
      <c r="C35" s="2878">
        <f ca="1">IF(C33="自定义",F35,ROUND(C32*D35,0))</f>
        <v>8198</v>
      </c>
      <c r="D35" s="2879">
        <f ca="1">IF(C33="自定义",ROUND(C35/C32,3),IF(C33="收益比率",SUMIF(INDIRECT("'"&amp;D33&amp;"'"&amp;"!b:b"),"建筑物收益比率",INDIRECT("'"&amp;D33&amp;"'"&amp;"!c:c")),SUMIF(INDIRECT("'"&amp;D33&amp;"'"&amp;"!b:b"),"建筑物成本比率",INDIRECT("'"&amp;D33&amp;"'"&amp;"!c:c"))))</f>
        <v>0.115</v>
      </c>
      <c r="E35" s="2875" t="s">
        <v>2109</v>
      </c>
      <c r="F35" s="494"/>
      <c r="G35" s="2276"/>
      <c r="H35" s="2276"/>
      <c r="I35" s="2276"/>
    </row>
    <row r="36" spans="1:15" ht="15.75" thickBot="1">
      <c r="A36" s="3545" t="s">
        <v>761</v>
      </c>
      <c r="B36" s="454" t="s">
        <v>762</v>
      </c>
      <c r="C36" s="485"/>
      <c r="D36" s="455"/>
      <c r="E36" s="1244"/>
      <c r="F36" s="2277"/>
      <c r="G36" s="2276"/>
      <c r="H36" s="2276"/>
      <c r="I36" s="2276"/>
    </row>
    <row r="37" spans="1:15" ht="15.75" thickBot="1">
      <c r="A37" s="3546"/>
      <c r="B37" s="13" t="s">
        <v>764</v>
      </c>
      <c r="C37" s="487"/>
      <c r="D37" s="2225"/>
      <c r="E37" s="2225"/>
      <c r="F37" s="2277"/>
      <c r="G37" s="2276"/>
      <c r="H37" s="2276"/>
      <c r="I37" s="2276"/>
    </row>
    <row r="38" spans="1:15" ht="15.75" thickBot="1">
      <c r="A38" s="3547"/>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4" t="s">
        <v>213</v>
      </c>
      <c r="K44" s="3265"/>
      <c r="L44" s="3265"/>
      <c r="M44" s="3265"/>
      <c r="N44" s="3265"/>
      <c r="O44" s="3265"/>
    </row>
    <row r="45" spans="1:15" ht="14.25" customHeight="1" thickBot="1">
      <c r="A45" s="3523" t="s">
        <v>795</v>
      </c>
      <c r="B45" s="3524"/>
      <c r="C45" s="3525"/>
      <c r="D45" s="495">
        <f ca="1">ROUND(H101*F45,0)</f>
        <v>71289</v>
      </c>
      <c r="E45" s="496" t="s">
        <v>796</v>
      </c>
      <c r="F45" s="497">
        <v>1</v>
      </c>
      <c r="G45" s="498" t="s">
        <v>797</v>
      </c>
      <c r="H45" s="2276"/>
      <c r="I45" s="2276"/>
      <c r="J45" s="3587" t="s">
        <v>214</v>
      </c>
      <c r="K45" s="3587"/>
      <c r="L45" s="3587"/>
      <c r="M45" s="3587"/>
      <c r="N45" s="3587"/>
      <c r="O45" s="3587"/>
    </row>
    <row r="46" spans="1:15" ht="14.25" customHeight="1">
      <c r="A46" s="3520" t="s">
        <v>286</v>
      </c>
      <c r="B46" s="3521"/>
      <c r="C46" s="3521"/>
      <c r="D46" s="3521"/>
      <c r="E46" s="3521"/>
      <c r="F46" s="3521"/>
      <c r="G46" s="3522"/>
      <c r="H46" s="2278"/>
      <c r="I46" s="2231"/>
      <c r="J46" s="1499">
        <v>1</v>
      </c>
      <c r="K46" s="3587" t="s">
        <v>215</v>
      </c>
      <c r="L46" s="3587"/>
      <c r="M46" s="3611"/>
      <c r="N46" s="3611"/>
      <c r="O46" s="3611"/>
    </row>
    <row r="47" spans="1:15" ht="12" customHeight="1">
      <c r="A47" s="500" t="s">
        <v>287</v>
      </c>
      <c r="B47" s="501"/>
      <c r="C47" s="502"/>
      <c r="D47" s="503" t="s">
        <v>288</v>
      </c>
      <c r="E47" s="312" t="s">
        <v>289</v>
      </c>
      <c r="F47" s="504" t="s">
        <v>798</v>
      </c>
      <c r="G47" s="505" t="s">
        <v>799</v>
      </c>
      <c r="H47" s="2278"/>
      <c r="I47" s="2231"/>
      <c r="J47" s="1499">
        <v>2</v>
      </c>
      <c r="K47" s="3587" t="s">
        <v>216</v>
      </c>
      <c r="L47" s="3587"/>
      <c r="M47" s="3612">
        <f>'数据-取费表'!B2</f>
        <v>42986</v>
      </c>
      <c r="N47" s="3612"/>
      <c r="O47" s="3612"/>
    </row>
    <row r="48" spans="1:15" ht="25.5">
      <c r="A48" s="3552" t="s">
        <v>290</v>
      </c>
      <c r="B48" s="3534"/>
      <c r="C48" s="3534"/>
      <c r="D48" s="470">
        <f>IF(H48="情况1",0,IF(H48="情况2",D52,IF(H48="情况3",D53,IF(H48="情况4",D54))))</f>
        <v>0</v>
      </c>
      <c r="E48" s="1922" t="str">
        <f>IF(H48="情况4","(销售额-原购置价)×税（费）率","销售额×税（费）率")</f>
        <v>销售额×税（费）率</v>
      </c>
      <c r="F48" s="506" t="str">
        <f>IF(H48="情况1","免征",'数据-取费表'!B41)</f>
        <v>免征</v>
      </c>
      <c r="G48" s="464" t="s">
        <v>776</v>
      </c>
      <c r="H48" s="1430" t="s">
        <v>2410</v>
      </c>
      <c r="I48" s="2278"/>
      <c r="J48" s="1499">
        <v>3</v>
      </c>
      <c r="K48" s="3587" t="s">
        <v>777</v>
      </c>
      <c r="L48" s="3587"/>
      <c r="M48" s="3613">
        <f ca="1">H101</f>
        <v>71289</v>
      </c>
      <c r="N48" s="3613"/>
      <c r="O48" s="3613"/>
    </row>
    <row r="49" spans="1:35" ht="25.5" customHeight="1">
      <c r="A49" s="507" t="s">
        <v>800</v>
      </c>
      <c r="B49" s="3518" t="s">
        <v>801</v>
      </c>
      <c r="C49" s="3518"/>
      <c r="D49" s="508">
        <v>0</v>
      </c>
      <c r="E49" s="311" t="s">
        <v>802</v>
      </c>
      <c r="F49" s="316" t="s">
        <v>170</v>
      </c>
      <c r="G49" s="3593"/>
      <c r="H49" s="2276"/>
      <c r="I49" s="2279"/>
      <c r="J49" s="1499">
        <v>4</v>
      </c>
      <c r="K49" s="3587" t="str">
        <f>IF(项目基本情况!E8="房地产抵押价值","房地产抵押价值","抵押担保权已注销时的房地产抵押价值")</f>
        <v>抵押担保权已注销时的房地产抵押价值</v>
      </c>
      <c r="L49" s="3587"/>
      <c r="M49" s="3613" t="str">
        <f>IF(项目基本情况!E8="房地产抵押价值",H107,H109)</f>
        <v>——</v>
      </c>
      <c r="N49" s="3613"/>
      <c r="O49" s="3613"/>
    </row>
    <row r="50" spans="1:35" ht="25.5" customHeight="1">
      <c r="A50" s="509"/>
      <c r="B50" s="3518" t="s">
        <v>293</v>
      </c>
      <c r="C50" s="3518"/>
      <c r="D50" s="510"/>
      <c r="E50" s="319"/>
      <c r="F50" s="511"/>
      <c r="G50" s="3594"/>
      <c r="H50" s="2276"/>
      <c r="I50" s="2279"/>
      <c r="J50" s="3587" t="s">
        <v>217</v>
      </c>
      <c r="K50" s="3587"/>
      <c r="L50" s="3587"/>
      <c r="M50" s="3587"/>
      <c r="N50" s="3587"/>
      <c r="O50" s="3587"/>
    </row>
    <row r="51" spans="1:35" ht="12" customHeight="1">
      <c r="A51" s="512"/>
      <c r="B51" s="3518" t="s">
        <v>294</v>
      </c>
      <c r="C51" s="3518"/>
      <c r="D51" s="513"/>
      <c r="E51" s="318"/>
      <c r="F51" s="511"/>
      <c r="G51" s="3595"/>
      <c r="H51" s="2276"/>
      <c r="I51" s="2279"/>
      <c r="J51" s="3266" t="s">
        <v>218</v>
      </c>
      <c r="K51" s="3587" t="s">
        <v>219</v>
      </c>
      <c r="L51" s="3587"/>
      <c r="M51" s="3266" t="s">
        <v>2994</v>
      </c>
      <c r="N51" s="3266" t="s">
        <v>220</v>
      </c>
      <c r="O51" s="3266" t="s">
        <v>221</v>
      </c>
    </row>
    <row r="52" spans="1:35" ht="24" customHeight="1">
      <c r="A52" s="514" t="s">
        <v>295</v>
      </c>
      <c r="B52" s="3518" t="s">
        <v>296</v>
      </c>
      <c r="C52" s="3518"/>
      <c r="D52" s="513">
        <f ca="1">ROUND(D45*'数据-取费表'!B41/(1+'数据-取费表'!C42),0)</f>
        <v>3734</v>
      </c>
      <c r="E52" s="299" t="s">
        <v>297</v>
      </c>
      <c r="F52" s="515">
        <f>'数据-取费表'!B41</f>
        <v>5.5000000000000007E-2</v>
      </c>
      <c r="G52" s="465"/>
      <c r="H52" s="2276"/>
      <c r="I52" s="2279"/>
      <c r="J52" s="1499">
        <v>1</v>
      </c>
      <c r="K52" s="3588" t="s">
        <v>778</v>
      </c>
      <c r="L52" s="3588"/>
      <c r="M52" s="3267">
        <f>D48</f>
        <v>0</v>
      </c>
      <c r="N52" s="1498" t="str">
        <f>E48</f>
        <v>销售额×税（费）率</v>
      </c>
      <c r="O52" s="3268" t="str">
        <f>F48</f>
        <v>免征</v>
      </c>
    </row>
    <row r="53" spans="1:35" ht="12" customHeight="1">
      <c r="A53" s="514" t="s">
        <v>298</v>
      </c>
      <c r="B53" s="3543" t="s">
        <v>299</v>
      </c>
      <c r="C53" s="3544"/>
      <c r="D53" s="513">
        <f ca="1">ROUND(D45*'数据-取费表'!B41/(1+'数据-取费表'!C42),0)</f>
        <v>3734</v>
      </c>
      <c r="E53" s="299" t="s">
        <v>297</v>
      </c>
      <c r="F53" s="515">
        <f>'数据-取费表'!B41</f>
        <v>5.5000000000000007E-2</v>
      </c>
      <c r="G53" s="465"/>
      <c r="H53" s="2276"/>
      <c r="I53" s="2279"/>
      <c r="J53" s="1499">
        <v>2</v>
      </c>
      <c r="K53" s="3588" t="s">
        <v>779</v>
      </c>
      <c r="L53" s="3588"/>
      <c r="M53" s="3267">
        <f t="shared" ref="M53:O54" ca="1" si="0">D55</f>
        <v>36</v>
      </c>
      <c r="N53" s="1498" t="str">
        <f t="shared" si="0"/>
        <v>销售额×税（费）率</v>
      </c>
      <c r="O53" s="3268">
        <f t="shared" si="0"/>
        <v>5.0000000000000001E-4</v>
      </c>
    </row>
    <row r="54" spans="1:35" ht="12" customHeight="1">
      <c r="A54" s="514" t="s">
        <v>300</v>
      </c>
      <c r="B54" s="3543" t="s">
        <v>301</v>
      </c>
      <c r="C54" s="3544"/>
      <c r="D54" s="513">
        <f ca="1">C68</f>
        <v>3734</v>
      </c>
      <c r="E54" s="318" t="s">
        <v>302</v>
      </c>
      <c r="F54" s="515">
        <f>'数据-取费表'!B41</f>
        <v>5.5000000000000007E-2</v>
      </c>
      <c r="G54" s="465"/>
      <c r="H54" s="2280"/>
      <c r="I54" s="2279"/>
      <c r="J54" s="1499">
        <v>3</v>
      </c>
      <c r="K54" s="3588" t="s">
        <v>780</v>
      </c>
      <c r="L54" s="3588"/>
      <c r="M54" s="3267">
        <f t="shared" ca="1" si="0"/>
        <v>40414</v>
      </c>
      <c r="N54" s="1498" t="str">
        <f t="shared" si="0"/>
        <v>增值额×税（费）率</v>
      </c>
      <c r="O54" s="3269" t="str">
        <f t="shared" si="0"/>
        <v>——</v>
      </c>
    </row>
    <row r="55" spans="1:35" ht="24" customHeight="1">
      <c r="A55" s="3533" t="s">
        <v>303</v>
      </c>
      <c r="B55" s="3534"/>
      <c r="C55" s="3534"/>
      <c r="D55" s="516">
        <f ca="1">IF(H55="个人住宅",0,ROUND(D45*I55,0))</f>
        <v>36</v>
      </c>
      <c r="E55" s="299" t="s">
        <v>304</v>
      </c>
      <c r="F55" s="515">
        <f>IF(H55="正常",I55,"免征")</f>
        <v>5.0000000000000001E-4</v>
      </c>
      <c r="G55" s="465"/>
      <c r="H55" s="1430" t="s">
        <v>155</v>
      </c>
      <c r="I55" s="517">
        <f>'数据-取费表'!B49</f>
        <v>5.0000000000000001E-4</v>
      </c>
      <c r="J55" s="1499" t="str">
        <f>IF(H59="非个人房产","",4)</f>
        <v/>
      </c>
      <c r="K55" s="3588" t="str">
        <f>IF(H59="非个人房产","——","个人所得税")</f>
        <v>——</v>
      </c>
      <c r="L55" s="3588"/>
      <c r="M55" s="3270" t="str">
        <f>D59</f>
        <v>——</v>
      </c>
      <c r="N55" s="3271" t="str">
        <f>E59</f>
        <v>——</v>
      </c>
      <c r="O55" s="3272" t="str">
        <f>F59</f>
        <v>——</v>
      </c>
    </row>
    <row r="56" spans="1:35" ht="24.75">
      <c r="A56" s="3533" t="s">
        <v>305</v>
      </c>
      <c r="B56" s="3534"/>
      <c r="C56" s="3534"/>
      <c r="D56" s="516">
        <f ca="1">IF(H56="个人住宅",D57,D58)</f>
        <v>40414</v>
      </c>
      <c r="E56" s="299" t="s">
        <v>306</v>
      </c>
      <c r="F56" s="515" t="str">
        <f>IF(H56="正常",F58,"免征")</f>
        <v>——</v>
      </c>
      <c r="G56" s="1254" t="s">
        <v>781</v>
      </c>
      <c r="H56" s="1429" t="s">
        <v>155</v>
      </c>
      <c r="I56" s="2281"/>
      <c r="J56" s="1499" t="str">
        <f>IF(项目基本情况!K6="上海银行",IF(J55="",4,J55+1),"")</f>
        <v/>
      </c>
      <c r="K56" s="3615" t="str">
        <f>IF(项目基本情况!K6="上海银行","其他处置费用","")</f>
        <v/>
      </c>
      <c r="L56" s="3616"/>
      <c r="M56" s="3267" t="str">
        <f>IF(项目基本情况!K6="上海银行",M69,"")</f>
        <v/>
      </c>
      <c r="N56" s="3618" t="str">
        <f>IF(项目基本情况!K6="上海银行","包含处置中涉及的律师、诉讼、拍卖、评估等费用","")</f>
        <v/>
      </c>
      <c r="O56" s="3619"/>
    </row>
    <row r="57" spans="1:35" ht="12.75">
      <c r="A57" s="514" t="s">
        <v>291</v>
      </c>
      <c r="B57" s="3550" t="s">
        <v>307</v>
      </c>
      <c r="C57" s="3573"/>
      <c r="D57" s="518">
        <v>0</v>
      </c>
      <c r="E57" s="311" t="s">
        <v>292</v>
      </c>
      <c r="F57" s="486"/>
      <c r="G57" s="465"/>
      <c r="H57" s="2281"/>
      <c r="I57" s="2281"/>
      <c r="J57" s="3598">
        <f>IF(AND(J55="",J56=""),4,IF(项目基本情况!K6="上海银行",结果表!J56+1,结果表!J55+1))</f>
        <v>4</v>
      </c>
      <c r="K57" s="3588" t="s">
        <v>782</v>
      </c>
      <c r="L57" s="3273" t="s">
        <v>222</v>
      </c>
      <c r="M57" s="3274"/>
      <c r="N57" s="3275">
        <f ca="1">SUMIF(M52:M56,"&lt;9e307")</f>
        <v>40450</v>
      </c>
      <c r="O57" s="3276"/>
      <c r="P57" s="3263" t="e">
        <f ca="1">N57/M49</f>
        <v>#VALUE!</v>
      </c>
    </row>
    <row r="58" spans="1:35" ht="24.75">
      <c r="A58" s="514" t="s">
        <v>295</v>
      </c>
      <c r="B58" s="3550" t="s">
        <v>308</v>
      </c>
      <c r="C58" s="3551"/>
      <c r="D58" s="516">
        <f ca="1">IF(H58="转让取得",C81,C97)</f>
        <v>40414</v>
      </c>
      <c r="E58" s="299" t="s">
        <v>306</v>
      </c>
      <c r="F58" s="312" t="s">
        <v>170</v>
      </c>
      <c r="G58" s="465"/>
      <c r="H58" s="1429" t="s">
        <v>1133</v>
      </c>
      <c r="I58" s="2281"/>
      <c r="J58" s="3598"/>
      <c r="K58" s="3588"/>
      <c r="L58" s="3273" t="s">
        <v>223</v>
      </c>
      <c r="M58" s="3277"/>
      <c r="N58" s="3278" t="str">
        <f ca="1">NUMBERSTRING(INT(N57*10000),2)&amp;"元整"</f>
        <v>肆亿零肆佰伍拾万元整</v>
      </c>
      <c r="O58" s="3279"/>
    </row>
    <row r="59" spans="1:35" ht="24.75" thickBot="1">
      <c r="A59" s="3591" t="s">
        <v>309</v>
      </c>
      <c r="B59" s="3592"/>
      <c r="C59" s="3592"/>
      <c r="D59" s="519" t="str">
        <f>IF(H59="非个人房产","——",IF(H59="个人住宅",0,ROUND(D45*I59,0)))</f>
        <v>——</v>
      </c>
      <c r="E59" s="520" t="str">
        <f>IF(H59="非个人房产","——","销售额×税（费）率")</f>
        <v>——</v>
      </c>
      <c r="F59" s="521" t="str">
        <f>IF(H59="非个人房产","——",IF(H59="个人住宅","免征",I59))</f>
        <v>——</v>
      </c>
      <c r="G59" s="1255" t="s">
        <v>169</v>
      </c>
      <c r="H59" s="1429" t="s">
        <v>1132</v>
      </c>
      <c r="I59" s="522">
        <v>0.01</v>
      </c>
      <c r="J59" s="3589">
        <f>J57+1</f>
        <v>5</v>
      </c>
      <c r="K59" s="3588" t="s">
        <v>171</v>
      </c>
      <c r="L59" s="1498" t="s">
        <v>222</v>
      </c>
      <c r="M59" s="3280"/>
      <c r="N59" s="3281" t="e">
        <f ca="1">M49-N57</f>
        <v>#VALUE!</v>
      </c>
      <c r="O59" s="3282"/>
    </row>
    <row r="60" spans="1:35" ht="12" customHeight="1">
      <c r="A60" s="1256"/>
      <c r="B60" s="1241"/>
      <c r="C60" s="1241"/>
      <c r="D60" s="1241"/>
      <c r="E60" s="229"/>
      <c r="F60" s="2281"/>
      <c r="G60" s="2281"/>
      <c r="H60" s="2282"/>
      <c r="I60" s="2276"/>
      <c r="J60" s="3590"/>
      <c r="K60" s="3588"/>
      <c r="L60" s="3273" t="s">
        <v>223</v>
      </c>
      <c r="M60" s="3277"/>
      <c r="N60" s="3278" t="e">
        <f ca="1">NUMBERSTRING(INT(N59*10000),2)&amp;"元整"</f>
        <v>#VALUE!</v>
      </c>
      <c r="O60" s="3279"/>
    </row>
    <row r="61" spans="1:35" ht="13.5" thickBot="1">
      <c r="A61" s="3531" t="s">
        <v>310</v>
      </c>
      <c r="B61" s="3531"/>
      <c r="C61" s="3531"/>
      <c r="D61" s="3531"/>
      <c r="E61" s="3531"/>
      <c r="F61" s="2281"/>
      <c r="G61" s="2281"/>
      <c r="H61" s="2282"/>
      <c r="I61" s="2276"/>
      <c r="J61" s="1499">
        <f>J59+1</f>
        <v>6</v>
      </c>
      <c r="K61" s="3588" t="s">
        <v>224</v>
      </c>
      <c r="L61" s="3588"/>
      <c r="M61" s="3283"/>
      <c r="N61" s="3284" t="e">
        <f ca="1">ROUND(N59*10000/'数据-汇总表'!E3,0)</f>
        <v>#VALUE!</v>
      </c>
      <c r="O61" s="3285"/>
    </row>
    <row r="62" spans="1:35" ht="12.75">
      <c r="A62" s="3548" t="s">
        <v>311</v>
      </c>
      <c r="B62" s="3549"/>
      <c r="C62" s="1916"/>
      <c r="D62" s="1916" t="s">
        <v>319</v>
      </c>
      <c r="E62" s="523" t="s">
        <v>320</v>
      </c>
      <c r="F62" s="2281"/>
      <c r="G62" s="2281"/>
      <c r="H62" s="2282"/>
      <c r="I62" s="2276"/>
    </row>
    <row r="63" spans="1:35" ht="12.75">
      <c r="A63" s="534" t="s">
        <v>1895</v>
      </c>
      <c r="B63" s="524" t="s">
        <v>312</v>
      </c>
      <c r="C63" s="525">
        <f ca="1">ROUND((C64+C65)/(1+'数据-取费表'!C42),0)</f>
        <v>67894</v>
      </c>
      <c r="D63" s="526"/>
      <c r="E63" s="527"/>
      <c r="F63" s="2281"/>
      <c r="G63" s="2281"/>
      <c r="H63" s="2282"/>
      <c r="I63" s="2276"/>
      <c r="J63" s="3617" t="s">
        <v>2987</v>
      </c>
      <c r="K63" s="3262" t="s">
        <v>2988</v>
      </c>
      <c r="L63" s="3260" t="e">
        <f>IF(M49&gt;10000,M49*0.5%,IF(AND(M49&gt;1000,M49&lt;=10000),M49*1%,IF(AND(M49&gt;100,M49&lt;=1000),M49*3%,IF(AND(M49&gt;10,M49&lt;=100),M49*5%,M49*8%))))</f>
        <v>#VALUE!</v>
      </c>
      <c r="M63" s="312" t="e">
        <f>ROUND(L63,1)</f>
        <v>#VALUE!</v>
      </c>
      <c r="Z63" s="1432"/>
      <c r="AI63" s="1242"/>
    </row>
    <row r="64" spans="1:35" ht="14.25" customHeight="1">
      <c r="A64" s="528" t="s">
        <v>1890</v>
      </c>
      <c r="B64" s="529" t="s">
        <v>313</v>
      </c>
      <c r="C64" s="530">
        <f ca="1">D45</f>
        <v>71289</v>
      </c>
      <c r="D64" s="531" t="s">
        <v>166</v>
      </c>
      <c r="E64" s="532"/>
      <c r="F64" s="2281"/>
      <c r="G64" s="2281"/>
      <c r="H64" s="2282"/>
      <c r="I64" s="2276"/>
      <c r="J64" s="3617"/>
      <c r="K64" s="3262" t="s">
        <v>2989</v>
      </c>
      <c r="L64" s="3260"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2995</v>
      </c>
      <c r="Z64" s="1432"/>
      <c r="AI64" s="1242"/>
    </row>
    <row r="65" spans="1:35" ht="14.25" customHeight="1">
      <c r="A65" s="528" t="s">
        <v>1891</v>
      </c>
      <c r="B65" s="529" t="s">
        <v>314</v>
      </c>
      <c r="C65" s="533"/>
      <c r="D65" s="531"/>
      <c r="E65" s="532"/>
      <c r="F65" s="2281"/>
      <c r="G65" s="2281"/>
      <c r="H65" s="2282"/>
      <c r="I65" s="2276"/>
      <c r="J65" s="3617"/>
      <c r="K65" s="3262" t="s">
        <v>2990</v>
      </c>
      <c r="L65" s="3260" t="e">
        <f>IF(M49&gt;1000,M49*0.1%,IF(AND(M49&gt;500,M49&lt;=1000),M49*0.5%,IF(AND(M49&gt;50,M49&lt;=500),M49*1%,IF(AND(M49&gt;1,M49&lt;=50),M49*1.5%))))</f>
        <v>#VALUE!</v>
      </c>
      <c r="M65" s="312" t="e">
        <f t="shared" si="1"/>
        <v>#VALUE!</v>
      </c>
      <c r="N65" s="468" t="s">
        <v>2996</v>
      </c>
      <c r="Z65" s="1432"/>
      <c r="AI65" s="1242"/>
    </row>
    <row r="66" spans="1:35" ht="14.25" customHeight="1">
      <c r="A66" s="534" t="s">
        <v>1892</v>
      </c>
      <c r="B66" s="535" t="s">
        <v>315</v>
      </c>
      <c r="C66" s="536"/>
      <c r="D66" s="537" t="s">
        <v>166</v>
      </c>
      <c r="E66" s="3314" t="s">
        <v>3034</v>
      </c>
      <c r="F66" s="2281"/>
      <c r="G66" s="2281"/>
      <c r="H66" s="2282"/>
      <c r="I66" s="2276"/>
      <c r="J66" s="3617"/>
      <c r="K66" s="3262" t="s">
        <v>2991</v>
      </c>
      <c r="L66" s="3260" t="e">
        <f>M49*0.5%</f>
        <v>#VALUE!</v>
      </c>
      <c r="M66" s="312" t="e">
        <f>IF(L66&gt;0.5,0.5,ROUND(L66,0))</f>
        <v>#VALUE!</v>
      </c>
      <c r="N66" s="468" t="s">
        <v>2997</v>
      </c>
      <c r="Z66" s="1432"/>
      <c r="AI66" s="1242"/>
    </row>
    <row r="67" spans="1:35" ht="14.25" customHeight="1">
      <c r="A67" s="534" t="s">
        <v>1893</v>
      </c>
      <c r="B67" s="535" t="s">
        <v>316</v>
      </c>
      <c r="C67" s="538">
        <f ca="1">C63-C66</f>
        <v>67894</v>
      </c>
      <c r="D67" s="531" t="s">
        <v>166</v>
      </c>
      <c r="E67" s="532"/>
      <c r="F67" s="2281"/>
      <c r="G67" s="2281"/>
      <c r="H67" s="2282"/>
      <c r="I67" s="2276"/>
      <c r="J67" s="3617"/>
      <c r="K67" s="3262" t="s">
        <v>2992</v>
      </c>
      <c r="L67" s="3260"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2"/>
      <c r="AI67" s="1242"/>
    </row>
    <row r="68" spans="1:35" ht="14.25" customHeight="1" thickBot="1">
      <c r="A68" s="539" t="s">
        <v>1894</v>
      </c>
      <c r="B68" s="540" t="s">
        <v>317</v>
      </c>
      <c r="C68" s="541">
        <f ca="1">IF(C67&lt;=0,0,ROUND(C67*D68,0))</f>
        <v>3734</v>
      </c>
      <c r="D68" s="542">
        <f>'数据-取费表'!B41</f>
        <v>5.5000000000000007E-2</v>
      </c>
      <c r="E68" s="543"/>
      <c r="F68" s="2281"/>
      <c r="G68" s="2281"/>
      <c r="H68" s="2282"/>
      <c r="I68" s="2276"/>
      <c r="J68" s="3617"/>
      <c r="K68" s="3262" t="s">
        <v>2993</v>
      </c>
      <c r="L68" s="3260" t="e">
        <f>IF(M49&gt;10000,M49*0.5%,IF(AND(M49&gt;5000,M49&lt;=10000),M49*1%,IF(AND(M49&gt;1000,M49&lt;=5000),M49*2%,IF(AND(M49&gt;200,M49&lt;=1000),M49*3%,M49*5%))))</f>
        <v>#VALUE!</v>
      </c>
      <c r="M68" s="312" t="e">
        <f>ROUND(L68,1)</f>
        <v>#VALUE!</v>
      </c>
      <c r="Z68" s="1432"/>
      <c r="AI68" s="1242"/>
    </row>
    <row r="69" spans="1:35" s="1243" customFormat="1" ht="16.5" customHeight="1">
      <c r="A69" s="1257"/>
      <c r="B69" s="1258"/>
      <c r="C69" s="1259"/>
      <c r="D69" s="1260"/>
      <c r="E69" s="1261"/>
      <c r="F69" s="229"/>
      <c r="G69" s="229"/>
      <c r="H69" s="241"/>
      <c r="I69" s="1241"/>
      <c r="J69" s="3617"/>
      <c r="K69" s="3262" t="s">
        <v>186</v>
      </c>
      <c r="L69" s="3261"/>
      <c r="M69" s="312" t="e">
        <f>ROUND(SUM(M63:M68),0)</f>
        <v>#VALUE!</v>
      </c>
      <c r="N69" s="3263"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71" t="s">
        <v>318</v>
      </c>
      <c r="B70" s="3572"/>
      <c r="C70" s="3572"/>
      <c r="D70" s="3572"/>
      <c r="E70" s="3572"/>
      <c r="F70" s="3572"/>
      <c r="G70" s="3572"/>
      <c r="H70" s="357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48" t="s">
        <v>311</v>
      </c>
      <c r="B71" s="3549"/>
      <c r="C71" s="1916"/>
      <c r="D71" s="1916" t="s">
        <v>319</v>
      </c>
      <c r="E71" s="544" t="s">
        <v>320</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1895</v>
      </c>
      <c r="B72" s="535" t="s">
        <v>321</v>
      </c>
      <c r="C72" s="538">
        <f ca="1">ROUND(D45/(1+'数据-取费表'!C42),0)</f>
        <v>67894</v>
      </c>
      <c r="D72" s="531" t="s">
        <v>166</v>
      </c>
      <c r="E72" s="1919"/>
      <c r="F72" s="1920"/>
      <c r="G72" s="1920"/>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1892</v>
      </c>
      <c r="B73" s="504" t="s">
        <v>322</v>
      </c>
      <c r="C73" s="538">
        <f ca="1">C74+C78</f>
        <v>339</v>
      </c>
      <c r="D73" s="531" t="s">
        <v>166</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1896</v>
      </c>
      <c r="B74" s="529" t="s">
        <v>323</v>
      </c>
      <c r="C74" s="531">
        <f>ROUND(IF(G77="2016年5月1日后购买",C75/(1+'数据-取费表'!C42)+C76+C77,C75+C76+C77),0)</f>
        <v>0</v>
      </c>
      <c r="D74" s="531" t="s">
        <v>166</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1897</v>
      </c>
      <c r="B75" s="529" t="s">
        <v>324</v>
      </c>
      <c r="C75" s="549"/>
      <c r="D75" s="531" t="s">
        <v>166</v>
      </c>
      <c r="E75" s="550" t="s">
        <v>325</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1899</v>
      </c>
      <c r="B76" s="552" t="s">
        <v>326</v>
      </c>
      <c r="C76" s="531">
        <f>IF(F75="购房发票",ROUND(C75*H75*D76,0),0)</f>
        <v>0</v>
      </c>
      <c r="D76" s="553">
        <v>0.05</v>
      </c>
      <c r="E76" s="3543" t="s">
        <v>327</v>
      </c>
      <c r="F76" s="3518"/>
      <c r="G76" s="3518"/>
      <c r="H76" s="3570"/>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1900</v>
      </c>
      <c r="B77" s="529" t="s">
        <v>328</v>
      </c>
      <c r="C77" s="531">
        <f>ROUND(IF(G77="个人住宅",0,IF(G77="2016年5月1日前购买",C75*D77,C75*D77/(1+'数据-取费表'!C42))),0)</f>
        <v>0</v>
      </c>
      <c r="D77" s="554">
        <f>'数据-取费表'!B48+'数据-取费表'!B49</f>
        <v>3.0499999999999999E-2</v>
      </c>
      <c r="E77" s="302" t="s">
        <v>793</v>
      </c>
      <c r="F77" s="555"/>
      <c r="G77" s="1426" t="s">
        <v>2501</v>
      </c>
      <c r="H77" s="1921"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1898</v>
      </c>
      <c r="B78" s="529" t="s">
        <v>329</v>
      </c>
      <c r="C78" s="556">
        <f ca="1">ROUND(D45*D78/(1+'数据-取费表'!C42),0)</f>
        <v>339</v>
      </c>
      <c r="D78" s="557">
        <f>'数据-取费表'!B43</f>
        <v>5.000000000000001E-3</v>
      </c>
      <c r="E78" s="3538" t="s">
        <v>2502</v>
      </c>
      <c r="F78" s="3529"/>
      <c r="G78" s="3529"/>
      <c r="H78" s="353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1901</v>
      </c>
      <c r="B79" s="535" t="s">
        <v>330</v>
      </c>
      <c r="C79" s="538">
        <f ca="1">C72-C73</f>
        <v>67555</v>
      </c>
      <c r="D79" s="531" t="s">
        <v>166</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1902</v>
      </c>
      <c r="B80" s="535" t="s">
        <v>331</v>
      </c>
      <c r="C80" s="558">
        <f ca="1">IF(C79&lt;=0,0,C79/C73)</f>
        <v>199.2772861356932</v>
      </c>
      <c r="D80" s="531"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1903</v>
      </c>
      <c r="B81" s="540" t="s">
        <v>332</v>
      </c>
      <c r="C81" s="559">
        <f ca="1">ROUND(IF(C79&lt;=0,0,IF(C80&gt;=200%,C79*60%-C73*35%,IF(C80&gt;=100%,C79*50%-C73*15%,IF(C80&gt;=50%,C79*40%-C73*5%,IF(C80&lt;50%,C79*30%,0))))),0)</f>
        <v>40414</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71" t="s">
        <v>333</v>
      </c>
      <c r="B83" s="3572"/>
      <c r="C83" s="3572"/>
      <c r="D83" s="3572"/>
      <c r="E83" s="3572"/>
      <c r="F83" s="3572"/>
      <c r="G83" s="3572"/>
      <c r="H83" s="357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48" t="s">
        <v>311</v>
      </c>
      <c r="B84" s="3549"/>
      <c r="C84" s="1916"/>
      <c r="D84" s="1916" t="s">
        <v>319</v>
      </c>
      <c r="E84" s="544" t="s">
        <v>320</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1895</v>
      </c>
      <c r="B85" s="535" t="s">
        <v>321</v>
      </c>
      <c r="C85" s="538">
        <f ca="1">ROUND(D45/(1+'数据-取费表'!C42),0)</f>
        <v>67894</v>
      </c>
      <c r="D85" s="531" t="s">
        <v>166</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1892</v>
      </c>
      <c r="B86" s="504" t="s">
        <v>322</v>
      </c>
      <c r="C86" s="538">
        <f ca="1">IF(H88="仅含出让金",C87+C90+C91+C92+C93+C94,C87+C91+C92+C93+C94)</f>
        <v>339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1896</v>
      </c>
      <c r="B87" s="529" t="s">
        <v>334</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1897</v>
      </c>
      <c r="B88" s="529" t="s">
        <v>335</v>
      </c>
      <c r="C88" s="567"/>
      <c r="D88" s="557"/>
      <c r="E88" s="568" t="s">
        <v>336</v>
      </c>
      <c r="F88" s="1915"/>
      <c r="G88" s="569" t="s">
        <v>337</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1899</v>
      </c>
      <c r="B89" s="529" t="s">
        <v>328</v>
      </c>
      <c r="C89" s="556">
        <f>ROUND(C88*D89,0)</f>
        <v>0</v>
      </c>
      <c r="D89" s="557">
        <f>'数据-取费表'!B48+'数据-取费表'!B49</f>
        <v>3.0499999999999999E-2</v>
      </c>
      <c r="E89" s="568" t="s">
        <v>338</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1898</v>
      </c>
      <c r="B90" s="529" t="s">
        <v>339</v>
      </c>
      <c r="C90" s="567"/>
      <c r="D90" s="557"/>
      <c r="E90" s="568" t="str">
        <f>IF(H88="-","土地取得成本中已包含该笔费用"," ")</f>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1904</v>
      </c>
      <c r="B91" s="529" t="s">
        <v>340</v>
      </c>
      <c r="C91" s="556">
        <f>IF(H91="——",成本法!C33,I91)</f>
        <v>0</v>
      </c>
      <c r="D91" s="557"/>
      <c r="E91" s="3528" t="s">
        <v>794</v>
      </c>
      <c r="F91" s="3529"/>
      <c r="G91" s="3529"/>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1905</v>
      </c>
      <c r="B92" s="529" t="s">
        <v>341</v>
      </c>
      <c r="C92" s="556">
        <f>ROUND((C87+C90+C91)*D92,0)</f>
        <v>0</v>
      </c>
      <c r="D92" s="557">
        <v>0.1</v>
      </c>
      <c r="E92" s="3528" t="s">
        <v>342</v>
      </c>
      <c r="F92" s="3529"/>
      <c r="G92" s="3529"/>
      <c r="H92" s="353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1906</v>
      </c>
      <c r="B93" s="529" t="s">
        <v>329</v>
      </c>
      <c r="C93" s="556">
        <f ca="1">ROUND(D45*D93/(1+'数据-取费表'!C42),0)</f>
        <v>339</v>
      </c>
      <c r="D93" s="557">
        <f>'数据-取费表'!B43</f>
        <v>5.000000000000001E-3</v>
      </c>
      <c r="E93" s="3538" t="s">
        <v>2502</v>
      </c>
      <c r="F93" s="3529"/>
      <c r="G93" s="3529"/>
      <c r="H93" s="353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0" t="s">
        <v>1907</v>
      </c>
      <c r="B94" s="529" t="s">
        <v>343</v>
      </c>
      <c r="C94" s="567">
        <f>ROUND((C87+C90+C91)*D94,0)</f>
        <v>0</v>
      </c>
      <c r="D94" s="557">
        <v>0.2</v>
      </c>
      <c r="E94" s="3540" t="s">
        <v>3049</v>
      </c>
      <c r="F94" s="3541"/>
      <c r="G94" s="3541"/>
      <c r="H94" s="354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1901</v>
      </c>
      <c r="B95" s="535" t="s">
        <v>330</v>
      </c>
      <c r="C95" s="538">
        <f ca="1">ROUND(C85-C86,0)</f>
        <v>67555</v>
      </c>
      <c r="D95" s="531" t="s">
        <v>166</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1902</v>
      </c>
      <c r="B96" s="535" t="s">
        <v>331</v>
      </c>
      <c r="C96" s="558">
        <f ca="1">IF(C95&lt;=0,0,C95/C86)</f>
        <v>199.2772861356932</v>
      </c>
      <c r="D96" s="531"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1903</v>
      </c>
      <c r="B97" s="540" t="s">
        <v>332</v>
      </c>
      <c r="C97" s="559">
        <f ca="1">ROUND(IF(C95&lt;=0,0,IF(C96&gt;=200%,C95*60%-C86*35%,IF(C96&gt;=100%,C95*50%-C86*15%,IF(C96&gt;=50%,C95*40%-C86*5%,IF(C96&lt;50%,C95*30%,0))))),0)</f>
        <v>40414</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228</v>
      </c>
      <c r="B99" s="1241"/>
      <c r="C99" s="1241"/>
      <c r="D99" s="1241"/>
      <c r="E99" s="229"/>
      <c r="F99" s="229"/>
      <c r="G99" s="229"/>
      <c r="H99" s="241"/>
      <c r="I99" s="2276"/>
    </row>
    <row r="100" spans="1:35" ht="18.75" customHeight="1">
      <c r="A100" s="3512" t="s">
        <v>229</v>
      </c>
      <c r="B100" s="3513"/>
      <c r="C100" s="3513"/>
      <c r="D100" s="3530"/>
      <c r="E100" s="3513" t="s">
        <v>2900</v>
      </c>
      <c r="F100" s="3513"/>
      <c r="G100" s="3513"/>
      <c r="H100" s="3530"/>
      <c r="I100" s="2276"/>
    </row>
    <row r="101" spans="1:35" ht="18.75" customHeight="1">
      <c r="A101" s="3596" t="s">
        <v>207</v>
      </c>
      <c r="B101" s="3597"/>
      <c r="C101" s="1264" t="str">
        <f>C4</f>
        <v>成本法</v>
      </c>
      <c r="D101" s="1265" t="str">
        <f>D4</f>
        <v>收益法</v>
      </c>
      <c r="E101" s="3614" t="s">
        <v>1909</v>
      </c>
      <c r="F101" s="3563"/>
      <c r="G101" s="1266" t="s">
        <v>209</v>
      </c>
      <c r="H101" s="1984">
        <f ca="1">H118</f>
        <v>71289</v>
      </c>
      <c r="I101" s="2276"/>
    </row>
    <row r="102" spans="1:35" ht="18.75" customHeight="1">
      <c r="A102" s="3565" t="s">
        <v>208</v>
      </c>
      <c r="B102" s="1266" t="s">
        <v>209</v>
      </c>
      <c r="C102" s="1233">
        <f ca="1">C19</f>
        <v>68338</v>
      </c>
      <c r="D102" s="1234">
        <f ca="1">D19</f>
        <v>73256</v>
      </c>
      <c r="E102" s="3614"/>
      <c r="F102" s="3563"/>
      <c r="G102" s="1266" t="s">
        <v>210</v>
      </c>
      <c r="H102" s="710">
        <f ca="1">I118</f>
        <v>24605</v>
      </c>
      <c r="I102" s="2276"/>
    </row>
    <row r="103" spans="1:35" ht="42.75" customHeight="1">
      <c r="A103" s="3565"/>
      <c r="B103" s="1266" t="s">
        <v>210</v>
      </c>
      <c r="C103" s="1235">
        <f ca="1">C20</f>
        <v>23586</v>
      </c>
      <c r="D103" s="1236">
        <f ca="1">D20</f>
        <v>25284</v>
      </c>
      <c r="E103" s="3609" t="s">
        <v>3010</v>
      </c>
      <c r="F103" s="3610"/>
      <c r="G103" s="1267" t="s">
        <v>212</v>
      </c>
      <c r="H103" s="1984">
        <f>IF(D36="正常操作",H104+H105+H106,H105+H106)</f>
        <v>0</v>
      </c>
      <c r="I103" s="2276"/>
    </row>
    <row r="104" spans="1:35" ht="18.75" customHeight="1">
      <c r="A104" s="3565" t="s">
        <v>211</v>
      </c>
      <c r="B104" s="1268" t="s">
        <v>209</v>
      </c>
      <c r="C104" s="1237">
        <f ca="1">H118</f>
        <v>71289</v>
      </c>
      <c r="D104" s="1238"/>
      <c r="E104" s="13" t="s">
        <v>1908</v>
      </c>
      <c r="F104" s="6"/>
      <c r="G104" s="1267" t="s">
        <v>212</v>
      </c>
      <c r="H104" s="1985">
        <f>IF(D36="同一抵押权人同一抵押物续贷",C36&amp;"（未扣减，详见特别提示）",C36)</f>
        <v>0</v>
      </c>
      <c r="I104" s="2276"/>
    </row>
    <row r="105" spans="1:35" ht="18.75" customHeight="1" thickBot="1">
      <c r="A105" s="3566"/>
      <c r="B105" s="1269" t="s">
        <v>210</v>
      </c>
      <c r="C105" s="1239">
        <f ca="1">I118</f>
        <v>24605</v>
      </c>
      <c r="D105" s="1240"/>
      <c r="E105" s="13" t="s">
        <v>1910</v>
      </c>
      <c r="F105" s="6"/>
      <c r="G105" s="1267" t="s">
        <v>212</v>
      </c>
      <c r="H105" s="1985">
        <f>C37</f>
        <v>0</v>
      </c>
      <c r="I105" s="2276"/>
    </row>
    <row r="106" spans="1:35" ht="18.75" customHeight="1">
      <c r="A106" s="1241" t="s">
        <v>2002</v>
      </c>
      <c r="B106" s="1241"/>
      <c r="C106" s="1241"/>
      <c r="D106" s="1241"/>
      <c r="E106" s="466" t="s">
        <v>1911</v>
      </c>
      <c r="F106" s="6"/>
      <c r="G106" s="1267" t="s">
        <v>212</v>
      </c>
      <c r="H106" s="1985">
        <f>C38</f>
        <v>0</v>
      </c>
      <c r="I106" s="2276"/>
    </row>
    <row r="107" spans="1:35" ht="18.75" customHeight="1">
      <c r="A107" s="2276"/>
      <c r="B107" s="2276"/>
      <c r="C107" s="2276"/>
      <c r="D107" s="2276"/>
      <c r="E107" s="3562" t="str">
        <f>IF(项目基本情况!E8="已注销","——","3.房地产抵押价值")</f>
        <v>3.房地产抵押价值</v>
      </c>
      <c r="F107" s="3563"/>
      <c r="G107" s="1266" t="s">
        <v>209</v>
      </c>
      <c r="H107" s="1984">
        <f ca="1">IF(E107="——","——",H101-H103)</f>
        <v>71289</v>
      </c>
      <c r="I107" s="2276"/>
    </row>
    <row r="108" spans="1:35" ht="18.75" customHeight="1">
      <c r="A108" s="2276"/>
      <c r="B108" s="2276"/>
      <c r="C108" s="2276"/>
      <c r="D108" s="2276"/>
      <c r="E108" s="3562"/>
      <c r="F108" s="3563"/>
      <c r="G108" s="1266" t="s">
        <v>210</v>
      </c>
      <c r="H108" s="710">
        <f ca="1">ROUND(H107*10000/'数据-汇总表'!E3,0)</f>
        <v>24605</v>
      </c>
      <c r="I108" s="2276"/>
    </row>
    <row r="109" spans="1:35" ht="18.75" customHeight="1">
      <c r="A109" s="2276"/>
      <c r="B109" s="2276"/>
      <c r="C109" s="2276"/>
      <c r="D109" s="2276"/>
      <c r="E109" s="3562" t="str">
        <f>IF(项目基本情况!E8="已注销及未注销","4.抵押担保权已注销时的房地产抵押价值",IF(项目基本情况!E8="已注销","3.抵押担保权已注销时的房地产抵押价值","——"))</f>
        <v>——</v>
      </c>
      <c r="F109" s="3563"/>
      <c r="G109" s="1266" t="s">
        <v>209</v>
      </c>
      <c r="H109" s="684" t="str">
        <f>IF(E109="——","——",H101-H105-H106)</f>
        <v>——</v>
      </c>
      <c r="I109" s="2276"/>
    </row>
    <row r="110" spans="1:35" ht="18.75" customHeight="1">
      <c r="A110" s="2276"/>
      <c r="B110" s="2276"/>
      <c r="C110" s="2276"/>
      <c r="D110" s="2276"/>
      <c r="E110" s="3562"/>
      <c r="F110" s="3563"/>
      <c r="G110" s="1266" t="s">
        <v>210</v>
      </c>
      <c r="H110" s="710" t="str">
        <f>IF(H109="——","——",ROUND(H109*10000/'数据-汇总表'!E3,0))</f>
        <v>——</v>
      </c>
      <c r="I110" s="2276"/>
    </row>
    <row r="111" spans="1:35" ht="18.75" customHeight="1">
      <c r="A111" s="2276"/>
      <c r="B111" s="2276"/>
      <c r="C111" s="2276"/>
      <c r="D111" s="2276"/>
      <c r="E111" s="3599" t="str">
        <f>IF(项目基本情况!E9="抵押净值",IF(OR(项目基本情况!E8="已注销",项目基本情况!E8="房地产抵押价值"),"4.抵押净值","5.抵押净值"),"——")</f>
        <v>——</v>
      </c>
      <c r="F111" s="3600"/>
      <c r="G111" s="1266" t="s">
        <v>209</v>
      </c>
      <c r="H111" s="1984" t="str">
        <f>IF(E111="——","——",N59)</f>
        <v>——</v>
      </c>
      <c r="I111" s="2276"/>
    </row>
    <row r="112" spans="1:35" ht="18.75" customHeight="1" thickBot="1">
      <c r="A112" s="2276"/>
      <c r="B112" s="2276"/>
      <c r="C112" s="2276"/>
      <c r="D112" s="2276"/>
      <c r="E112" s="3601"/>
      <c r="F112" s="3602"/>
      <c r="G112" s="1270" t="s">
        <v>210</v>
      </c>
      <c r="H112" s="1421" t="str">
        <f>IF(E111="——","——",N61)</f>
        <v>——</v>
      </c>
      <c r="I112" s="2276"/>
    </row>
    <row r="113" spans="1:11" ht="18.75" customHeight="1">
      <c r="A113" s="2276"/>
      <c r="B113" s="2276"/>
      <c r="C113" s="2276"/>
      <c r="D113" s="2276"/>
      <c r="E113" s="3567" t="s">
        <v>2002</v>
      </c>
      <c r="F113" s="3567"/>
      <c r="G113" s="3567"/>
      <c r="H113" s="3567"/>
      <c r="I113" s="2276"/>
    </row>
    <row r="114" spans="1:11" ht="3.75" customHeight="1">
      <c r="A114" s="1241"/>
      <c r="B114" s="1241"/>
      <c r="C114" s="1241"/>
      <c r="D114" s="1241"/>
      <c r="E114" s="1256"/>
      <c r="F114" s="1256"/>
      <c r="G114" s="1256"/>
      <c r="H114" s="1256"/>
      <c r="I114" s="1241"/>
    </row>
    <row r="115" spans="1:11" ht="18.75" customHeight="1">
      <c r="A115" s="3581" t="s">
        <v>225</v>
      </c>
      <c r="B115" s="3582"/>
      <c r="C115" s="3582"/>
      <c r="D115" s="3582"/>
      <c r="E115" s="3582"/>
      <c r="F115" s="3582"/>
      <c r="G115" s="3582"/>
      <c r="H115" s="3582"/>
      <c r="I115" s="3583"/>
    </row>
    <row r="116" spans="1:11" ht="27" customHeight="1">
      <c r="A116" s="3470" t="s">
        <v>5</v>
      </c>
      <c r="B116" s="3568" t="s">
        <v>783</v>
      </c>
      <c r="C116" s="3568" t="s">
        <v>784</v>
      </c>
      <c r="D116" s="3585" t="s">
        <v>205</v>
      </c>
      <c r="E116" s="3586"/>
      <c r="F116" s="3577" t="s">
        <v>2380</v>
      </c>
      <c r="G116" s="3577"/>
      <c r="H116" s="3470" t="s">
        <v>6</v>
      </c>
      <c r="I116" s="3470"/>
    </row>
    <row r="117" spans="1:11" ht="18.75" customHeight="1">
      <c r="A117" s="3470"/>
      <c r="B117" s="3569"/>
      <c r="C117" s="3569"/>
      <c r="D117" s="1913" t="s">
        <v>7</v>
      </c>
      <c r="E117" s="1913" t="s">
        <v>785</v>
      </c>
      <c r="F117" s="1913" t="s">
        <v>7</v>
      </c>
      <c r="G117" s="1913" t="s">
        <v>8</v>
      </c>
      <c r="H117" s="1913" t="s">
        <v>7</v>
      </c>
      <c r="I117" s="1913" t="s">
        <v>8</v>
      </c>
    </row>
    <row r="118" spans="1:11" ht="24.75" customHeight="1">
      <c r="A118" s="2031" t="str">
        <f>项目基本情况!S2</f>
        <v>北京市怀柔区杨宋镇凤翔二园1号1-7幢房地产</v>
      </c>
      <c r="B118" s="1918">
        <f>M18</f>
        <v>28973.439999999999</v>
      </c>
      <c r="C118" s="1918">
        <f>M19</f>
        <v>92783.56</v>
      </c>
      <c r="D118" s="1918">
        <f ca="1">ROUND(IF(D32="总价",C34,E118*B118/10000),0)</f>
        <v>63091</v>
      </c>
      <c r="E118" s="1918">
        <f ca="1">ROUND(IF(C33="自定义",IF(D32="楼面单价",C34,D118*10000/B118),I118-G118),0)</f>
        <v>21776</v>
      </c>
      <c r="F118" s="1918">
        <f ca="1">ROUND(IF(D32="总价",C35,G118*B118/10000),0)</f>
        <v>8198</v>
      </c>
      <c r="G118" s="1918">
        <f ca="1">ROUND(IF(D32="楼面单价",C35,F118*10000/B118),0)</f>
        <v>2829</v>
      </c>
      <c r="H118" s="1918">
        <f ca="1">ROUND(IF(D32="总价",C32,I118*B118/10000),0)</f>
        <v>71289</v>
      </c>
      <c r="I118" s="1918">
        <f ca="1">ROUND(IF(D32="楼面单价",C32,H118*10000/B118),0)</f>
        <v>24605</v>
      </c>
    </row>
    <row r="119" spans="1:11" ht="18.75" customHeight="1">
      <c r="A119" s="3470" t="s">
        <v>9</v>
      </c>
      <c r="B119" s="3470"/>
      <c r="C119" s="3470"/>
      <c r="D119" s="3574" t="str">
        <f ca="1">NUMBERSTRING(INT(D118*10000),2)&amp;"元整"</f>
        <v>陆亿叁仟零玖拾壹万元整</v>
      </c>
      <c r="E119" s="3576"/>
      <c r="F119" s="3574" t="str">
        <f ca="1">NUMBERSTRING(INT(F118*10000),2)&amp;"元整"</f>
        <v>捌仟壹佰玖拾捌万元整</v>
      </c>
      <c r="G119" s="3576"/>
      <c r="H119" s="3574" t="str">
        <f ca="1">NUMBERSTRING(INT(H118*10000),2)&amp;"元整"</f>
        <v>柒亿壹仟贰佰捌拾玖万元整</v>
      </c>
      <c r="I119" s="3576"/>
    </row>
    <row r="120" spans="1:11" ht="18.75" customHeight="1">
      <c r="A120" s="3606" t="str">
        <f>IF(项目基本情况!B9="房地产市场价值","",MID(E103,3,LEN(E103)-2))</f>
        <v>估价师知悉的法定优先受偿款</v>
      </c>
      <c r="B120" s="3607"/>
      <c r="C120" s="3608"/>
      <c r="D120" s="3603">
        <f>H103</f>
        <v>0</v>
      </c>
      <c r="E120" s="3604"/>
      <c r="F120" s="3604"/>
      <c r="G120" s="3604"/>
      <c r="H120" s="3604"/>
      <c r="I120" s="3605"/>
      <c r="K120" s="1432" t="str">
        <f>IF(D120=0,"故，本次评估不存在"&amp;A120,"故，本次评估"&amp;A120&amp;"为人民币"&amp;D120&amp;"万元整。")</f>
        <v>故，本次评估不存在估价师知悉的法定优先受偿款</v>
      </c>
    </row>
    <row r="121" spans="1:11" ht="18.75" customHeight="1">
      <c r="A121" s="3578" t="s">
        <v>9</v>
      </c>
      <c r="B121" s="3579"/>
      <c r="C121" s="3580"/>
      <c r="D121" s="3574" t="str">
        <f>IF(D120=0,"零元整",NUMBERSTRING(INT(D120*10000),2)&amp;"元整")</f>
        <v>零元整</v>
      </c>
      <c r="E121" s="3575"/>
      <c r="F121" s="3575"/>
      <c r="G121" s="3575"/>
      <c r="H121" s="3575"/>
      <c r="I121" s="3576"/>
    </row>
    <row r="122" spans="1:11" ht="18.75" customHeight="1">
      <c r="A122" s="3564" t="str">
        <f>IF(项目基本情况!B9="房地产市场价值","",MID(E107,3,LEN(E107)-2))</f>
        <v>房地产抵押价值</v>
      </c>
      <c r="B122" s="3564"/>
      <c r="C122" s="3564"/>
      <c r="D122" s="3603">
        <f ca="1">H107</f>
        <v>71289</v>
      </c>
      <c r="E122" s="3604"/>
      <c r="F122" s="3604"/>
      <c r="G122" s="3604"/>
      <c r="H122" s="3604"/>
      <c r="I122" s="3605"/>
    </row>
    <row r="123" spans="1:11" ht="18.75" customHeight="1">
      <c r="A123" s="3470" t="s">
        <v>9</v>
      </c>
      <c r="B123" s="3470"/>
      <c r="C123" s="3470"/>
      <c r="D123" s="3574" t="str">
        <f ca="1">NUMBERSTRING(INT(D122*10000),2)&amp;"元整"</f>
        <v>柒亿壹仟贰佰捌拾玖万元整</v>
      </c>
      <c r="E123" s="3575"/>
      <c r="F123" s="3575"/>
      <c r="G123" s="3575"/>
      <c r="H123" s="3575"/>
      <c r="I123" s="3576"/>
    </row>
    <row r="124" spans="1:11" ht="18.75" customHeight="1">
      <c r="A124" s="3564" t="str">
        <f>IF(项目基本情况!B9="房地产市场价值","",MID(E109,3,LEN(E109)-2))</f>
        <v/>
      </c>
      <c r="B124" s="3564"/>
      <c r="C124" s="3564"/>
      <c r="D124" s="3603" t="str">
        <f>H109</f>
        <v>——</v>
      </c>
      <c r="E124" s="3604"/>
      <c r="F124" s="3604"/>
      <c r="G124" s="3604"/>
      <c r="H124" s="3604"/>
      <c r="I124" s="3605"/>
    </row>
    <row r="125" spans="1:11" ht="18.75" customHeight="1">
      <c r="A125" s="3470" t="s">
        <v>9</v>
      </c>
      <c r="B125" s="3470"/>
      <c r="C125" s="3470"/>
      <c r="D125" s="3574" t="e">
        <f>NUMBERSTRING(INT(D124*10000),2)&amp;"元整"</f>
        <v>#VALUE!</v>
      </c>
      <c r="E125" s="3575"/>
      <c r="F125" s="3575"/>
      <c r="G125" s="3575"/>
      <c r="H125" s="3575"/>
      <c r="I125" s="3576"/>
    </row>
    <row r="126" spans="1:11" ht="18.75" customHeight="1">
      <c r="A126" s="3564" t="str">
        <f>IF(项目基本情况!B9="房地产市场价值","",MID(E111,3,LEN(E111)-2))</f>
        <v/>
      </c>
      <c r="B126" s="3564"/>
      <c r="C126" s="3564"/>
      <c r="D126" s="3603" t="str">
        <f>H111</f>
        <v>——</v>
      </c>
      <c r="E126" s="3604"/>
      <c r="F126" s="3604"/>
      <c r="G126" s="3604"/>
      <c r="H126" s="3604"/>
      <c r="I126" s="3605"/>
    </row>
    <row r="127" spans="1:11" ht="18.75" customHeight="1">
      <c r="A127" s="3470" t="s">
        <v>9</v>
      </c>
      <c r="B127" s="3470"/>
      <c r="C127" s="3470"/>
      <c r="D127" s="3574" t="e">
        <f>NUMBERSTRING(INT(D126*10000),2)&amp;"元整"</f>
        <v>#VALUE!</v>
      </c>
      <c r="E127" s="3575"/>
      <c r="F127" s="3575"/>
      <c r="G127" s="3575"/>
      <c r="H127" s="3575"/>
      <c r="I127" s="3576"/>
    </row>
    <row r="128" spans="1:11" ht="21.75" customHeight="1">
      <c r="A128" s="3584" t="s">
        <v>2001</v>
      </c>
      <c r="B128" s="3584"/>
      <c r="C128" s="3584"/>
      <c r="D128" s="3584"/>
      <c r="E128" s="3584"/>
      <c r="F128" s="3584"/>
      <c r="G128" s="3584"/>
      <c r="H128" s="3584"/>
      <c r="I128" s="3584"/>
    </row>
    <row r="129" spans="1:35" ht="21.75" customHeight="1">
      <c r="A129" s="2026" t="s">
        <v>786</v>
      </c>
      <c r="B129" s="2027"/>
      <c r="C129" s="467"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19"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1" t="s">
        <v>3163</v>
      </c>
      <c r="C1" s="573"/>
      <c r="D1" s="573"/>
      <c r="E1" s="573"/>
      <c r="F1" s="573"/>
      <c r="G1" s="2752">
        <f>MATCH(B1,'数据-取费表'!A6:A16,0)+5</f>
        <v>6</v>
      </c>
    </row>
    <row r="2" spans="1:9" s="575" customFormat="1" ht="18" customHeight="1">
      <c r="A2" s="576" t="s">
        <v>445</v>
      </c>
      <c r="B2" s="577">
        <f ca="1">IF(D2="——",C52,C52-E2)</f>
        <v>68338</v>
      </c>
      <c r="C2" s="85" t="s">
        <v>865</v>
      </c>
      <c r="D2" s="2869" t="s">
        <v>530</v>
      </c>
      <c r="E2" s="2867" t="e">
        <f ca="1">SUMIF(INDIRECT("'"&amp;G2&amp;"'"&amp;"!A:A"),"承租人权益价值",INDIRECT("'"&amp;G2&amp;"'"&amp;"!c:c"))</f>
        <v>#REF!</v>
      </c>
      <c r="F2" s="2865" t="s">
        <v>865</v>
      </c>
      <c r="G2" s="2868"/>
    </row>
    <row r="3" spans="1:9" s="575" customFormat="1" ht="18" customHeight="1" thickBot="1">
      <c r="A3" s="578" t="s">
        <v>446</v>
      </c>
      <c r="B3" s="579">
        <f ca="1">ROUND(B2*10000/(IF(B1="",'数据-汇总表'!E3,INDIRECT("'数据-取费表'!k"&amp;$G$1))),0)</f>
        <v>23586</v>
      </c>
      <c r="C3" s="85" t="s">
        <v>866</v>
      </c>
      <c r="D3" s="574"/>
      <c r="E3" s="574"/>
      <c r="F3" s="574"/>
      <c r="G3" s="574"/>
    </row>
    <row r="4" spans="1:9" s="583" customFormat="1" ht="15.75">
      <c r="A4" s="580" t="s">
        <v>818</v>
      </c>
      <c r="B4" s="581"/>
      <c r="C4" s="581"/>
      <c r="D4" s="581"/>
      <c r="E4" s="581"/>
      <c r="F4" s="581"/>
      <c r="G4" s="582"/>
    </row>
    <row r="5" spans="1:9" s="589" customFormat="1" ht="13.5" customHeight="1">
      <c r="A5" s="630" t="s">
        <v>2503</v>
      </c>
      <c r="B5" s="585" t="s">
        <v>819</v>
      </c>
      <c r="C5" s="586">
        <f ca="1">C6+C7+C8</f>
        <v>42195</v>
      </c>
      <c r="D5" s="586" t="s">
        <v>820</v>
      </c>
      <c r="E5" s="587" t="s">
        <v>821</v>
      </c>
      <c r="F5" s="587" t="s">
        <v>822</v>
      </c>
      <c r="G5" s="588"/>
    </row>
    <row r="6" spans="1:9" s="589" customFormat="1" ht="13.5" customHeight="1">
      <c r="A6" s="1802" t="s">
        <v>1921</v>
      </c>
      <c r="B6" s="590" t="s">
        <v>823</v>
      </c>
      <c r="C6" s="591">
        <f>'土地比较法-住宅、综合'!B2</f>
        <v>40496</v>
      </c>
      <c r="D6" s="592"/>
      <c r="E6" s="593"/>
      <c r="F6" s="593"/>
      <c r="G6" s="594"/>
    </row>
    <row r="7" spans="1:9" s="589" customFormat="1" ht="13.5" customHeight="1">
      <c r="A7" s="1802" t="s">
        <v>1922</v>
      </c>
      <c r="B7" s="590" t="s">
        <v>346</v>
      </c>
      <c r="C7" s="595">
        <f>ROUND(C6*F7,0)</f>
        <v>1235</v>
      </c>
      <c r="D7" s="595"/>
      <c r="E7" s="593"/>
      <c r="F7" s="596">
        <f>'数据-取费表'!B48+'数据-取费表'!B49</f>
        <v>3.0499999999999999E-2</v>
      </c>
      <c r="G7" s="594"/>
    </row>
    <row r="8" spans="1:9" s="598" customFormat="1">
      <c r="A8" s="1802" t="s">
        <v>1923</v>
      </c>
      <c r="B8" s="590" t="s">
        <v>824</v>
      </c>
      <c r="C8" s="595">
        <f ca="1">IF(G8="已包含在土地购买价格中","0",IF(B1="",'数据-取费表'!B29,IF(G9="全部缴纳",C9+C10,H9)))</f>
        <v>464</v>
      </c>
      <c r="D8" s="597"/>
      <c r="E8" s="595"/>
      <c r="F8" s="596"/>
      <c r="G8" s="84" t="s">
        <v>3180</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9" t="s">
        <v>3301</v>
      </c>
      <c r="H9" s="2800"/>
      <c r="I9" s="2801" t="s">
        <v>2685</v>
      </c>
    </row>
    <row r="10" spans="1:9" s="589" customFormat="1" ht="13.5" customHeight="1">
      <c r="A10" s="1803" t="s">
        <v>1931</v>
      </c>
      <c r="B10" s="599" t="s">
        <v>826</v>
      </c>
      <c r="C10" s="600">
        <f ca="1">ROUND(D10*E10/10000,0)</f>
        <v>464</v>
      </c>
      <c r="D10" s="1907">
        <f ca="1">IF(B1="",'数据-汇总表'!E6,IF(INDIRECT("'数据-取费表'!c"&amp;$G$1)="住宅",INDIRECT("'数据-取费表'!s"&amp;$G$1),INDIRECT("'数据-取费表'!k"&amp;$G$1)+INDIRECT("'数据-取费表'!s"&amp;$G$1)))</f>
        <v>28973.439999999999</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t="str">
        <f>IF(G19="已包含在土地取得成本中","0",ROUND(D19*E19/10000,0))</f>
        <v>0</v>
      </c>
      <c r="D19" s="1911">
        <f ca="1">D9+D10</f>
        <v>28973.439999999999</v>
      </c>
      <c r="E19" s="586">
        <f>'数据-取费表'!B31</f>
        <v>0</v>
      </c>
      <c r="F19" s="606"/>
      <c r="G19" s="84" t="s">
        <v>3181</v>
      </c>
    </row>
    <row r="20" spans="1:7" s="589" customFormat="1" ht="13.5" customHeight="1">
      <c r="A20" s="1801" t="s">
        <v>2506</v>
      </c>
      <c r="B20" s="585" t="s">
        <v>836</v>
      </c>
      <c r="C20" s="607">
        <f ca="1">ROUND((C5+C19)*F20,0)</f>
        <v>844</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4144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699">
        <f ca="1">ROUND(IF('数据-取费表'!B22&lt;=1,C5*F22*'数据-取费表'!B23,C5*(POWER((1+F22),'数据-取费表'!B23)-1)),0)</f>
        <v>4104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40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 ca="1">C28</f>
        <v>8608</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ROUND((C5+C19+C20)*F27*'数据-取费表'!B21/'数据-取费表'!B20,0)</f>
        <v>8608</v>
      </c>
      <c r="D28" s="610"/>
      <c r="E28" s="611"/>
      <c r="F28" s="621"/>
      <c r="G28" s="622"/>
    </row>
    <row r="29" spans="1:7" s="589" customFormat="1" ht="13.5" customHeight="1">
      <c r="A29" s="1804" t="s">
        <v>1922</v>
      </c>
      <c r="B29" s="623" t="s">
        <v>2512</v>
      </c>
      <c r="C29" s="613">
        <f ca="1">ROUND(C21*F27*'数据-取费表'!B21/'数据-取费表'!B20,4)</f>
        <v>4.0000000000000001E-3</v>
      </c>
      <c r="D29" s="610"/>
      <c r="E29" s="611"/>
      <c r="F29" s="621"/>
      <c r="G29" s="622"/>
    </row>
    <row r="30" spans="1:7" s="589" customFormat="1" ht="13.5" customHeight="1">
      <c r="A30" s="1801" t="s">
        <v>1918</v>
      </c>
      <c r="B30" s="585" t="s">
        <v>347</v>
      </c>
      <c r="C30" s="610">
        <f>ROUND(F30/(1+'数据-取费表'!C42),4)</f>
        <v>5.2400000000000002E-2</v>
      </c>
      <c r="D30" s="611" t="s">
        <v>2937</v>
      </c>
      <c r="E30" s="616"/>
      <c r="F30" s="612">
        <f>'数据-取费表'!B41</f>
        <v>5.5000000000000007E-2</v>
      </c>
      <c r="G30" s="2619" t="s">
        <v>2938</v>
      </c>
    </row>
    <row r="31" spans="1:7" ht="16.5" customHeight="1">
      <c r="A31" s="584">
        <v>1</v>
      </c>
      <c r="B31" s="585" t="s">
        <v>860</v>
      </c>
      <c r="C31" s="586">
        <f ca="1">ROUND((C5+C19+C20+C22+C27)/(1-C21-D22-D27-C30),0)</f>
        <v>60471</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8148</v>
      </c>
      <c r="D33" s="607"/>
      <c r="E33" s="587"/>
      <c r="F33" s="616"/>
      <c r="G33" s="609"/>
    </row>
    <row r="34" spans="1:7" s="633" customFormat="1" ht="13.5" customHeight="1">
      <c r="A34" s="1804" t="s">
        <v>1921</v>
      </c>
      <c r="B34" s="590" t="s">
        <v>348</v>
      </c>
      <c r="C34" s="595">
        <f ca="1">IF(B1="",IF(F34=100%,'数据-取费表'!M16,'数据-取费表'!O16),IF(F34=100%,INDIRECT("'数据-取费表'!m"&amp;$G$1)+INDIRECT("'数据-取费表'!t"&amp;$G$1),INDIRECT("'数据-取费表'!o"&amp;$G$1)+INDIRECT("'数据-取费表'!aq"&amp;$G$1)))</f>
        <v>7243</v>
      </c>
      <c r="D34" s="592"/>
      <c r="E34" s="595"/>
      <c r="F34" s="632">
        <f ca="1">IF('数据-取费表'!B24=0,1,IF(B1="",'数据-取费表'!N16,INDIRECT("'数据-取费表'!n"&amp;$G$1)))</f>
        <v>1</v>
      </c>
      <c r="G34" s="594" t="s">
        <v>848</v>
      </c>
    </row>
    <row r="35" spans="1:7" ht="13.5" customHeight="1">
      <c r="A35" s="1804" t="s">
        <v>1926</v>
      </c>
      <c r="B35" s="590" t="s">
        <v>349</v>
      </c>
      <c r="C35" s="595">
        <f ca="1">ROUND(C34*F35,0)</f>
        <v>217</v>
      </c>
      <c r="D35" s="595"/>
      <c r="E35" s="595"/>
      <c r="F35" s="634">
        <f>'数据-取费表'!B33</f>
        <v>0.03</v>
      </c>
      <c r="G35" s="594" t="s">
        <v>849</v>
      </c>
    </row>
    <row r="36" spans="1:7" ht="24">
      <c r="A36" s="1804" t="s">
        <v>1927</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4" t="s">
        <v>1928</v>
      </c>
      <c r="B37" s="590" t="s">
        <v>850</v>
      </c>
      <c r="C37" s="624">
        <f ca="1">ROUND(E37*D37*F34/10000,0)</f>
        <v>579</v>
      </c>
      <c r="D37" s="592">
        <f ca="1">D19</f>
        <v>28973.439999999999</v>
      </c>
      <c r="E37" s="624">
        <f>'数据-取费表'!B35</f>
        <v>200</v>
      </c>
      <c r="F37" s="634"/>
      <c r="G37" s="636" t="s">
        <v>851</v>
      </c>
    </row>
    <row r="38" spans="1:7" ht="13.5" customHeight="1">
      <c r="A38" s="1804" t="s">
        <v>1929</v>
      </c>
      <c r="B38" s="590" t="s">
        <v>352</v>
      </c>
      <c r="C38" s="595">
        <f ca="1">ROUND(C34*F38,0)</f>
        <v>109</v>
      </c>
      <c r="D38" s="595"/>
      <c r="E38" s="595"/>
      <c r="F38" s="634">
        <f>'数据-取费表'!B36</f>
        <v>1.4999999999999999E-2</v>
      </c>
      <c r="G38" s="594" t="s">
        <v>849</v>
      </c>
    </row>
    <row r="39" spans="1:7" s="589" customFormat="1" ht="13.5" customHeight="1">
      <c r="A39" s="1801" t="s">
        <v>1913</v>
      </c>
      <c r="B39" s="585" t="s">
        <v>836</v>
      </c>
      <c r="C39" s="607">
        <f ca="1">ROUND(C33*F20,0)</f>
        <v>163</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395</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ROUND(IF('数据-取费表'!B22&lt;=1,C33*F22*'数据-取费表'!B21/2,C33*(POWER((1+F22),'数据-取费表'!B21/2)-1)),0)</f>
        <v>387</v>
      </c>
      <c r="D42" s="613"/>
      <c r="E42" s="613"/>
      <c r="F42" s="614"/>
      <c r="G42" s="3620" t="s">
        <v>853</v>
      </c>
    </row>
    <row r="43" spans="1:7" ht="13.5" customHeight="1">
      <c r="A43" s="1804" t="s">
        <v>1922</v>
      </c>
      <c r="B43" s="590" t="s">
        <v>2513</v>
      </c>
      <c r="C43" s="613">
        <f ca="1">ROUND(IF('数据-取费表'!B22&lt;=1,C39*F22*'数据-取费表'!B21/2,C39*(POWER((1+F22),'数据-取费表'!B21/2)-1)),0)</f>
        <v>8</v>
      </c>
      <c r="D43" s="613"/>
      <c r="E43" s="613"/>
      <c r="F43" s="614"/>
      <c r="G43" s="3621"/>
    </row>
    <row r="44" spans="1:7" ht="13.5" customHeight="1">
      <c r="A44" s="1804" t="s">
        <v>1923</v>
      </c>
      <c r="B44" s="590" t="s">
        <v>2515</v>
      </c>
      <c r="C44" s="613">
        <f ca="1">ROUND(IF('数据-取费表'!B22&lt;=1,C40*F22*'数据-取费表'!B21/2,C40*(POWER((1+F22),'数据-取费表'!B21/2)-1)),4)</f>
        <v>1E-3</v>
      </c>
      <c r="D44" s="613"/>
      <c r="E44" s="613"/>
      <c r="F44" s="614"/>
      <c r="G44" s="3622"/>
    </row>
    <row r="45" spans="1:7" s="589" customFormat="1" ht="13.5" customHeight="1">
      <c r="A45" s="1801" t="s">
        <v>1916</v>
      </c>
      <c r="B45" s="619" t="s">
        <v>844</v>
      </c>
      <c r="C45" s="620">
        <f ca="1">C46</f>
        <v>1662</v>
      </c>
      <c r="D45" s="610">
        <f ca="1">C47</f>
        <v>4.0000000000000001E-3</v>
      </c>
      <c r="E45" s="611" t="s">
        <v>861</v>
      </c>
      <c r="F45" s="621"/>
      <c r="G45" s="622" t="s">
        <v>2521</v>
      </c>
    </row>
    <row r="46" spans="1:7" s="589" customFormat="1" ht="13.5" customHeight="1">
      <c r="A46" s="1804" t="s">
        <v>1921</v>
      </c>
      <c r="B46" s="623" t="s">
        <v>2514</v>
      </c>
      <c r="C46" s="624">
        <f ca="1">ROUND((C33+C39)*F27,0)</f>
        <v>1662</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3232">
        <f>ROUND(F30/(1+'数据-取费表'!C42),4)</f>
        <v>5.2400000000000002E-2</v>
      </c>
      <c r="D48" s="611" t="s">
        <v>2939</v>
      </c>
      <c r="E48" s="607"/>
      <c r="F48" s="612"/>
      <c r="G48" s="2619" t="s">
        <v>2940</v>
      </c>
    </row>
    <row r="49" spans="1:7" ht="16.5" customHeight="1">
      <c r="A49" s="1801" t="s">
        <v>1918</v>
      </c>
      <c r="B49" s="585" t="s">
        <v>863</v>
      </c>
      <c r="C49" s="607">
        <f ca="1">ROUND((C33+C39+C41+C45)/(1-C40-D41-D45-C48),0)</f>
        <v>11238</v>
      </c>
      <c r="D49" s="607"/>
      <c r="E49" s="607"/>
      <c r="F49" s="639"/>
      <c r="G49" s="609" t="s">
        <v>2522</v>
      </c>
    </row>
    <row r="50" spans="1:7" s="633" customFormat="1" ht="24">
      <c r="A50" s="1801" t="s">
        <v>1919</v>
      </c>
      <c r="B50" s="585" t="s">
        <v>856</v>
      </c>
      <c r="C50" s="607"/>
      <c r="D50" s="607"/>
      <c r="E50" s="607"/>
      <c r="F50" s="639">
        <f>IF('数据-取费表'!B24=0,'数据-取费表'!N16,1)</f>
        <v>0.7</v>
      </c>
      <c r="G50" s="622" t="s">
        <v>857</v>
      </c>
    </row>
    <row r="51" spans="1:7" ht="16.5" customHeight="1">
      <c r="A51" s="1801" t="s">
        <v>1920</v>
      </c>
      <c r="B51" s="585" t="s">
        <v>864</v>
      </c>
      <c r="C51" s="607">
        <f ca="1">ROUND(C49*F50,0)</f>
        <v>7867</v>
      </c>
      <c r="D51" s="607"/>
      <c r="E51" s="607"/>
      <c r="F51" s="639"/>
      <c r="G51" s="609" t="s">
        <v>353</v>
      </c>
    </row>
    <row r="52" spans="1:7" s="583" customFormat="1" ht="16.5" thickBot="1">
      <c r="A52" s="640" t="s">
        <v>354</v>
      </c>
      <c r="B52" s="641"/>
      <c r="C52" s="642">
        <f ca="1">C31+C51</f>
        <v>68338</v>
      </c>
      <c r="D52" s="641"/>
      <c r="E52" s="641"/>
      <c r="F52" s="641"/>
      <c r="G52" s="643"/>
    </row>
    <row r="55" spans="1:7" ht="15">
      <c r="B55" s="645" t="s">
        <v>355</v>
      </c>
      <c r="C55" s="646"/>
    </row>
    <row r="56" spans="1:7">
      <c r="B56" s="2871" t="s">
        <v>2697</v>
      </c>
      <c r="C56" s="650">
        <f ca="1">1-C57</f>
        <v>0.88500000000000001</v>
      </c>
    </row>
    <row r="57" spans="1:7">
      <c r="B57" s="2871" t="s">
        <v>2696</v>
      </c>
      <c r="C57" s="649">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27" t="str">
        <f>项目基本情况!B1</f>
        <v>北京市怀柔区杨宋镇凤翔二园1号1-7幢房地产抵押价值预评估</v>
      </c>
      <c r="C37" s="3427"/>
      <c r="D37" s="3427"/>
      <c r="E37" s="3427"/>
      <c r="F37" s="3427"/>
      <c r="G37" s="3427"/>
      <c r="H37" s="3427"/>
      <c r="I37" s="3427"/>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刘梅（注册号：1120140022)、吴薇（注册号：1419970001)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1"/>
      <c r="C1" s="2756" t="s">
        <v>2627</v>
      </c>
      <c r="D1" s="573"/>
      <c r="E1" s="573"/>
      <c r="F1" s="573"/>
      <c r="G1" s="2752">
        <f>MATCH(B1,'数据-取费表'!A6:A16,0)+5</f>
        <v>7</v>
      </c>
      <c r="H1" s="2583" t="str">
        <f>IF(ISERROR(FIND("住宅",B1)),"非住宅","住宅")</f>
        <v>非住宅</v>
      </c>
    </row>
    <row r="2" spans="1:8" s="575" customFormat="1" ht="18" customHeight="1">
      <c r="A2" s="576" t="s">
        <v>344</v>
      </c>
      <c r="B2" s="577">
        <f ca="1">ROUND(IF(D2="——",C52/10000,C52/10000-E2),0)</f>
        <v>8532</v>
      </c>
      <c r="C2" s="85" t="s">
        <v>865</v>
      </c>
      <c r="D2" s="2869" t="s">
        <v>530</v>
      </c>
      <c r="E2" s="2867" t="e">
        <f ca="1">SUMIF(INDIRECT("'"&amp;G2&amp;"'"&amp;"!A:A"),"承租人权益价值",INDIRECT("'"&amp;G2&amp;"'"&amp;"!c:c"))</f>
        <v>#REF!</v>
      </c>
      <c r="F2" s="2865" t="s">
        <v>865</v>
      </c>
      <c r="G2" s="2868"/>
    </row>
    <row r="3" spans="1:8" s="575" customFormat="1" ht="18" customHeight="1" thickBot="1">
      <c r="A3" s="578" t="s">
        <v>345</v>
      </c>
      <c r="B3" s="579">
        <f ca="1">ROUND(B2*10000/(IF(B1="",'数据-汇总表'!E3,INDIRECT("'数据-取费表'!k"&amp;$G$1))),0)</f>
        <v>2945</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4635750</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346</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4635750</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4635750</v>
      </c>
      <c r="D10" s="1907">
        <f ca="1">IF(B1="",'数据-汇总表'!E6,IF(INDIRECT("'数据-取费表'!c"&amp;$G$1)="住宅",INDIRECT("'数据-取费表'!s"&amp;$G$1),INDIRECT("'数据-取费表'!k"&amp;$G$1)+INDIRECT("'数据-取费表'!s"&amp;$G$1)))</f>
        <v>28973.439999999999</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0</v>
      </c>
      <c r="D19" s="1911">
        <f ca="1">D9+D10</f>
        <v>28973.439999999999</v>
      </c>
      <c r="E19" s="586">
        <f>'数据-取费表'!B31</f>
        <v>0</v>
      </c>
      <c r="F19" s="606"/>
      <c r="G19" s="84"/>
    </row>
    <row r="20" spans="1:7" s="589" customFormat="1" ht="13.5" customHeight="1">
      <c r="A20" s="1801" t="s">
        <v>1914</v>
      </c>
      <c r="B20" s="585" t="s">
        <v>836</v>
      </c>
      <c r="C20" s="607">
        <f ca="1">ROUND((C5+C19)*F20,0)</f>
        <v>92715</v>
      </c>
      <c r="D20" s="607"/>
      <c r="E20" s="607"/>
      <c r="F20" s="608">
        <f>'数据-取费表'!B37</f>
        <v>0.02</v>
      </c>
      <c r="G20" s="2619" t="s">
        <v>2517</v>
      </c>
    </row>
    <row r="21" spans="1:7" s="589" customFormat="1" ht="13.5" customHeight="1">
      <c r="A21" s="1801" t="s">
        <v>1915</v>
      </c>
      <c r="B21" s="585" t="s">
        <v>837</v>
      </c>
      <c r="C21" s="610">
        <f>F21</f>
        <v>0.02</v>
      </c>
      <c r="D21" s="611" t="s">
        <v>858</v>
      </c>
      <c r="E21" s="607"/>
      <c r="F21" s="608">
        <f>'数据-取费表'!B38</f>
        <v>0.02</v>
      </c>
      <c r="G21" s="609" t="s">
        <v>838</v>
      </c>
    </row>
    <row r="22" spans="1:7" s="589" customFormat="1" ht="13.5" customHeight="1">
      <c r="A22" s="1801" t="s">
        <v>1916</v>
      </c>
      <c r="B22" s="585" t="s">
        <v>839</v>
      </c>
      <c r="C22" s="2753">
        <f ca="1">ROUND(SUM(C23:C25),0)</f>
        <v>455260</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754">
        <f ca="1">ROUND(IF('数据-取费表'!B22&lt;=1,C5*F22*'数据-取费表'!B22,C5*(POWER((1+F22),'数据-取费表'!B22)-1)),0)</f>
        <v>450856</v>
      </c>
      <c r="D23" s="613"/>
      <c r="E23" s="613"/>
      <c r="F23" s="614"/>
      <c r="G23" s="615" t="s">
        <v>840</v>
      </c>
    </row>
    <row r="24" spans="1:7" s="589" customFormat="1" ht="13.5" customHeight="1">
      <c r="A24" s="1804" t="s">
        <v>1922</v>
      </c>
      <c r="B24" s="590" t="s">
        <v>2505</v>
      </c>
      <c r="C24" s="2754">
        <f ca="1">ROUND(IF('数据-取费表'!B22&lt;=1,C19*F22*('数据-取费表'!B19/2+'数据-取费表'!B20),C19*(POWER((1+F22),('数据-取费表'!B19/2+'数据-取费表'!B20))-1)),0)</f>
        <v>0</v>
      </c>
      <c r="D24" s="613"/>
      <c r="E24" s="613"/>
      <c r="F24" s="614"/>
      <c r="G24" s="615" t="s">
        <v>841</v>
      </c>
    </row>
    <row r="25" spans="1:7" s="589" customFormat="1" ht="24">
      <c r="A25" s="1804" t="s">
        <v>1923</v>
      </c>
      <c r="B25" s="590" t="s">
        <v>2507</v>
      </c>
      <c r="C25" s="2754">
        <f ca="1">ROUND(IF('数据-取费表'!B22&lt;=1,C20*F22*'数据-取费表'!B22/2,C20*(POWER((1+F22),'数据-取费表'!B22/2)-1)),0)</f>
        <v>4404</v>
      </c>
      <c r="D25" s="613"/>
      <c r="E25" s="616"/>
      <c r="F25" s="614"/>
      <c r="G25" s="617" t="s">
        <v>842</v>
      </c>
    </row>
    <row r="26" spans="1:7" s="589" customFormat="1">
      <c r="A26" s="1804" t="s">
        <v>1925</v>
      </c>
      <c r="B26" s="590" t="s">
        <v>2509</v>
      </c>
      <c r="C26" s="613">
        <f ca="1">ROUND(IF('数据-取费表'!B22&lt;=1,F21*F22*'数据-取费表'!B22/2,F21*(POWER((1+F22),'数据-取费表'!B22/2)-1)),4)</f>
        <v>1E-3</v>
      </c>
      <c r="D26" s="613"/>
      <c r="E26" s="616"/>
      <c r="F26" s="614"/>
      <c r="G26" s="618"/>
    </row>
    <row r="27" spans="1:7" s="589" customFormat="1" ht="24.75">
      <c r="A27" s="1801" t="s">
        <v>1917</v>
      </c>
      <c r="B27" s="619" t="s">
        <v>844</v>
      </c>
      <c r="C27" s="620">
        <f ca="1">C28</f>
        <v>945693</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ROUND((C5+C19+C20)*F27,0)</f>
        <v>945693</v>
      </c>
      <c r="D28" s="610"/>
      <c r="E28" s="611"/>
      <c r="F28" s="621"/>
      <c r="G28" s="622"/>
    </row>
    <row r="29" spans="1:7" s="589" customFormat="1" ht="13.5" customHeight="1">
      <c r="A29" s="1804" t="s">
        <v>1922</v>
      </c>
      <c r="B29" s="623" t="s">
        <v>2512</v>
      </c>
      <c r="C29" s="613">
        <f ca="1">ROUND(C21*F27,4)</f>
        <v>4.0000000000000001E-3</v>
      </c>
      <c r="D29" s="610"/>
      <c r="E29" s="611"/>
      <c r="F29" s="621"/>
      <c r="G29" s="622"/>
    </row>
    <row r="30" spans="1:7" s="589" customFormat="1" ht="13.5" customHeight="1">
      <c r="A30" s="1801" t="s">
        <v>1918</v>
      </c>
      <c r="B30" s="585" t="s">
        <v>347</v>
      </c>
      <c r="C30" s="610">
        <f>ROUND(F30/(1+'数据-取费表'!C42),4)</f>
        <v>5.2400000000000002E-2</v>
      </c>
      <c r="D30" s="611" t="s">
        <v>2941</v>
      </c>
      <c r="E30" s="616"/>
      <c r="F30" s="612">
        <f>'数据-取费表'!B41</f>
        <v>5.5000000000000007E-2</v>
      </c>
      <c r="G30" s="2619" t="s">
        <v>2942</v>
      </c>
    </row>
    <row r="31" spans="1:7" ht="16.5" customHeight="1">
      <c r="A31" s="584">
        <v>1</v>
      </c>
      <c r="B31" s="585" t="s">
        <v>860</v>
      </c>
      <c r="C31" s="586">
        <f ca="1">ROUND((C5+C19+C20+C22+C27)/(1-C21-D22-D27-C30),0)</f>
        <v>6643635</v>
      </c>
      <c r="D31" s="605"/>
      <c r="E31" s="586"/>
      <c r="F31" s="625"/>
      <c r="G31" s="609" t="s">
        <v>2519</v>
      </c>
    </row>
    <row r="32" spans="1:7" s="583" customFormat="1" ht="15.75">
      <c r="A32" s="627" t="s">
        <v>2622</v>
      </c>
      <c r="B32" s="628"/>
      <c r="C32" s="628"/>
      <c r="D32" s="628"/>
      <c r="E32" s="628"/>
      <c r="F32" s="628"/>
      <c r="G32" s="629"/>
    </row>
    <row r="33" spans="1:7" s="589" customFormat="1" ht="13.5" customHeight="1">
      <c r="A33" s="630" t="s">
        <v>1912</v>
      </c>
      <c r="B33" s="2755" t="s">
        <v>2623</v>
      </c>
      <c r="C33" s="631">
        <f ca="1">SUM(C34:C38)</f>
        <v>81487800</v>
      </c>
      <c r="D33" s="607"/>
      <c r="E33" s="587"/>
      <c r="F33" s="616"/>
      <c r="G33" s="609"/>
    </row>
    <row r="34" spans="1:7" s="633" customFormat="1" ht="13.5" customHeight="1">
      <c r="A34" s="1804" t="s">
        <v>1921</v>
      </c>
      <c r="B34" s="590" t="s">
        <v>348</v>
      </c>
      <c r="C34" s="595">
        <f ca="1">ROUND(IF(B1="",SUMPRODUCT('数据-取费表'!K6:K14,'数据-取费表'!L6:L14),INDIRECT("'数据-取费表'!l"&amp;$G$1)*INDIRECT("'数据-取费表'!k"&amp;$G$1)+'数据-取费表'!L14*INDIRECT("'数据-取费表'!S"&amp;$G$1)),0)</f>
        <v>72433600</v>
      </c>
      <c r="D34" s="592"/>
      <c r="E34" s="595"/>
      <c r="F34" s="632"/>
      <c r="G34" s="594"/>
    </row>
    <row r="35" spans="1:7" ht="13.5" customHeight="1">
      <c r="A35" s="1804" t="s">
        <v>1926</v>
      </c>
      <c r="B35" s="590" t="s">
        <v>349</v>
      </c>
      <c r="C35" s="595">
        <f ca="1">ROUND(C34*F35,0)</f>
        <v>2173008</v>
      </c>
      <c r="D35" s="595"/>
      <c r="E35" s="595"/>
      <c r="F35" s="634">
        <f>'数据-取费表'!B33</f>
        <v>0.03</v>
      </c>
      <c r="G35" s="594" t="s">
        <v>849</v>
      </c>
    </row>
    <row r="36" spans="1:7" ht="24">
      <c r="A36" s="1804" t="s">
        <v>1927</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4" t="s">
        <v>1928</v>
      </c>
      <c r="B37" s="590" t="s">
        <v>850</v>
      </c>
      <c r="C37" s="624">
        <f ca="1">ROUND(E37*D37,0)</f>
        <v>5794688</v>
      </c>
      <c r="D37" s="592">
        <f ca="1">D19</f>
        <v>28973.439999999999</v>
      </c>
      <c r="E37" s="624">
        <f>'数据-取费表'!B35</f>
        <v>200</v>
      </c>
      <c r="F37" s="634"/>
      <c r="G37" s="636"/>
    </row>
    <row r="38" spans="1:7" ht="13.5" customHeight="1">
      <c r="A38" s="1804" t="s">
        <v>1929</v>
      </c>
      <c r="B38" s="590" t="s">
        <v>352</v>
      </c>
      <c r="C38" s="595">
        <f ca="1">ROUND(C34*F38,0)</f>
        <v>1086504</v>
      </c>
      <c r="D38" s="595"/>
      <c r="E38" s="595"/>
      <c r="F38" s="634">
        <f>'数据-取费表'!B36</f>
        <v>1.4999999999999999E-2</v>
      </c>
      <c r="G38" s="594" t="s">
        <v>849</v>
      </c>
    </row>
    <row r="39" spans="1:7" s="589" customFormat="1" ht="13.5" customHeight="1">
      <c r="A39" s="1801" t="s">
        <v>1913</v>
      </c>
      <c r="B39" s="585" t="s">
        <v>836</v>
      </c>
      <c r="C39" s="607">
        <f ca="1">ROUND(C33*F20,0)</f>
        <v>1629756</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3948084</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ROUND(IF('数据-取费表'!B22&lt;=1,C33*F22*'数据-取费表'!B20/2,C33*(POWER((1+F22),'数据-取费表'!B20/2)-1)),0)</f>
        <v>3870671</v>
      </c>
      <c r="D42" s="613"/>
      <c r="E42" s="613"/>
      <c r="F42" s="614"/>
      <c r="G42" s="3623" t="s">
        <v>2626</v>
      </c>
    </row>
    <row r="43" spans="1:7" ht="13.5" customHeight="1">
      <c r="A43" s="1804" t="s">
        <v>1922</v>
      </c>
      <c r="B43" s="590" t="s">
        <v>2505</v>
      </c>
      <c r="C43" s="613">
        <f ca="1">ROUND(IF('数据-取费表'!B22&lt;=1,C39*F22*'数据-取费表'!B20/2,C39*(POWER((1+F22),'数据-取费表'!B20/2)-1)),0)</f>
        <v>77413</v>
      </c>
      <c r="D43" s="613"/>
      <c r="E43" s="613"/>
      <c r="F43" s="614"/>
      <c r="G43" s="3621"/>
    </row>
    <row r="44" spans="1:7" ht="13.5" customHeight="1">
      <c r="A44" s="1804" t="s">
        <v>1923</v>
      </c>
      <c r="B44" s="590" t="s">
        <v>2507</v>
      </c>
      <c r="C44" s="613">
        <f ca="1">ROUND(IF('数据-取费表'!B22&lt;=1,C40*F22*'数据-取费表'!B20/2,C40*(POWER((1+F22),'数据-取费表'!B20/2)-1)),4)</f>
        <v>1E-3</v>
      </c>
      <c r="D44" s="613"/>
      <c r="E44" s="613"/>
      <c r="F44" s="614"/>
      <c r="G44" s="3622"/>
    </row>
    <row r="45" spans="1:7" s="589" customFormat="1" ht="13.5" customHeight="1">
      <c r="A45" s="1801" t="s">
        <v>1916</v>
      </c>
      <c r="B45" s="619" t="s">
        <v>844</v>
      </c>
      <c r="C45" s="620">
        <f ca="1">C46</f>
        <v>16623511</v>
      </c>
      <c r="D45" s="610">
        <f ca="1">C47</f>
        <v>4.0000000000000001E-3</v>
      </c>
      <c r="E45" s="611" t="s">
        <v>861</v>
      </c>
      <c r="F45" s="621"/>
      <c r="G45" s="622" t="s">
        <v>2521</v>
      </c>
    </row>
    <row r="46" spans="1:7" s="589" customFormat="1" ht="13.5" customHeight="1">
      <c r="A46" s="1804" t="s">
        <v>1921</v>
      </c>
      <c r="B46" s="623" t="s">
        <v>2514</v>
      </c>
      <c r="C46" s="624">
        <f ca="1">ROUND((C33+C39)*F27,0)</f>
        <v>16623511</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637">
        <f>ROUND(F30/(1+'数据-取费表'!C42),4)</f>
        <v>5.2400000000000002E-2</v>
      </c>
      <c r="D48" s="611" t="s">
        <v>2939</v>
      </c>
      <c r="E48" s="607"/>
      <c r="F48" s="612"/>
      <c r="G48" s="2619" t="s">
        <v>2940</v>
      </c>
    </row>
    <row r="49" spans="1:7" ht="16.5" customHeight="1">
      <c r="A49" s="1801" t="s">
        <v>1918</v>
      </c>
      <c r="B49" s="585" t="s">
        <v>2624</v>
      </c>
      <c r="C49" s="607">
        <f ca="1">ROUND((C33+C39+C41+C45)/(1-C40-D41-D45-C48),0)</f>
        <v>112387981</v>
      </c>
      <c r="D49" s="607"/>
      <c r="E49" s="607"/>
      <c r="F49" s="639"/>
      <c r="G49" s="609" t="s">
        <v>2522</v>
      </c>
    </row>
    <row r="50" spans="1:7" s="633" customFormat="1">
      <c r="A50" s="1801" t="s">
        <v>1919</v>
      </c>
      <c r="B50" s="585" t="s">
        <v>856</v>
      </c>
      <c r="C50" s="607"/>
      <c r="D50" s="607"/>
      <c r="E50" s="607"/>
      <c r="F50" s="639">
        <f>IF('数据-取费表'!B24=0,'数据-取费表'!N16,1)</f>
        <v>0.7</v>
      </c>
      <c r="G50" s="622"/>
    </row>
    <row r="51" spans="1:7" ht="16.5" customHeight="1">
      <c r="A51" s="1801" t="s">
        <v>1920</v>
      </c>
      <c r="B51" s="585" t="s">
        <v>2625</v>
      </c>
      <c r="C51" s="607">
        <f ca="1">ROUND(C49*F50,0)</f>
        <v>78671587</v>
      </c>
      <c r="D51" s="607"/>
      <c r="E51" s="607"/>
      <c r="F51" s="639"/>
      <c r="G51" s="609" t="s">
        <v>353</v>
      </c>
    </row>
    <row r="52" spans="1:7" s="583" customFormat="1" ht="16.5" thickBot="1">
      <c r="A52" s="640" t="s">
        <v>354</v>
      </c>
      <c r="B52" s="641"/>
      <c r="C52" s="642">
        <f ca="1">C31+C51</f>
        <v>85315222</v>
      </c>
      <c r="D52" s="641"/>
      <c r="E52" s="641"/>
      <c r="F52" s="641"/>
      <c r="G52" s="643"/>
    </row>
    <row r="55" spans="1:7" ht="15">
      <c r="B55" s="645" t="s">
        <v>355</v>
      </c>
      <c r="C55" s="646"/>
    </row>
    <row r="56" spans="1:7">
      <c r="B56" s="2871" t="s">
        <v>2697</v>
      </c>
      <c r="C56" s="650">
        <f ca="1">1-C57</f>
        <v>7.7999999999999958E-2</v>
      </c>
    </row>
    <row r="57" spans="1:7">
      <c r="B57" s="2871" t="s">
        <v>2696</v>
      </c>
      <c r="C57" s="649">
        <f ca="1">ROUND(C51/C52,3)</f>
        <v>0.92200000000000004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1" t="s">
        <v>203</v>
      </c>
      <c r="D5" s="1271" t="s">
        <v>204</v>
      </c>
      <c r="E5" s="1271" t="s">
        <v>194</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2945</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2946</v>
      </c>
      <c r="B12" s="1826" t="s">
        <v>880</v>
      </c>
      <c r="C12" s="312">
        <f ca="1">ROUND(C11*F12,0)</f>
        <v>0</v>
      </c>
      <c r="D12" s="1827"/>
      <c r="E12" s="714"/>
      <c r="F12" s="1830">
        <f>'数据-取费表'!B33</f>
        <v>0.03</v>
      </c>
      <c r="G12" s="295" t="s">
        <v>881</v>
      </c>
      <c r="H12" s="1822"/>
      <c r="I12" s="1822"/>
      <c r="J12" s="1822"/>
      <c r="K12" s="1823"/>
    </row>
    <row r="13" spans="1:33" s="1829" customFormat="1" ht="13.5" customHeight="1">
      <c r="A13" s="1825" t="s">
        <v>2947</v>
      </c>
      <c r="B13" s="1826" t="s">
        <v>882</v>
      </c>
      <c r="C13" s="312">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2948</v>
      </c>
      <c r="B14" s="1826" t="s">
        <v>884</v>
      </c>
      <c r="C14" s="312">
        <f ca="1">ROUND(D14*E14*F11/10000,0)</f>
        <v>0</v>
      </c>
      <c r="D14" s="1908">
        <f ca="1">IF(C1="",'数据-汇总表'!E3,INDIRECT("'数据-取费表'!K"&amp;$K$1)+INDIRECT("'数据-取费表'!S"&amp;$K$1))</f>
        <v>28973.439999999999</v>
      </c>
      <c r="E14" s="312">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2949</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2950</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2">
        <f ca="1">ROUND(D17*E17/10000,0)</f>
        <v>0</v>
      </c>
      <c r="D17" s="1908">
        <f ca="1">D14</f>
        <v>28973.439999999999</v>
      </c>
      <c r="E17" s="312">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2951</v>
      </c>
      <c r="B18" s="1826" t="s">
        <v>888</v>
      </c>
      <c r="C18" s="312">
        <f ca="1">C19+C20-IF(C1="",'数据-取费表'!B29,IF(G18="已全部缴纳",C19+C20,H18))</f>
        <v>0</v>
      </c>
      <c r="D18" s="1908"/>
      <c r="E18" s="312"/>
      <c r="F18" s="1830"/>
      <c r="G18" s="3044"/>
      <c r="H18" s="3042"/>
      <c r="I18" s="3043" t="s">
        <v>2796</v>
      </c>
      <c r="J18" s="1833"/>
      <c r="K18" s="1834"/>
    </row>
    <row r="19" spans="1:33" s="1829" customFormat="1" ht="13.5" customHeight="1">
      <c r="A19" s="1825" t="s">
        <v>1935</v>
      </c>
      <c r="B19" s="1826" t="s">
        <v>889</v>
      </c>
      <c r="C19" s="312">
        <f ca="1">ROUND(D19*E19/10000,0)</f>
        <v>0</v>
      </c>
      <c r="D19" s="1908">
        <f ca="1">IF(C1="",'数据-汇总表'!E5,IF(INDIRECT("'数据-取费表'!c"&amp;$K$1)="住宅",INDIRECT("'数据-取费表'!k"&amp;$K$1),0))</f>
        <v>0</v>
      </c>
      <c r="E19" s="312">
        <f>'数据-取费表'!B27</f>
        <v>0</v>
      </c>
      <c r="F19" s="1830"/>
      <c r="G19" s="302"/>
      <c r="H19" s="3046"/>
      <c r="I19" s="1835"/>
      <c r="J19" s="1835"/>
      <c r="K19" s="1836"/>
    </row>
    <row r="20" spans="1:33" s="1829" customFormat="1" ht="13.5" customHeight="1">
      <c r="A20" s="1825" t="s">
        <v>1936</v>
      </c>
      <c r="B20" s="1826" t="s">
        <v>890</v>
      </c>
      <c r="C20" s="312">
        <f ca="1">ROUND(D20*E20/10000,0)</f>
        <v>464</v>
      </c>
      <c r="D20" s="1908">
        <f ca="1">IF(C1="",'数据-汇总表'!E6,IF(INDIRECT("'数据-取费表'!c"&amp;$K$1)="住宅",INDIRECT("'数据-取费表'!s"&amp;$K$1),INDIRECT("'数据-取费表'!k"&amp;$K$1)+INDIRECT("'数据-取费表'!s"&amp;$K$1)))</f>
        <v>28973.439999999999</v>
      </c>
      <c r="E20" s="312">
        <f>'数据-取费表'!B28</f>
        <v>160</v>
      </c>
      <c r="F20" s="1830"/>
      <c r="G20" s="302"/>
      <c r="H20" s="1835"/>
      <c r="I20" s="1835"/>
      <c r="J20" s="1835"/>
      <c r="K20" s="1836"/>
    </row>
    <row r="21" spans="1:33" s="1829" customFormat="1" ht="13.5" customHeight="1">
      <c r="A21" s="1814" t="s">
        <v>1932</v>
      </c>
      <c r="B21" s="1839" t="s">
        <v>893</v>
      </c>
      <c r="C21" s="1840">
        <f ca="1">C16+C17+C18</f>
        <v>0</v>
      </c>
      <c r="D21" s="1841"/>
      <c r="E21" s="656"/>
      <c r="F21" s="656"/>
      <c r="G21" s="470" t="s">
        <v>2523</v>
      </c>
      <c r="H21" s="1833"/>
      <c r="I21" s="1833"/>
      <c r="J21" s="1833"/>
      <c r="K21" s="1834"/>
    </row>
    <row r="22" spans="1:33" s="1829" customFormat="1" ht="13.5" customHeight="1">
      <c r="A22" s="1819" t="s">
        <v>1913</v>
      </c>
      <c r="B22" s="1839" t="s">
        <v>894</v>
      </c>
      <c r="C22" s="1840">
        <f ca="1">ROUND(C21*F22,0)</f>
        <v>0</v>
      </c>
      <c r="D22" s="656"/>
      <c r="E22" s="656"/>
      <c r="F22" s="1842">
        <f>'数据-取费表'!B37</f>
        <v>0.02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0.02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2943</v>
      </c>
      <c r="H24" s="1844"/>
      <c r="I24" s="1844"/>
      <c r="J24" s="1844"/>
      <c r="K24" s="1845"/>
    </row>
    <row r="25" spans="1:33" s="1829" customFormat="1" ht="13.5" customHeight="1">
      <c r="A25" s="1819" t="s">
        <v>1916</v>
      </c>
      <c r="B25" s="1841" t="s">
        <v>899</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900</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2613</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1917</v>
      </c>
      <c r="B28" s="3234" t="s">
        <v>2952</v>
      </c>
      <c r="C28" s="662">
        <f ca="1">C30</f>
        <v>0</v>
      </c>
      <c r="D28" s="655">
        <f ca="1">C29</f>
        <v>0</v>
      </c>
      <c r="E28" s="657" t="s">
        <v>50</v>
      </c>
      <c r="F28" s="663">
        <f ca="1">IF(C1="",'数据-取费表'!Q16,INDIRECT("'数据-取费表'!q"&amp;$K$1))</f>
        <v>0.2</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8" t="s">
        <v>2614</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2944</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3163</v>
      </c>
      <c r="D1" s="1272"/>
      <c r="E1" s="2584" t="s">
        <v>2442</v>
      </c>
      <c r="F1" s="2585">
        <f ca="1">J53</f>
        <v>34.31</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73256</v>
      </c>
      <c r="C2" s="1298" t="s">
        <v>1100</v>
      </c>
      <c r="D2" s="1274"/>
      <c r="E2" s="2574"/>
      <c r="F2" s="1275"/>
      <c r="G2" s="2286"/>
      <c r="H2" s="1273"/>
      <c r="I2" s="1273"/>
      <c r="J2" s="1273"/>
      <c r="K2" s="1297"/>
      <c r="L2" s="1273"/>
      <c r="M2" s="1273"/>
    </row>
    <row r="3" spans="1:37" ht="18" customHeight="1" thickBot="1">
      <c r="A3" s="674" t="s">
        <v>817</v>
      </c>
      <c r="B3" s="1406">
        <f ca="1">IF(ISERROR(B2*10000/F43),0,ROUND(B2*10000/F43,0))</f>
        <v>25284</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2531</v>
      </c>
      <c r="C5" s="2625">
        <f ca="1">C6+C10+C12</f>
        <v>3581</v>
      </c>
      <c r="D5" s="2635" t="s">
        <v>2533</v>
      </c>
      <c r="E5" s="2626"/>
      <c r="F5" s="2627"/>
      <c r="G5" s="2287"/>
      <c r="H5" s="680">
        <v>1</v>
      </c>
      <c r="I5" s="681" t="s">
        <v>2531</v>
      </c>
      <c r="J5" s="2625">
        <f ca="1">J6+J10+J12</f>
        <v>0</v>
      </c>
      <c r="K5" s="2628" t="s">
        <v>2533</v>
      </c>
      <c r="L5" s="2626"/>
      <c r="M5" s="2627"/>
    </row>
    <row r="6" spans="1:37" ht="18" customHeight="1">
      <c r="A6" s="2621" t="s">
        <v>2538</v>
      </c>
      <c r="B6" s="3626" t="s">
        <v>2532</v>
      </c>
      <c r="C6" s="2630">
        <f ca="1">ROUND(F6*F8*F7*(1-F9)/10000,0)</f>
        <v>3574</v>
      </c>
      <c r="D6" s="2624" t="s">
        <v>2534</v>
      </c>
      <c r="E6" s="683" t="s">
        <v>913</v>
      </c>
      <c r="F6" s="684">
        <f ca="1">INDIRECT("'数据-取费表'!u"&amp;$G$1)</f>
        <v>5.2</v>
      </c>
      <c r="G6" s="2287"/>
      <c r="H6" s="2621" t="s">
        <v>2541</v>
      </c>
      <c r="I6" s="3626" t="s">
        <v>2532</v>
      </c>
      <c r="J6" s="682">
        <f ca="1">ROUND(M6*M8*M7*(1-M9)/10000,0)</f>
        <v>0</v>
      </c>
      <c r="K6" s="2624" t="s">
        <v>2534</v>
      </c>
      <c r="L6" s="683" t="s">
        <v>913</v>
      </c>
      <c r="M6" s="684">
        <f ca="1">INDIRECT("'数据-取费表'!z"&amp;$G$1)</f>
        <v>0</v>
      </c>
    </row>
    <row r="7" spans="1:37" ht="18" customHeight="1">
      <c r="A7" s="2629"/>
      <c r="B7" s="3627"/>
      <c r="C7" s="2631"/>
      <c r="D7" s="2060"/>
      <c r="E7" s="2632" t="s">
        <v>914</v>
      </c>
      <c r="F7" s="684">
        <f ca="1">IF(INDIRECT("'数据-取费表'!ah"&amp;$G$1)="",INDIRECT("'数据-取费表'!k"&amp;$G$1),INDIRECT("'数据-取费表'!ah"&amp;$G$1))</f>
        <v>28973.439999999999</v>
      </c>
      <c r="G7" s="2287"/>
      <c r="H7" s="685"/>
      <c r="I7" s="3627"/>
      <c r="J7" s="687"/>
      <c r="K7" s="688"/>
      <c r="L7" s="683" t="s">
        <v>914</v>
      </c>
      <c r="M7" s="684">
        <f ca="1">F7</f>
        <v>28973.439999999999</v>
      </c>
    </row>
    <row r="8" spans="1:37" ht="18" customHeight="1">
      <c r="A8" s="685"/>
      <c r="B8" s="3627"/>
      <c r="C8" s="687"/>
      <c r="D8" s="688"/>
      <c r="E8" s="683" t="s">
        <v>915</v>
      </c>
      <c r="F8" s="684">
        <f ca="1">INDIRECT("'数据-取费表'!ai"&amp;$G$1)</f>
        <v>365</v>
      </c>
      <c r="G8" s="2287"/>
      <c r="H8" s="685"/>
      <c r="I8" s="3627"/>
      <c r="J8" s="687"/>
      <c r="K8" s="688"/>
      <c r="L8" s="683" t="s">
        <v>915</v>
      </c>
      <c r="M8" s="684">
        <f ca="1">INDIRECT("'数据-取费表'!ai"&amp;$G$1)</f>
        <v>365</v>
      </c>
    </row>
    <row r="9" spans="1:37" ht="18" customHeight="1">
      <c r="A9" s="685"/>
      <c r="B9" s="3628"/>
      <c r="C9" s="687"/>
      <c r="D9" s="688"/>
      <c r="E9" s="683" t="s">
        <v>916</v>
      </c>
      <c r="F9" s="693">
        <f ca="1">INDIRECT("'数据-取费表'!w"&amp;$G$1)</f>
        <v>0.35</v>
      </c>
      <c r="G9" s="2287"/>
      <c r="H9" s="685"/>
      <c r="I9" s="3628"/>
      <c r="J9" s="687"/>
      <c r="K9" s="688"/>
      <c r="L9" s="694" t="s">
        <v>916</v>
      </c>
      <c r="M9" s="695">
        <f ca="1">INDIRECT("'数据-取费表'!ab"&amp;$G$1)</f>
        <v>0</v>
      </c>
    </row>
    <row r="10" spans="1:37" ht="18" customHeight="1">
      <c r="A10" s="2621" t="s">
        <v>2539</v>
      </c>
      <c r="B10" s="2622" t="s">
        <v>2527</v>
      </c>
      <c r="C10" s="697">
        <f ca="1">ROUND(IF(F10="押一",F6*F8*F7/12*F11,IF(F10="押二",F6*F8*F7/12*2*F11,IF(F10="押三",F6*F8*F7/12*3*F11,C11*F11)))/10000,0)</f>
        <v>7</v>
      </c>
      <c r="D10" s="2633" t="s">
        <v>2535</v>
      </c>
      <c r="E10" s="2096" t="s">
        <v>2529</v>
      </c>
      <c r="F10" s="2827" t="s">
        <v>3184</v>
      </c>
      <c r="G10" s="2287"/>
      <c r="H10" s="2621" t="s">
        <v>2542</v>
      </c>
      <c r="I10" s="2622" t="s">
        <v>2527</v>
      </c>
      <c r="J10" s="682">
        <f ca="1">ROUND(IF(M10="押一",M6*M8*M7/12*M11,IF(M10="押二",M6*M8*M7/12*2*M11,IF(M10="押三",M6*M8*M7/12*3*M11,J11*M11)))/10000,0)</f>
        <v>0</v>
      </c>
      <c r="K10" s="2633" t="s">
        <v>2535</v>
      </c>
      <c r="L10" s="2096" t="s">
        <v>2529</v>
      </c>
      <c r="M10" s="2728" t="s">
        <v>2621</v>
      </c>
    </row>
    <row r="11" spans="1:37" ht="18" customHeight="1">
      <c r="A11" s="689"/>
      <c r="B11" s="2623" t="s">
        <v>2694</v>
      </c>
      <c r="C11" s="2414"/>
      <c r="D11" s="2866"/>
      <c r="E11" s="2096" t="s">
        <v>2530</v>
      </c>
      <c r="F11" s="695">
        <f ca="1">'数据-取费表'!B39</f>
        <v>1.4999999999999999E-2</v>
      </c>
      <c r="G11" s="2287"/>
      <c r="H11" s="2634"/>
      <c r="I11" s="2623" t="s">
        <v>2694</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917</v>
      </c>
      <c r="C13" s="691">
        <f ca="1">ROUND(C29*F13,0)</f>
        <v>7867</v>
      </c>
      <c r="D13" s="2667" t="s">
        <v>918</v>
      </c>
      <c r="E13" s="2667" t="s">
        <v>919</v>
      </c>
      <c r="F13" s="2668">
        <f ca="1">INDIRECT("'数据-取费表'!y"&amp;$G$1)</f>
        <v>0.7</v>
      </c>
      <c r="G13" s="2287"/>
      <c r="H13" s="2665">
        <v>2</v>
      </c>
      <c r="I13" s="2666" t="s">
        <v>917</v>
      </c>
      <c r="J13" s="2620">
        <f ca="1">ROUND(J14*J15,0)</f>
        <v>0</v>
      </c>
      <c r="K13" s="2675" t="s">
        <v>918</v>
      </c>
      <c r="L13" s="2686"/>
      <c r="M13" s="2687"/>
    </row>
    <row r="14" spans="1:37" ht="18" customHeight="1">
      <c r="A14" s="2437" t="s">
        <v>2369</v>
      </c>
      <c r="B14" s="683" t="s">
        <v>358</v>
      </c>
      <c r="C14" s="701">
        <f ca="1">INDIRECT("'数据-取费表'!m"&amp;$G$1)+INDIRECT("'数据-取费表'!t"&amp;$G$1)</f>
        <v>7243</v>
      </c>
      <c r="D14" s="2214" t="s">
        <v>920</v>
      </c>
      <c r="E14" s="2213"/>
      <c r="F14" s="702"/>
      <c r="G14" s="2287"/>
      <c r="H14" s="2437" t="s">
        <v>2372</v>
      </c>
      <c r="I14" s="683" t="s">
        <v>921</v>
      </c>
      <c r="J14" s="312">
        <f ca="1">C29</f>
        <v>11238</v>
      </c>
      <c r="K14" s="302"/>
      <c r="L14" s="699"/>
      <c r="M14" s="700"/>
    </row>
    <row r="15" spans="1:37" s="705" customFormat="1" ht="18" customHeight="1" thickBot="1">
      <c r="A15" s="2437" t="s">
        <v>2604</v>
      </c>
      <c r="B15" s="683" t="s">
        <v>359</v>
      </c>
      <c r="C15" s="312">
        <f ca="1">ROUND(C14*F15,0)</f>
        <v>217</v>
      </c>
      <c r="D15" s="703" t="s">
        <v>922</v>
      </c>
      <c r="E15" s="703" t="s">
        <v>923</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ROUND(INDIRECT("'数据-取费表'!m"&amp;$G$1)*F16,0)</f>
        <v>0</v>
      </c>
      <c r="D16" s="683" t="s">
        <v>922</v>
      </c>
      <c r="E16" s="683" t="s">
        <v>923</v>
      </c>
      <c r="F16" s="706">
        <f ca="1">IF(INDIRECT("'数据-取费表'!c"&amp;$G$1)="住宅",'数据-取费表'!B34,0)</f>
        <v>0</v>
      </c>
      <c r="G16" s="2287"/>
      <c r="H16" s="2665" t="s">
        <v>2337</v>
      </c>
      <c r="I16" s="2666" t="s">
        <v>924</v>
      </c>
      <c r="J16" s="691">
        <f ca="1">ROUND(J17+J22+J23+J24,0)</f>
        <v>277</v>
      </c>
      <c r="K16" s="2675" t="s">
        <v>925</v>
      </c>
      <c r="L16" s="2676"/>
      <c r="M16" s="2627"/>
    </row>
    <row r="17" spans="1:37" s="705" customFormat="1" ht="18" customHeight="1">
      <c r="A17" s="2437" t="s">
        <v>2606</v>
      </c>
      <c r="B17" s="683" t="s">
        <v>361</v>
      </c>
      <c r="C17" s="312">
        <f ca="1">ROUND(F17*(F43+INDIRECT("'数据-取费表'!S"&amp;$G$1))/10000,0)</f>
        <v>579</v>
      </c>
      <c r="D17" s="683" t="s">
        <v>926</v>
      </c>
      <c r="E17" s="683" t="s">
        <v>927</v>
      </c>
      <c r="F17" s="314">
        <f>'数据-取费表'!B35</f>
        <v>200</v>
      </c>
      <c r="G17" s="2288"/>
      <c r="H17" s="2437" t="s">
        <v>2372</v>
      </c>
      <c r="I17" s="683" t="s">
        <v>362</v>
      </c>
      <c r="J17" s="312">
        <f ca="1">ROUND(IF(项目基本情况!B11="自然人",J5*M17,J18+J19+J20),1)</f>
        <v>108.3</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109</v>
      </c>
      <c r="D18" s="683" t="s">
        <v>922</v>
      </c>
      <c r="E18" s="683" t="s">
        <v>923</v>
      </c>
      <c r="F18" s="706">
        <f>'数据-取费表'!B36</f>
        <v>1.4999999999999999E-2</v>
      </c>
      <c r="G18" s="2288"/>
      <c r="H18" s="2437" t="s">
        <v>2369</v>
      </c>
      <c r="I18" s="683" t="s">
        <v>930</v>
      </c>
      <c r="J18" s="312">
        <f ca="1">ROUND(J5*M18/(1+'数据-取费表'!C42),2)</f>
        <v>0</v>
      </c>
      <c r="K18" s="2212" t="s">
        <v>931</v>
      </c>
      <c r="L18" s="683" t="s">
        <v>923</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2538</v>
      </c>
      <c r="B19" s="683" t="s">
        <v>365</v>
      </c>
      <c r="C19" s="312">
        <f ca="1">SUM(C14:C18)</f>
        <v>8148</v>
      </c>
      <c r="D19" s="470" t="s">
        <v>932</v>
      </c>
      <c r="E19" s="2222"/>
      <c r="F19" s="314"/>
      <c r="G19" s="2287"/>
      <c r="H19" s="2437" t="s">
        <v>2604</v>
      </c>
      <c r="I19" s="683" t="s">
        <v>933</v>
      </c>
      <c r="J19" s="312">
        <f ca="1">IF(K19="按租金收入计税",ROUND(J5*M19,2),ROUND(C29*M19*0.7,2))</f>
        <v>94.4</v>
      </c>
      <c r="K19" s="1299" t="s">
        <v>2412</v>
      </c>
      <c r="L19" s="683" t="s">
        <v>923</v>
      </c>
      <c r="M19" s="706">
        <f>IF(K19="按租金收入计税",'数据-取费表'!B51,'数据-取费表'!B50)</f>
        <v>1.2E-2</v>
      </c>
    </row>
    <row r="20" spans="1:37" s="705" customFormat="1" ht="18" customHeight="1">
      <c r="A20" s="2437" t="s">
        <v>2608</v>
      </c>
      <c r="B20" s="683" t="s">
        <v>366</v>
      </c>
      <c r="C20" s="312">
        <f ca="1">ROUND(C19*F20,0)</f>
        <v>163</v>
      </c>
      <c r="D20" s="708" t="s">
        <v>934</v>
      </c>
      <c r="E20" s="683" t="s">
        <v>923</v>
      </c>
      <c r="F20" s="706">
        <f>'数据-取费表'!B37</f>
        <v>0.02</v>
      </c>
      <c r="G20" s="2288"/>
      <c r="H20" s="2437" t="s">
        <v>2605</v>
      </c>
      <c r="I20" s="495" t="s">
        <v>935</v>
      </c>
      <c r="J20" s="313">
        <f ca="1">ROUND(M20*M21/10000,2)</f>
        <v>13.92</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71</v>
      </c>
      <c r="D21" s="708" t="s">
        <v>939</v>
      </c>
      <c r="E21" s="683" t="s">
        <v>940</v>
      </c>
      <c r="F21" s="706">
        <f>'数据-取费表'!B38</f>
        <v>0.02</v>
      </c>
      <c r="G21" s="2288"/>
      <c r="H21" s="711"/>
      <c r="I21" s="692"/>
      <c r="J21" s="317"/>
      <c r="K21" s="712"/>
      <c r="L21" s="683" t="s">
        <v>941</v>
      </c>
      <c r="M21" s="684">
        <f ca="1">INDIRECT("'数据-取费表'!r"&amp;$G$1)</f>
        <v>92783.56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222"/>
      <c r="F22" s="314"/>
      <c r="G22" s="2287"/>
      <c r="H22" s="2437" t="s">
        <v>2379</v>
      </c>
      <c r="I22" s="683" t="s">
        <v>943</v>
      </c>
      <c r="J22" s="312">
        <f ca="1">ROUND(J14*M22,1)</f>
        <v>168.6</v>
      </c>
      <c r="K22" s="2212" t="s">
        <v>944</v>
      </c>
      <c r="L22" s="683" t="s">
        <v>923</v>
      </c>
      <c r="M22" s="713">
        <f ca="1">INDIRECT("'数据-取费表'!Ak"&amp;$G$1)</f>
        <v>1.4999999999999999E-2</v>
      </c>
    </row>
    <row r="23" spans="1:37" s="705" customFormat="1" ht="18" customHeight="1">
      <c r="A23" s="2437" t="s">
        <v>2369</v>
      </c>
      <c r="B23" s="683" t="s">
        <v>2524</v>
      </c>
      <c r="C23" s="312">
        <f ca="1">IF('数据-取费表'!B22&lt;=1,ROUND(C19*F24*F23/2,0)+ROUND(C20*F24*F23/2,0),ROUND(C19*(POWER((1+F24),F23/2)-1),0)+ROUND(C20*(POWER((1+F24),F23/2)-1),0))</f>
        <v>395</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ROUND(J13*M23,1)</f>
        <v>0</v>
      </c>
      <c r="K23" s="2212" t="s">
        <v>946</v>
      </c>
      <c r="L23" s="683" t="s">
        <v>923</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ROUND(J5*M24,1)</f>
        <v>0</v>
      </c>
      <c r="K24" s="2680" t="s">
        <v>949</v>
      </c>
      <c r="L24" s="2678" t="s">
        <v>923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222"/>
      <c r="F25" s="314"/>
      <c r="G25" s="2287"/>
      <c r="H25" s="2665" t="s">
        <v>2352</v>
      </c>
      <c r="I25" s="2682" t="s">
        <v>951</v>
      </c>
      <c r="J25" s="691">
        <f ca="1">J5-J16</f>
        <v>-277</v>
      </c>
      <c r="K25" s="2683" t="s">
        <v>952</v>
      </c>
      <c r="L25" s="2684"/>
      <c r="M25" s="2685"/>
    </row>
    <row r="26" spans="1:37" ht="18" customHeight="1">
      <c r="A26" s="2437" t="s">
        <v>2369</v>
      </c>
      <c r="B26" s="683" t="s">
        <v>2525</v>
      </c>
      <c r="C26" s="312">
        <f ca="1">ROUND((C19+C20)*F26,0)</f>
        <v>1662</v>
      </c>
      <c r="D26" s="708" t="s">
        <v>953</v>
      </c>
      <c r="E26" s="694" t="s">
        <v>954</v>
      </c>
      <c r="F26" s="693">
        <f ca="1">INDIRECT("'数据-取费表'!q"&amp;$G$1)</f>
        <v>0.2</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374</v>
      </c>
      <c r="C27" s="312">
        <f ca="1">ROUND(F21*F26,4)</f>
        <v>4.0000000000000001E-3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375</v>
      </c>
      <c r="C28" s="312">
        <f>ROUND(F28/(1+'数据-取费表'!C42),4)</f>
        <v>5.2400000000000002E-2</v>
      </c>
      <c r="D28" s="708" t="s">
        <v>964</v>
      </c>
      <c r="E28" s="683" t="s">
        <v>923</v>
      </c>
      <c r="F28" s="706">
        <f>'数据-取费表'!B41</f>
        <v>5.5000000000000007E-2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11238</v>
      </c>
      <c r="D29" s="2680"/>
      <c r="E29" s="2678"/>
      <c r="F29" s="2681"/>
      <c r="G29" s="2288"/>
      <c r="H29" s="719" t="s">
        <v>2362</v>
      </c>
      <c r="I29" s="720" t="s">
        <v>959</v>
      </c>
      <c r="J29" s="721">
        <f ca="1">ROUND(J26/(1+F40)^F41,0)</f>
        <v>0</v>
      </c>
      <c r="K29" s="722" t="s">
        <v>960</v>
      </c>
      <c r="L29" s="723"/>
      <c r="M29" s="724">
        <f ca="1">INDIRECT("'数据-取费表'!k"&amp;$G$1)</f>
        <v>28973.439999999999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548</v>
      </c>
      <c r="D30" s="2675" t="s">
        <v>925</v>
      </c>
      <c r="E30" s="2676"/>
      <c r="F30" s="2627"/>
      <c r="G30" s="2287"/>
      <c r="H30" s="1276"/>
      <c r="I30" s="1277"/>
      <c r="J30" s="1278"/>
      <c r="K30" s="1279"/>
      <c r="L30" s="1280"/>
      <c r="M30" s="1281"/>
    </row>
    <row r="31" spans="1:37" ht="18" customHeight="1">
      <c r="A31" s="2437" t="s">
        <v>2538</v>
      </c>
      <c r="B31" s="683" t="s">
        <v>362</v>
      </c>
      <c r="C31" s="312">
        <f ca="1">ROUND(IF(项目基本情况!B11="自然人",C5*F31,C32+C33+C34),1)</f>
        <v>295.89999999999998</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2603</v>
      </c>
      <c r="B32" s="683" t="s">
        <v>930</v>
      </c>
      <c r="C32" s="312">
        <f ca="1">IF(项目基本情况!B11="自然人","——",ROUND(C5*F32/(1+'数据-取费表'!C42),2))</f>
        <v>187.58</v>
      </c>
      <c r="D32" s="2212" t="s">
        <v>931</v>
      </c>
      <c r="E32" s="683" t="s">
        <v>923</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IF(项目基本情况!B11="自然人","——",IF(D33="按租金收入计税",ROUND(C5*F33,2),IF(D33="按房产原值计税",ROUND(C29*F33*0.7,2),INDIRECT("'数据-取费表'!Aj"&amp;$G$1))))</f>
        <v>94.4</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968</v>
      </c>
      <c r="C34" s="313">
        <f ca="1">IF(项目基本情况!B11="自然人","——",ROUND(F34*F35/10000,2))</f>
        <v>13.92</v>
      </c>
      <c r="D34" s="709" t="s">
        <v>969</v>
      </c>
      <c r="E34" s="683" t="s">
        <v>970</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92783.56</v>
      </c>
      <c r="G35" s="2287"/>
      <c r="H35" s="1276"/>
      <c r="I35" s="2880"/>
      <c r="J35" s="2881"/>
      <c r="K35" s="1289"/>
      <c r="L35" s="1288"/>
      <c r="M35" s="1288"/>
    </row>
    <row r="36" spans="1:18" ht="18" customHeight="1">
      <c r="A36" s="2694" t="s">
        <v>2379</v>
      </c>
      <c r="B36" s="683" t="s">
        <v>943</v>
      </c>
      <c r="C36" s="312">
        <f ca="1">ROUND(C29*F36,1)</f>
        <v>168.6</v>
      </c>
      <c r="D36" s="2212" t="s">
        <v>973</v>
      </c>
      <c r="E36" s="683" t="s">
        <v>974</v>
      </c>
      <c r="F36" s="713">
        <f ca="1">INDIRECT("'数据-取费表'!Ak"&amp;$G$1)</f>
        <v>1.4999999999999999E-2</v>
      </c>
      <c r="G36" s="2287"/>
      <c r="H36" s="1288"/>
      <c r="I36" s="2880"/>
      <c r="J36" s="2881"/>
      <c r="K36" s="1292"/>
      <c r="L36" s="1288"/>
      <c r="M36" s="1288"/>
    </row>
    <row r="37" spans="1:18" ht="18" customHeight="1">
      <c r="A37" s="2437" t="s">
        <v>2609</v>
      </c>
      <c r="B37" s="683" t="s">
        <v>367</v>
      </c>
      <c r="C37" s="312">
        <f ca="1">ROUND(C13*F37,1)</f>
        <v>11.8</v>
      </c>
      <c r="D37" s="2212" t="s">
        <v>368</v>
      </c>
      <c r="E37" s="683" t="s">
        <v>369</v>
      </c>
      <c r="F37" s="715">
        <f ca="1">INDIRECT("'数据-取费表'!Al"&amp;$G$1)</f>
        <v>1.5E-3</v>
      </c>
      <c r="G37" s="2287"/>
      <c r="H37" s="1288"/>
      <c r="I37" s="2880"/>
      <c r="J37" s="2881"/>
      <c r="K37" s="1292"/>
      <c r="L37" s="1288"/>
      <c r="M37" s="1288"/>
    </row>
    <row r="38" spans="1:18" ht="18" customHeight="1" thickBot="1">
      <c r="A38" s="2677" t="s">
        <v>2610</v>
      </c>
      <c r="B38" s="2678" t="s">
        <v>366</v>
      </c>
      <c r="C38" s="2679">
        <f ca="1">ROUND(C5*F38,1)</f>
        <v>71.599999999999994</v>
      </c>
      <c r="D38" s="2680" t="s">
        <v>370</v>
      </c>
      <c r="E38" s="2678" t="s">
        <v>369</v>
      </c>
      <c r="F38" s="2674">
        <f ca="1">INDIRECT("'数据-取费表'!Am"&amp;$G$1)</f>
        <v>0.02</v>
      </c>
      <c r="G38" s="2287"/>
      <c r="H38" s="1288"/>
      <c r="I38" s="2880"/>
      <c r="J38" s="2881"/>
      <c r="K38" s="1293"/>
      <c r="L38" s="1288"/>
      <c r="M38" s="1288"/>
    </row>
    <row r="39" spans="1:18" ht="24.6" customHeight="1" thickTop="1">
      <c r="A39" s="2665" t="s">
        <v>2352</v>
      </c>
      <c r="B39" s="2682" t="s">
        <v>376</v>
      </c>
      <c r="C39" s="691">
        <f ca="1">C5-C30</f>
        <v>3033</v>
      </c>
      <c r="D39" s="2683" t="s">
        <v>377</v>
      </c>
      <c r="E39" s="2684"/>
      <c r="F39" s="2685"/>
      <c r="G39" s="2287"/>
      <c r="H39" s="1288"/>
      <c r="I39" s="2880"/>
      <c r="J39" s="2881"/>
      <c r="K39" s="1293"/>
      <c r="L39" s="1288"/>
      <c r="M39" s="1288"/>
    </row>
    <row r="40" spans="1:18" ht="18" customHeight="1">
      <c r="A40" s="680" t="s">
        <v>2355</v>
      </c>
      <c r="B40" s="681" t="s">
        <v>378</v>
      </c>
      <c r="C40" s="682">
        <f ca="1">ROUND(C39*(1-((1+F42)/(1+F40))^F41)/(F40-F42),0)</f>
        <v>73256</v>
      </c>
      <c r="D40" s="709" t="s">
        <v>372</v>
      </c>
      <c r="E40" s="683" t="s">
        <v>373</v>
      </c>
      <c r="F40" s="693">
        <f ca="1">INDIRECT("'数据-取费表'!I"&amp;$G$1)</f>
        <v>0.05</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34.31</v>
      </c>
      <c r="G41" s="2287"/>
      <c r="H41" s="1190"/>
      <c r="I41" s="2880"/>
      <c r="J41" s="2881"/>
      <c r="K41" s="1292"/>
      <c r="L41" s="1190"/>
      <c r="M41" s="1190"/>
    </row>
    <row r="42" spans="1:18" ht="18" customHeight="1">
      <c r="A42" s="689"/>
      <c r="B42" s="690"/>
      <c r="C42" s="691"/>
      <c r="D42" s="712"/>
      <c r="E42" s="683" t="s">
        <v>381</v>
      </c>
      <c r="F42" s="693">
        <f ca="1">INDIRECT("'数据-取费表'!v"&amp;$G$1)</f>
        <v>0.03</v>
      </c>
      <c r="G42" s="2287"/>
      <c r="H42" s="1190"/>
      <c r="I42" s="2880"/>
      <c r="J42" s="2881"/>
      <c r="K42" s="1292"/>
      <c r="L42" s="1190"/>
      <c r="M42" s="1190"/>
    </row>
    <row r="43" spans="1:18" ht="18" customHeight="1" thickBot="1">
      <c r="A43" s="719" t="s">
        <v>2362</v>
      </c>
      <c r="B43" s="720" t="s">
        <v>382</v>
      </c>
      <c r="C43" s="721">
        <f ca="1">ROUND(C40*10000/F43,0)</f>
        <v>25284</v>
      </c>
      <c r="D43" s="722" t="s">
        <v>383</v>
      </c>
      <c r="E43" s="723" t="s">
        <v>384</v>
      </c>
      <c r="F43" s="724">
        <f ca="1">INDIRECT("'数据-取费表'!k"&amp;$G$1)</f>
        <v>28973.439999999999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2485</v>
      </c>
      <c r="P45" s="1294"/>
      <c r="Q45" s="1294"/>
      <c r="R45" s="1294"/>
    </row>
    <row r="46" spans="1:18" s="1453" customFormat="1" ht="21" thickBot="1">
      <c r="A46" s="2395" t="s">
        <v>2324</v>
      </c>
      <c r="B46" s="2396"/>
      <c r="C46" s="2724">
        <f ca="1">C68-C40</f>
        <v>-77952</v>
      </c>
      <c r="D46" s="2725" t="str">
        <f>C2</f>
        <v>万元</v>
      </c>
      <c r="E46" s="1431"/>
      <c r="F46" s="1431"/>
      <c r="I46" s="2577" t="s">
        <v>2420</v>
      </c>
      <c r="J46" s="2578"/>
      <c r="K46" s="2579"/>
      <c r="L46" s="2581" t="str">
        <f ca="1">IF(M47="住宅",0,IF(L48&gt;J51,L60,J60))</f>
        <v>0</v>
      </c>
      <c r="O46" s="2593" t="s">
        <v>2463</v>
      </c>
      <c r="P46" s="2594" t="s">
        <v>2464</v>
      </c>
      <c r="Q46" s="2595" t="s">
        <v>2462</v>
      </c>
      <c r="R46" s="2595" t="s">
        <v>2465</v>
      </c>
    </row>
    <row r="47" spans="1:18" s="1453" customFormat="1" ht="15.75" thickBot="1">
      <c r="A47" s="2397" t="s">
        <v>2326</v>
      </c>
      <c r="B47" s="2433" t="s">
        <v>2327</v>
      </c>
      <c r="C47" s="2729" t="s">
        <v>2328</v>
      </c>
      <c r="D47" s="2433" t="s">
        <v>2329</v>
      </c>
      <c r="E47" s="2536" t="s">
        <v>2330</v>
      </c>
      <c r="F47" s="2537"/>
      <c r="G47" s="1455"/>
      <c r="I47" s="2552" t="s">
        <v>2413</v>
      </c>
      <c r="J47" s="2553" t="s">
        <v>3186</v>
      </c>
      <c r="K47" s="2562" t="s">
        <v>2436</v>
      </c>
      <c r="L47" s="2563">
        <f ca="1">INDIRECT("'数据-取费表'!d"&amp;$G$1)</f>
        <v>50</v>
      </c>
      <c r="M47" s="2583" t="str">
        <f>IF(ISNUMBER(FIND("住宅",C1)),"住宅","非住宅")</f>
        <v>非住宅</v>
      </c>
      <c r="O47" s="2586" t="s">
        <v>2448</v>
      </c>
      <c r="P47" s="2596" t="s">
        <v>2466</v>
      </c>
      <c r="Q47" s="2587">
        <f ca="1">C40+J29</f>
        <v>73256</v>
      </c>
      <c r="R47" s="2587" t="s">
        <v>2467</v>
      </c>
    </row>
    <row r="48" spans="1:18" s="1453" customFormat="1" ht="47.25" thickBot="1">
      <c r="A48" s="2710" t="s">
        <v>2615</v>
      </c>
      <c r="B48" s="681" t="s">
        <v>2331</v>
      </c>
      <c r="C48" s="2720">
        <f ca="1">C49+C53+C55</f>
        <v>0</v>
      </c>
      <c r="D48" s="2714"/>
      <c r="E48" s="2715"/>
      <c r="F48" s="2417"/>
      <c r="G48" s="1455"/>
      <c r="H48" s="1456"/>
      <c r="I48" s="2543" t="s">
        <v>2414</v>
      </c>
      <c r="J48" s="2554" t="s">
        <v>2415</v>
      </c>
      <c r="K48" s="2564" t="s">
        <v>2437</v>
      </c>
      <c r="L48" s="2167">
        <f ca="1">INDIRECT("'数据-取费表'!f"&amp;$G$1)</f>
        <v>34.31</v>
      </c>
      <c r="O48" s="2586" t="s">
        <v>2449</v>
      </c>
      <c r="P48" s="2596" t="s">
        <v>2468</v>
      </c>
      <c r="Q48" s="2587" t="str">
        <f ca="1">J60</f>
        <v>0</v>
      </c>
      <c r="R48" s="2587" t="s">
        <v>2476</v>
      </c>
    </row>
    <row r="49" spans="1:18" s="1453" customFormat="1" ht="15.75" thickBot="1">
      <c r="A49" s="2430" t="s">
        <v>2616</v>
      </c>
      <c r="B49" s="2713" t="s">
        <v>2618</v>
      </c>
      <c r="C49" s="2722">
        <f ca="1">ROUND(F49*F51*F50*(1-F52)/10000,0)</f>
        <v>0</v>
      </c>
      <c r="D49" s="2532" t="s">
        <v>2332</v>
      </c>
      <c r="E49" s="2535" t="s">
        <v>2325</v>
      </c>
      <c r="F49" s="2538"/>
      <c r="G49" s="1457"/>
      <c r="H49" s="1456"/>
      <c r="I49" s="2543" t="s">
        <v>2434</v>
      </c>
      <c r="J49" s="2555">
        <v>1996</v>
      </c>
      <c r="K49" s="2565" t="s">
        <v>2439</v>
      </c>
      <c r="L49" s="2566"/>
      <c r="O49" s="2588" t="s">
        <v>2450</v>
      </c>
      <c r="P49" s="2596" t="s">
        <v>2469</v>
      </c>
      <c r="Q49" s="2587">
        <f ca="1">C29</f>
        <v>11238</v>
      </c>
      <c r="R49" s="2587" t="s">
        <v>2467</v>
      </c>
    </row>
    <row r="50" spans="1:18" s="1453" customFormat="1" ht="15.75" thickBot="1">
      <c r="A50" s="2431"/>
      <c r="B50" s="2434"/>
      <c r="C50" s="2730"/>
      <c r="D50" s="2404"/>
      <c r="E50" s="2533" t="s">
        <v>2333</v>
      </c>
      <c r="F50" s="2534">
        <f ca="1">F7</f>
        <v>28973.439999999999</v>
      </c>
      <c r="H50" s="1456"/>
      <c r="I50" s="2543" t="s">
        <v>2416</v>
      </c>
      <c r="J50" s="2556">
        <f>SUMPRODUCT((I63:I65=J47)*(J62:L62=J48)*(J63:L65))</f>
        <v>60</v>
      </c>
      <c r="K50" s="2565" t="s">
        <v>2440</v>
      </c>
      <c r="L50" s="2566"/>
      <c r="M50" s="2560"/>
      <c r="O50" s="2588" t="s">
        <v>2451</v>
      </c>
      <c r="P50" s="2596" t="s">
        <v>2477</v>
      </c>
      <c r="Q50" s="2589" t="e">
        <f ca="1">J58</f>
        <v>#VALUE!</v>
      </c>
      <c r="R50" s="2587"/>
    </row>
    <row r="51" spans="1:18" s="1453" customFormat="1" ht="15.75" thickBot="1">
      <c r="A51" s="2432"/>
      <c r="B51" s="2434"/>
      <c r="C51" s="2435"/>
      <c r="D51" s="2404"/>
      <c r="E51" s="2436" t="s">
        <v>2334</v>
      </c>
      <c r="F51" s="684">
        <f ca="1">F8</f>
        <v>365</v>
      </c>
      <c r="I51" s="2557" t="s">
        <v>2421</v>
      </c>
      <c r="J51" s="2558">
        <f>IF(J49="",J50,J49+J50-YEAR('数据-取费表'!B2))</f>
        <v>39</v>
      </c>
      <c r="K51" s="2567" t="s">
        <v>2441</v>
      </c>
      <c r="L51" s="2580">
        <f ca="1">ROUND(-PV(INDIRECT("'数据-取费表'!h"&amp;$G$1),L48,(C39-C13*C76),0),0)</f>
        <v>40936</v>
      </c>
      <c r="M51" s="2561"/>
      <c r="O51" s="2588" t="s">
        <v>2452</v>
      </c>
      <c r="P51" s="2596" t="s">
        <v>2478</v>
      </c>
      <c r="Q51" s="2589">
        <f>J52</f>
        <v>0.09</v>
      </c>
      <c r="R51" s="2587"/>
    </row>
    <row r="52" spans="1:18" s="1453" customFormat="1" ht="15.75" thickBot="1">
      <c r="A52" s="2432"/>
      <c r="B52" s="2434"/>
      <c r="C52" s="2435"/>
      <c r="D52" s="2404"/>
      <c r="E52" s="2436" t="s">
        <v>2335</v>
      </c>
      <c r="F52" s="2531"/>
      <c r="I52" s="2559" t="s">
        <v>2444</v>
      </c>
      <c r="J52" s="2573">
        <v>0.09</v>
      </c>
      <c r="K52" s="2559" t="s">
        <v>2429</v>
      </c>
      <c r="L52" s="2573"/>
      <c r="M52" s="2396"/>
      <c r="O52" s="2588" t="s">
        <v>2453</v>
      </c>
      <c r="P52" s="2596" t="s">
        <v>2470</v>
      </c>
      <c r="Q52" s="2587">
        <f ca="1">J53</f>
        <v>34.31</v>
      </c>
      <c r="R52" s="2587" t="s">
        <v>2471</v>
      </c>
    </row>
    <row r="53" spans="1:18" s="1453" customFormat="1" ht="43.5" thickBot="1">
      <c r="A53" s="2825" t="s">
        <v>2617</v>
      </c>
      <c r="B53" s="432" t="s">
        <v>2527</v>
      </c>
      <c r="C53" s="697">
        <f ca="1">ROUND(IF(F53="押一",F49*F51*F50/12*F11,IF(F53="押二",F49*F51*F50/12*2*F11,IF(F53="押三",F49*F51*F50/12*3*F11,C54*F11)))/10000,0)</f>
        <v>0</v>
      </c>
      <c r="D53" s="2633" t="s">
        <v>2535</v>
      </c>
      <c r="E53" s="2096" t="s">
        <v>2529</v>
      </c>
      <c r="F53" s="2827"/>
      <c r="I53" s="2569" t="s">
        <v>2446</v>
      </c>
      <c r="J53" s="2570">
        <f ca="1">IF(M47="住宅",J51,MIN(J51,L48))</f>
        <v>34.31</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86" t="s">
        <v>2454</v>
      </c>
      <c r="P53" s="2596" t="s">
        <v>2472</v>
      </c>
      <c r="Q53" s="2587">
        <f ca="1">Q47+Q48</f>
        <v>73256</v>
      </c>
      <c r="R53" s="2587" t="s">
        <v>2455</v>
      </c>
    </row>
    <row r="54" spans="1:18" s="1453" customFormat="1" ht="16.5" thickBot="1">
      <c r="A54" s="2826"/>
      <c r="B54" s="2623" t="s">
        <v>2694</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09"/>
      <c r="F55" s="2539"/>
      <c r="I55" s="3316" t="s">
        <v>2422</v>
      </c>
      <c r="J55" s="3315" t="e">
        <f ca="1">ROUND(IF(J47="钢混",J57/J50,1-(1-2%)*(J50-J57)/J50),3)</f>
        <v>#VALUE!</v>
      </c>
      <c r="K55" s="2550" t="s">
        <v>2423</v>
      </c>
      <c r="L55" s="2572" t="s">
        <v>3185</v>
      </c>
      <c r="O55" s="2593" t="s">
        <v>2463</v>
      </c>
      <c r="P55" s="2594" t="s">
        <v>2464</v>
      </c>
      <c r="Q55" s="2595" t="s">
        <v>2462</v>
      </c>
      <c r="R55" s="2595" t="s">
        <v>2465</v>
      </c>
    </row>
    <row r="56" spans="1:18" s="1453" customFormat="1" ht="44.25" thickTop="1" thickBot="1">
      <c r="A56" s="2408">
        <v>2</v>
      </c>
      <c r="B56" s="2409" t="s">
        <v>2336</v>
      </c>
      <c r="C56" s="607">
        <f ca="1">C13</f>
        <v>7867</v>
      </c>
      <c r="D56" s="2697"/>
      <c r="E56" s="2410"/>
      <c r="F56" s="2539"/>
      <c r="I56" s="2542" t="s">
        <v>2424</v>
      </c>
      <c r="J56" s="2571" t="s">
        <v>3052</v>
      </c>
      <c r="K56" s="2543" t="s">
        <v>2428</v>
      </c>
      <c r="L56" s="2167" t="str">
        <f ca="1">IF(L48&lt;J51,"——",L48-J51)</f>
        <v>——</v>
      </c>
      <c r="O56" s="2586" t="s">
        <v>2448</v>
      </c>
      <c r="P56" s="2596" t="s">
        <v>2466</v>
      </c>
      <c r="Q56" s="2587">
        <f ca="1">C40+J29</f>
        <v>73256</v>
      </c>
      <c r="R56" s="2587" t="s">
        <v>2467</v>
      </c>
    </row>
    <row r="57" spans="1:18" s="1453" customFormat="1" ht="29.25" thickBot="1">
      <c r="A57" s="2540"/>
      <c r="B57" s="2401" t="s">
        <v>2366</v>
      </c>
      <c r="C57" s="613">
        <f ca="1">C29</f>
        <v>11238</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3" customFormat="1" ht="29.25" thickBot="1">
      <c r="A58" s="696" t="s">
        <v>2337</v>
      </c>
      <c r="B58" s="2409" t="s">
        <v>2367</v>
      </c>
      <c r="C58" s="697">
        <f ca="1">ROUND(C59+C64+C65+C66,0)</f>
        <v>289</v>
      </c>
      <c r="D58" s="2415" t="s">
        <v>2368</v>
      </c>
      <c r="E58" s="2416"/>
      <c r="F58" s="2417"/>
      <c r="I58" s="2544" t="s">
        <v>2425</v>
      </c>
      <c r="J58" s="3317"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ROUND(IF(项目基本情况!B11="自然人",C48*F59,C60+C61+C62),1)</f>
        <v>108.3</v>
      </c>
      <c r="D59" s="2418" t="s">
        <v>2338</v>
      </c>
      <c r="E59" s="2419" t="s">
        <v>2339</v>
      </c>
      <c r="F59" s="707"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2340</v>
      </c>
      <c r="C60" s="312">
        <f ca="1">IF(项目基本情况!B11="自然人","——",ROUND(C48*F60/(1+'数据-取费表'!C42),2))</f>
        <v>0</v>
      </c>
      <c r="D60" s="2419" t="s">
        <v>2341</v>
      </c>
      <c r="E60" s="2401" t="s">
        <v>2342</v>
      </c>
      <c r="F60" s="716">
        <f t="shared" ref="F60:F66" si="0">F32</f>
        <v>5.5000000000000007E-2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3" customFormat="1" ht="20.25" thickBot="1">
      <c r="A61" s="2437" t="s">
        <v>2370</v>
      </c>
      <c r="B61" s="2401" t="s">
        <v>2343</v>
      </c>
      <c r="C61" s="312">
        <f ca="1">IF(项目基本情况!B11="自然人","——",IF(D61="按租金收入计税",ROUND(C48*F61,2),IF(D61="按房产原值计税",ROUND(C57*F61*0.7,2),INDIRECT("'数据-取费表'!Aj"&amp;$G$1))))</f>
        <v>94.4</v>
      </c>
      <c r="D61" s="1299" t="s">
        <v>2412</v>
      </c>
      <c r="E61" s="2401" t="s">
        <v>2342</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2344</v>
      </c>
      <c r="C62" s="313">
        <f ca="1">IF(项目基本情况!B11="自然人","——",ROUND(F62*F63/10000,2))</f>
        <v>13.92</v>
      </c>
      <c r="D62" s="2420" t="s">
        <v>2345</v>
      </c>
      <c r="E62" s="2401" t="s">
        <v>2346</v>
      </c>
      <c r="F62" s="710">
        <f t="shared" si="0"/>
        <v>1.5</v>
      </c>
      <c r="I62" s="2546" t="s">
        <v>2417</v>
      </c>
      <c r="J62" s="2547" t="s">
        <v>2418</v>
      </c>
      <c r="K62" s="2547" t="s">
        <v>2419</v>
      </c>
      <c r="L62" s="2547" t="s">
        <v>2415</v>
      </c>
      <c r="M62" s="3318" t="s">
        <v>3035</v>
      </c>
      <c r="O62" s="2586" t="s">
        <v>2454</v>
      </c>
      <c r="P62" s="2596" t="s">
        <v>2472</v>
      </c>
      <c r="Q62" s="2587">
        <f ca="1">Q56+Q57</f>
        <v>73256</v>
      </c>
      <c r="R62" s="2587" t="s">
        <v>2455</v>
      </c>
    </row>
    <row r="63" spans="1:18" s="1453" customFormat="1" ht="16.5" thickBot="1">
      <c r="A63" s="711"/>
      <c r="B63" s="2407"/>
      <c r="C63" s="317"/>
      <c r="D63" s="2421"/>
      <c r="E63" s="2401" t="s">
        <v>2347</v>
      </c>
      <c r="F63" s="684">
        <f t="shared" ca="1" si="0"/>
        <v>92783.56</v>
      </c>
      <c r="I63" s="2546" t="s">
        <v>2431</v>
      </c>
      <c r="J63" s="3321">
        <v>70</v>
      </c>
      <c r="K63" s="3321">
        <v>50</v>
      </c>
      <c r="L63" s="3321">
        <v>80</v>
      </c>
      <c r="M63" s="3319">
        <v>0.02</v>
      </c>
      <c r="O63" s="2590" t="s">
        <v>2486</v>
      </c>
      <c r="P63" s="1294"/>
      <c r="Q63" s="1294"/>
      <c r="R63" s="1294"/>
    </row>
    <row r="64" spans="1:18" s="1453" customFormat="1" ht="15.75" thickBot="1">
      <c r="A64" s="2437" t="s">
        <v>2379</v>
      </c>
      <c r="B64" s="2401" t="s">
        <v>2348</v>
      </c>
      <c r="C64" s="312">
        <f ca="1">ROUND(C57*F64,1)</f>
        <v>168.6</v>
      </c>
      <c r="D64" s="2419" t="s">
        <v>2349</v>
      </c>
      <c r="E64" s="2401" t="s">
        <v>2342</v>
      </c>
      <c r="F64" s="713">
        <f t="shared" ca="1" si="0"/>
        <v>1.4999999999999999E-2</v>
      </c>
      <c r="I64" s="2546" t="s">
        <v>2432</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ROUND(C56*F65,1)</f>
        <v>11.8</v>
      </c>
      <c r="D65" s="2419" t="s">
        <v>2350</v>
      </c>
      <c r="E65" s="2401" t="s">
        <v>2342</v>
      </c>
      <c r="F65" s="715">
        <f t="shared" ca="1" si="0"/>
        <v>1.5E-3</v>
      </c>
      <c r="I65" s="2546" t="s">
        <v>2433</v>
      </c>
      <c r="J65" s="3321">
        <v>40</v>
      </c>
      <c r="K65" s="3321">
        <v>30</v>
      </c>
      <c r="L65" s="3321">
        <v>50</v>
      </c>
      <c r="M65" s="3319">
        <v>0.02</v>
      </c>
      <c r="O65" s="2586" t="s">
        <v>2448</v>
      </c>
      <c r="P65" s="2596" t="s">
        <v>2466</v>
      </c>
      <c r="Q65" s="2587">
        <f ca="1">C40+J29</f>
        <v>73256</v>
      </c>
      <c r="R65" s="2587" t="s">
        <v>2467</v>
      </c>
    </row>
    <row r="66" spans="1:18" s="1453" customFormat="1" ht="20.25" thickBot="1">
      <c r="A66" s="2437" t="s">
        <v>2374</v>
      </c>
      <c r="B66" s="2401" t="s">
        <v>366</v>
      </c>
      <c r="C66" s="312">
        <f ca="1">ROUND(C48*F66,1)</f>
        <v>0</v>
      </c>
      <c r="D66" s="2419" t="s">
        <v>2351</v>
      </c>
      <c r="E66" s="2401" t="s">
        <v>2342</v>
      </c>
      <c r="F66" s="693">
        <f t="shared" ca="1" si="0"/>
        <v>0.02</v>
      </c>
      <c r="O66" s="2586" t="s">
        <v>2449</v>
      </c>
      <c r="P66" s="2596" t="s">
        <v>2473</v>
      </c>
      <c r="Q66" s="2587">
        <f ca="1">L60</f>
        <v>0</v>
      </c>
      <c r="R66" s="2587" t="s">
        <v>2456</v>
      </c>
    </row>
    <row r="67" spans="1:18" s="1453" customFormat="1" ht="24.75" thickBot="1">
      <c r="A67" s="2408" t="s">
        <v>2352</v>
      </c>
      <c r="B67" s="2422" t="s">
        <v>2353</v>
      </c>
      <c r="C67" s="697">
        <f ca="1">C48-C58</f>
        <v>-289</v>
      </c>
      <c r="D67" s="2418" t="s">
        <v>2354</v>
      </c>
      <c r="E67" s="2423"/>
      <c r="F67" s="2424"/>
      <c r="O67" s="2588" t="s">
        <v>2450</v>
      </c>
      <c r="P67" s="2596" t="s">
        <v>2480</v>
      </c>
      <c r="Q67" s="2591">
        <f ca="1">L51</f>
        <v>40936</v>
      </c>
      <c r="R67" s="2592" t="s">
        <v>2490</v>
      </c>
    </row>
    <row r="68" spans="1:18" s="1453" customFormat="1" ht="20.25" thickBot="1">
      <c r="A68" s="2398" t="s">
        <v>2355</v>
      </c>
      <c r="B68" s="2399" t="s">
        <v>2356</v>
      </c>
      <c r="C68" s="682">
        <f ca="1">ROUND(C67*(1-((1+F70)/(1+F68))^F69)/(F68-F70),0)</f>
        <v>-4696</v>
      </c>
      <c r="D68" s="2420" t="s">
        <v>2357</v>
      </c>
      <c r="E68" s="2401" t="s">
        <v>2358</v>
      </c>
      <c r="F68" s="693">
        <f ca="1">F40</f>
        <v>0.05</v>
      </c>
      <c r="O68" s="2588" t="s">
        <v>2451</v>
      </c>
      <c r="P68" s="2597" t="s">
        <v>2484</v>
      </c>
      <c r="Q68" s="2587">
        <f ca="1">ROUND(Q69-Q70*Q71,0)</f>
        <v>2364</v>
      </c>
      <c r="R68" s="2587" t="s">
        <v>2489</v>
      </c>
    </row>
    <row r="69" spans="1:18" s="1453" customFormat="1" ht="15.75" thickBot="1">
      <c r="A69" s="2402"/>
      <c r="B69" s="2403"/>
      <c r="C69" s="687"/>
      <c r="D69" s="2425" t="s">
        <v>2359</v>
      </c>
      <c r="E69" s="2401" t="s">
        <v>2360</v>
      </c>
      <c r="F69" s="718">
        <f ca="1">F41</f>
        <v>34.31</v>
      </c>
      <c r="O69" s="2588" t="s">
        <v>2459</v>
      </c>
      <c r="P69" s="2597" t="s">
        <v>2474</v>
      </c>
      <c r="Q69" s="2587">
        <f ca="1">C39</f>
        <v>3033</v>
      </c>
      <c r="R69" s="2587" t="s">
        <v>2467</v>
      </c>
    </row>
    <row r="70" spans="1:18" s="1453" customFormat="1" ht="15.75" thickBot="1">
      <c r="A70" s="2405"/>
      <c r="B70" s="2406"/>
      <c r="C70" s="691"/>
      <c r="D70" s="2421"/>
      <c r="E70" s="2401" t="s">
        <v>2361</v>
      </c>
      <c r="F70" s="2531"/>
      <c r="O70" s="2588" t="s">
        <v>2460</v>
      </c>
      <c r="P70" s="2597" t="s">
        <v>2475</v>
      </c>
      <c r="Q70" s="2587">
        <f ca="1">C13</f>
        <v>7867</v>
      </c>
      <c r="R70" s="2587" t="s">
        <v>2467</v>
      </c>
    </row>
    <row r="71" spans="1:18" s="1453" customFormat="1" ht="15.75" thickBot="1">
      <c r="A71" s="2426" t="s">
        <v>2362</v>
      </c>
      <c r="B71" s="2427" t="s">
        <v>2363</v>
      </c>
      <c r="C71" s="721">
        <f ca="1">ROUND(C68*10000/F71,0)</f>
        <v>-1621</v>
      </c>
      <c r="D71" s="2428" t="s">
        <v>2364</v>
      </c>
      <c r="E71" s="2429" t="s">
        <v>2365</v>
      </c>
      <c r="F71" s="724">
        <f ca="1">F43</f>
        <v>28973.439999999999</v>
      </c>
      <c r="I71" s="2396"/>
      <c r="K71" s="2396"/>
      <c r="O71" s="2588" t="s">
        <v>2461</v>
      </c>
      <c r="P71" s="2597" t="s">
        <v>2487</v>
      </c>
      <c r="Q71" s="2589">
        <f ca="1">C76</f>
        <v>8.5000000000000006E-2</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669</v>
      </c>
      <c r="D75" s="1453"/>
      <c r="E75" s="1453"/>
      <c r="F75" s="1453"/>
      <c r="K75" s="1454"/>
      <c r="L75" s="1453"/>
      <c r="O75" s="2586" t="s">
        <v>2454</v>
      </c>
      <c r="P75" s="2596" t="s">
        <v>2472</v>
      </c>
      <c r="Q75" s="2587">
        <f ca="1">Q65+Q66</f>
        <v>73256</v>
      </c>
      <c r="R75" s="2587"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2695</v>
      </c>
      <c r="C78" s="734"/>
    </row>
    <row r="79" spans="1:18">
      <c r="B79" s="2872" t="s">
        <v>2699</v>
      </c>
      <c r="C79" s="649">
        <f ca="1">1-C80</f>
        <v>0.77900000000000003</v>
      </c>
    </row>
    <row r="80" spans="1:18">
      <c r="B80" s="2872" t="s">
        <v>2698</v>
      </c>
      <c r="C80" s="649">
        <f ca="1">ROUND(C75/C39,3)</f>
        <v>0.221</v>
      </c>
    </row>
    <row r="81" spans="2:3">
      <c r="B81" s="645" t="s">
        <v>386</v>
      </c>
      <c r="C81" s="646"/>
    </row>
    <row r="82" spans="2:3">
      <c r="B82" s="2871" t="s">
        <v>2697</v>
      </c>
      <c r="C82" s="650">
        <f ca="1">1-C83</f>
        <v>0.89300000000000002</v>
      </c>
    </row>
    <row r="83" spans="2:3">
      <c r="B83" s="2871" t="s">
        <v>2696</v>
      </c>
      <c r="C83" s="649">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c r="D1" s="1272"/>
      <c r="E1" s="2584" t="s">
        <v>538</v>
      </c>
      <c r="F1" s="2585">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1100</v>
      </c>
      <c r="D2" s="2723" t="e">
        <f ca="1">C40+J29+L46</f>
        <v>#DIV/0!</v>
      </c>
      <c r="E2" s="2574" t="s">
        <v>2619</v>
      </c>
      <c r="F2" s="1275"/>
      <c r="G2" s="2286"/>
      <c r="H2" s="1273"/>
      <c r="I2" s="1273"/>
      <c r="J2" s="1273"/>
      <c r="K2" s="1297"/>
      <c r="L2" s="1273"/>
      <c r="M2" s="1273"/>
    </row>
    <row r="3" spans="1:37" ht="18" customHeight="1" thickBot="1">
      <c r="A3" s="674" t="s">
        <v>345</v>
      </c>
      <c r="B3" s="1406">
        <f ca="1">IF(ISERROR(D2/F43),0,ROUND(D2/F43,0))</f>
        <v>0</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5">
        <f ca="1">C6+C10+C12</f>
        <v>0</v>
      </c>
      <c r="D5" s="2635" t="s">
        <v>2533</v>
      </c>
      <c r="E5" s="2626"/>
      <c r="F5" s="2627"/>
      <c r="G5" s="2287"/>
      <c r="H5" s="680">
        <v>1</v>
      </c>
      <c r="I5" s="681" t="s">
        <v>2331</v>
      </c>
      <c r="J5" s="2625">
        <f ca="1">J6+J10+J12</f>
        <v>0</v>
      </c>
      <c r="K5" s="2628" t="s">
        <v>2533</v>
      </c>
      <c r="L5" s="2626"/>
      <c r="M5" s="2627"/>
    </row>
    <row r="6" spans="1:37" ht="18" customHeight="1">
      <c r="A6" s="2621" t="s">
        <v>2372</v>
      </c>
      <c r="B6" s="3626" t="s">
        <v>2532</v>
      </c>
      <c r="C6" s="2630">
        <f ca="1">ROUND(F6*F8*F7*(1-F9),0)</f>
        <v>0</v>
      </c>
      <c r="D6" s="2624" t="s">
        <v>2534</v>
      </c>
      <c r="E6" s="683" t="s">
        <v>913</v>
      </c>
      <c r="F6" s="684">
        <f ca="1">INDIRECT("'数据-取费表'!u"&amp;$G$1)</f>
        <v>0</v>
      </c>
      <c r="G6" s="2287"/>
      <c r="H6" s="2621" t="s">
        <v>2372</v>
      </c>
      <c r="I6" s="3626" t="s">
        <v>2532</v>
      </c>
      <c r="J6" s="682">
        <f ca="1">ROUND(M6*M8*M7*(1-M9),0)</f>
        <v>0</v>
      </c>
      <c r="K6" s="2624" t="s">
        <v>2534</v>
      </c>
      <c r="L6" s="683" t="s">
        <v>913</v>
      </c>
      <c r="M6" s="684">
        <f ca="1">INDIRECT("'数据-取费表'!z"&amp;$G$1)</f>
        <v>0</v>
      </c>
    </row>
    <row r="7" spans="1:37" ht="18" customHeight="1">
      <c r="A7" s="2629"/>
      <c r="B7" s="3627"/>
      <c r="C7" s="2631"/>
      <c r="D7" s="2060"/>
      <c r="E7" s="2632" t="s">
        <v>914</v>
      </c>
      <c r="F7" s="684">
        <f ca="1">IF(INDIRECT("'数据-取费表'!ah"&amp;$G$1)="",INDIRECT("'数据-取费表'!k"&amp;$G$1),INDIRECT("'数据-取费表'!ah"&amp;$G$1))</f>
        <v>0</v>
      </c>
      <c r="G7" s="2287"/>
      <c r="H7" s="685"/>
      <c r="I7" s="3627"/>
      <c r="J7" s="687"/>
      <c r="K7" s="688"/>
      <c r="L7" s="683" t="s">
        <v>914</v>
      </c>
      <c r="M7" s="684">
        <f ca="1">F7</f>
        <v>0</v>
      </c>
    </row>
    <row r="8" spans="1:37" ht="18" customHeight="1">
      <c r="A8" s="685"/>
      <c r="B8" s="3627"/>
      <c r="C8" s="687"/>
      <c r="D8" s="688"/>
      <c r="E8" s="683" t="s">
        <v>915</v>
      </c>
      <c r="F8" s="684">
        <f ca="1">INDIRECT("'数据-取费表'!ai"&amp;$G$1)</f>
        <v>0</v>
      </c>
      <c r="G8" s="2287"/>
      <c r="H8" s="685"/>
      <c r="I8" s="3627"/>
      <c r="J8" s="687"/>
      <c r="K8" s="688"/>
      <c r="L8" s="683" t="s">
        <v>915</v>
      </c>
      <c r="M8" s="684">
        <f ca="1">INDIRECT("'数据-取费表'!ai"&amp;$G$1)</f>
        <v>0</v>
      </c>
    </row>
    <row r="9" spans="1:37" ht="18" customHeight="1">
      <c r="A9" s="685"/>
      <c r="B9" s="3628"/>
      <c r="C9" s="687"/>
      <c r="D9" s="688"/>
      <c r="E9" s="683" t="s">
        <v>916</v>
      </c>
      <c r="F9" s="693">
        <f ca="1">INDIRECT("'数据-取费表'!w"&amp;$G$1)</f>
        <v>0</v>
      </c>
      <c r="G9" s="2287"/>
      <c r="H9" s="685"/>
      <c r="I9" s="3628"/>
      <c r="J9" s="687"/>
      <c r="K9" s="688"/>
      <c r="L9" s="694" t="s">
        <v>916</v>
      </c>
      <c r="M9" s="695">
        <f ca="1">INDIRECT("'数据-取费表'!ab"&amp;$G$1)</f>
        <v>0</v>
      </c>
    </row>
    <row r="10" spans="1:37" ht="18" customHeight="1">
      <c r="A10" s="2621" t="s">
        <v>2379</v>
      </c>
      <c r="B10" s="2622" t="s">
        <v>2527</v>
      </c>
      <c r="C10" s="697">
        <f ca="1">ROUND(IF(F10="押一",F6*F8*F7/12*F11,IF(F10="押二",F6*F8*F7/12*2*F11,IF(F10="押三",F6*F8*F7/12*3*F11,C11*F11))),0)</f>
        <v>0</v>
      </c>
      <c r="D10" s="2633" t="s">
        <v>2535</v>
      </c>
      <c r="E10" s="2096" t="s">
        <v>2529</v>
      </c>
      <c r="F10" s="2827"/>
      <c r="G10" s="2287"/>
      <c r="H10" s="2621" t="s">
        <v>2379</v>
      </c>
      <c r="I10" s="2622" t="s">
        <v>2527</v>
      </c>
      <c r="J10" s="682">
        <f ca="1">ROUND(IF(M10="押一",M6*M8*M7/12*M11,IF(M10="押二",M6*M8*M7/12*2*M11,IF(M10="押三",M6*M8*M7/12*3*M11,J11*M11))),0)</f>
        <v>0</v>
      </c>
      <c r="K10" s="2633" t="s">
        <v>2535</v>
      </c>
      <c r="L10" s="2096" t="s">
        <v>2529</v>
      </c>
      <c r="M10" s="2827" t="s">
        <v>2691</v>
      </c>
    </row>
    <row r="11" spans="1:37" ht="18" customHeight="1">
      <c r="A11" s="689"/>
      <c r="B11" s="2623" t="s">
        <v>2537</v>
      </c>
      <c r="C11" s="2414"/>
      <c r="D11" s="688"/>
      <c r="E11" s="2096" t="s">
        <v>2530</v>
      </c>
      <c r="F11" s="695">
        <f ca="1">'数据-取费表'!B39</f>
        <v>1.4999999999999999E-2</v>
      </c>
      <c r="G11" s="2287"/>
      <c r="H11" s="2634"/>
      <c r="I11" s="2623" t="s">
        <v>2692</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917</v>
      </c>
      <c r="C13" s="691">
        <f ca="1">ROUND(C29*F13,0)</f>
        <v>0</v>
      </c>
      <c r="D13" s="2667" t="s">
        <v>918</v>
      </c>
      <c r="E13" s="2667" t="s">
        <v>919</v>
      </c>
      <c r="F13" s="2668">
        <f ca="1">INDIRECT("'数据-取费表'!y"&amp;$G$1)</f>
        <v>0</v>
      </c>
      <c r="G13" s="2287"/>
      <c r="H13" s="2665">
        <v>2</v>
      </c>
      <c r="I13" s="2666" t="s">
        <v>917</v>
      </c>
      <c r="J13" s="2620">
        <f ca="1">ROUND(J14*J15,0)</f>
        <v>0</v>
      </c>
      <c r="K13" s="2675" t="s">
        <v>918</v>
      </c>
      <c r="L13" s="2686"/>
      <c r="M13" s="2687"/>
    </row>
    <row r="14" spans="1:37" ht="18" customHeight="1">
      <c r="A14" s="2437" t="s">
        <v>2369</v>
      </c>
      <c r="B14" s="683" t="s">
        <v>358</v>
      </c>
      <c r="C14" s="701">
        <f ca="1">ROUND(INDIRECT("'数据-取费表'!l"&amp;$G$1)*F43+'数据-取费表'!L14*INDIRECT("'数据-取费表'!S"&amp;$G$1),0)</f>
        <v>0</v>
      </c>
      <c r="D14" s="2718" t="s">
        <v>920</v>
      </c>
      <c r="E14" s="2717"/>
      <c r="F14" s="702"/>
      <c r="G14" s="2287"/>
      <c r="H14" s="2437" t="s">
        <v>2372</v>
      </c>
      <c r="I14" s="683" t="s">
        <v>921</v>
      </c>
      <c r="J14" s="312">
        <f ca="1">C29</f>
        <v>0</v>
      </c>
      <c r="K14" s="302"/>
      <c r="L14" s="699"/>
      <c r="M14" s="700"/>
    </row>
    <row r="15" spans="1:37" s="705" customFormat="1" ht="18" customHeight="1" thickBot="1">
      <c r="A15" s="2437" t="s">
        <v>2604</v>
      </c>
      <c r="B15" s="683" t="s">
        <v>359</v>
      </c>
      <c r="C15" s="312">
        <f ca="1">ROUND(C14*F15,0)</f>
        <v>0</v>
      </c>
      <c r="D15" s="703" t="s">
        <v>922</v>
      </c>
      <c r="E15" s="703" t="s">
        <v>364</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ROUND(INDIRECT("'数据-取费表'!l"&amp;$G$1)*F43*F16,0)</f>
        <v>0</v>
      </c>
      <c r="D16" s="683" t="s">
        <v>922</v>
      </c>
      <c r="E16" s="683" t="s">
        <v>364</v>
      </c>
      <c r="F16" s="706">
        <f ca="1">IF(INDIRECT("'数据-取费表'!c"&amp;$G$1)="住宅",'数据-取费表'!B34,0)</f>
        <v>0</v>
      </c>
      <c r="G16" s="2287"/>
      <c r="H16" s="2665" t="s">
        <v>2337</v>
      </c>
      <c r="I16" s="2666" t="s">
        <v>924</v>
      </c>
      <c r="J16" s="691">
        <f ca="1">ROUND(J17+J22+J23+J24,0)</f>
        <v>0</v>
      </c>
      <c r="K16" s="2675" t="s">
        <v>925</v>
      </c>
      <c r="L16" s="2676"/>
      <c r="M16" s="2627"/>
    </row>
    <row r="17" spans="1:37" s="705" customFormat="1" ht="18" customHeight="1">
      <c r="A17" s="2437" t="s">
        <v>2606</v>
      </c>
      <c r="B17" s="683" t="s">
        <v>361</v>
      </c>
      <c r="C17" s="312">
        <f ca="1">ROUND(F17*(F43+INDIRECT("'数据-取费表'!S"&amp;$G$1)),0)</f>
        <v>0</v>
      </c>
      <c r="D17" s="683" t="s">
        <v>926</v>
      </c>
      <c r="E17" s="683" t="s">
        <v>927</v>
      </c>
      <c r="F17" s="314">
        <f>'数据-取费表'!B35</f>
        <v>200</v>
      </c>
      <c r="G17" s="2288"/>
      <c r="H17" s="2437" t="s">
        <v>2372</v>
      </c>
      <c r="I17" s="683" t="s">
        <v>362</v>
      </c>
      <c r="J17" s="312">
        <f ca="1">ROUND(IF(项目基本情况!B11="自然人",J5*M17,J18+J19+J20),0)</f>
        <v>0</v>
      </c>
      <c r="K17" s="2718" t="s">
        <v>928</v>
      </c>
      <c r="L17" s="2719"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0</v>
      </c>
      <c r="D18" s="683" t="s">
        <v>922</v>
      </c>
      <c r="E18" s="683" t="s">
        <v>364</v>
      </c>
      <c r="F18" s="706">
        <f>'数据-取费表'!B36</f>
        <v>1.4999999999999999E-2</v>
      </c>
      <c r="G18" s="2288"/>
      <c r="H18" s="2437" t="s">
        <v>2369</v>
      </c>
      <c r="I18" s="683" t="s">
        <v>930</v>
      </c>
      <c r="J18" s="312">
        <f ca="1">ROUND(J5*M18/(1+'数据-取费表'!C42),0)</f>
        <v>0</v>
      </c>
      <c r="K18" s="2719" t="s">
        <v>931</v>
      </c>
      <c r="L18" s="683" t="s">
        <v>364</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365</v>
      </c>
      <c r="C19" s="312">
        <f ca="1">SUM(C14:C18)</f>
        <v>0</v>
      </c>
      <c r="D19" s="470" t="s">
        <v>932</v>
      </c>
      <c r="E19" s="2721"/>
      <c r="F19" s="314"/>
      <c r="G19" s="2287"/>
      <c r="H19" s="2437" t="s">
        <v>2604</v>
      </c>
      <c r="I19" s="683" t="s">
        <v>933</v>
      </c>
      <c r="J19" s="312">
        <f ca="1">IF(K19="按租金收入计税",ROUND(J5*M19,0),ROUND(C29*M19*0.7,0))</f>
        <v>0</v>
      </c>
      <c r="K19" s="1299" t="s">
        <v>2412</v>
      </c>
      <c r="L19" s="683" t="s">
        <v>364</v>
      </c>
      <c r="M19" s="706">
        <f>IF(K19="按租金收入计税",'数据-取费表'!B51,'数据-取费表'!B50)</f>
        <v>1.2E-2</v>
      </c>
    </row>
    <row r="20" spans="1:37" s="705" customFormat="1" ht="18" customHeight="1">
      <c r="A20" s="2437" t="s">
        <v>2608</v>
      </c>
      <c r="B20" s="683" t="s">
        <v>366</v>
      </c>
      <c r="C20" s="312">
        <f ca="1">ROUND(C19*F20,0)</f>
        <v>0</v>
      </c>
      <c r="D20" s="708" t="s">
        <v>934</v>
      </c>
      <c r="E20" s="683" t="s">
        <v>364</v>
      </c>
      <c r="F20" s="706">
        <f>'数据-取费表'!B37</f>
        <v>0.02</v>
      </c>
      <c r="G20" s="2288"/>
      <c r="H20" s="2437" t="s">
        <v>2605</v>
      </c>
      <c r="I20" s="495" t="s">
        <v>935</v>
      </c>
      <c r="J20" s="313">
        <f ca="1">ROUND(M20*M21,0)</f>
        <v>0</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23</v>
      </c>
      <c r="D21" s="708" t="s">
        <v>939</v>
      </c>
      <c r="E21" s="683" t="s">
        <v>940</v>
      </c>
      <c r="F21" s="706">
        <f>'数据-取费表'!B38</f>
        <v>0.02</v>
      </c>
      <c r="G21" s="2288"/>
      <c r="H21" s="711"/>
      <c r="I21" s="692"/>
      <c r="J21" s="317"/>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721"/>
      <c r="F22" s="314"/>
      <c r="G22" s="2287"/>
      <c r="H22" s="2437" t="s">
        <v>2379</v>
      </c>
      <c r="I22" s="683" t="s">
        <v>943</v>
      </c>
      <c r="J22" s="312">
        <f ca="1">ROUND(J14*M22,0)</f>
        <v>0</v>
      </c>
      <c r="K22" s="2719" t="s">
        <v>944</v>
      </c>
      <c r="L22" s="683" t="s">
        <v>364</v>
      </c>
      <c r="M22" s="713">
        <f ca="1">INDIRECT("'数据-取费表'!Ak"&amp;$G$1)</f>
        <v>0</v>
      </c>
    </row>
    <row r="23" spans="1:37" s="705" customFormat="1" ht="18" customHeight="1">
      <c r="A23" s="2437" t="s">
        <v>2369</v>
      </c>
      <c r="B23" s="683" t="s">
        <v>2524</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ROUND(J13*M23,0)</f>
        <v>0</v>
      </c>
      <c r="K23" s="2719"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721"/>
      <c r="F25" s="314"/>
      <c r="G25" s="2287"/>
      <c r="H25" s="2665" t="s">
        <v>2352</v>
      </c>
      <c r="I25" s="2682" t="s">
        <v>376</v>
      </c>
      <c r="J25" s="691">
        <f ca="1">J5-J16</f>
        <v>0</v>
      </c>
      <c r="K25" s="2683" t="s">
        <v>377</v>
      </c>
      <c r="L25" s="2684"/>
      <c r="M25" s="2685"/>
    </row>
    <row r="26" spans="1:37" ht="18" customHeight="1">
      <c r="A26" s="2437" t="s">
        <v>2369</v>
      </c>
      <c r="B26" s="683" t="s">
        <v>2525</v>
      </c>
      <c r="C26" s="312">
        <f ca="1">ROUND((C19+C20)*F26,0)</f>
        <v>0</v>
      </c>
      <c r="D26" s="708" t="s">
        <v>953</v>
      </c>
      <c r="E26" s="694" t="s">
        <v>954</v>
      </c>
      <c r="F26" s="693">
        <f ca="1">INDIRECT("'数据-取费表'!q"&amp;$G$1)</f>
        <v>0</v>
      </c>
      <c r="G26" s="2287"/>
      <c r="H26" s="680" t="s">
        <v>2355</v>
      </c>
      <c r="I26" s="681" t="s">
        <v>955</v>
      </c>
      <c r="J26" s="682">
        <f ca="1">IF(J5&lt;&gt;0,ROUND(J25*(1-((1+M28)/(1+M26))^M27)/(M26-M28),0),0)</f>
        <v>0</v>
      </c>
      <c r="K26" s="709" t="s">
        <v>372</v>
      </c>
      <c r="L26" s="683" t="s">
        <v>373</v>
      </c>
      <c r="M26" s="693">
        <f ca="1">INDIRECT("'数据-取费表'!I"&amp;$G$1)</f>
        <v>0</v>
      </c>
    </row>
    <row r="27" spans="1:37" ht="18" customHeight="1">
      <c r="A27" s="2437" t="s">
        <v>2375</v>
      </c>
      <c r="B27" s="683" t="s">
        <v>374</v>
      </c>
      <c r="C27" s="312">
        <f ca="1">ROUND(F21*F26,4)</f>
        <v>0</v>
      </c>
      <c r="D27" s="708" t="s">
        <v>957</v>
      </c>
      <c r="E27" s="703"/>
      <c r="F27" s="704"/>
      <c r="G27" s="2287"/>
      <c r="H27" s="685"/>
      <c r="I27" s="686"/>
      <c r="J27" s="687"/>
      <c r="K27" s="717" t="s">
        <v>958</v>
      </c>
      <c r="L27" s="683" t="s">
        <v>380</v>
      </c>
      <c r="M27" s="718">
        <f ca="1">INDIRECT("'数据-取费表'!ag"&amp;$G$1)</f>
        <v>0</v>
      </c>
    </row>
    <row r="28" spans="1:37" s="705" customFormat="1" ht="18" customHeight="1">
      <c r="A28" s="2437" t="s">
        <v>2377</v>
      </c>
      <c r="B28" s="683" t="s">
        <v>375</v>
      </c>
      <c r="C28" s="312">
        <f>ROUND(F28/(1+'数据-取费表'!C42),4)</f>
        <v>5.2400000000000002E-2</v>
      </c>
      <c r="D28" s="708" t="s">
        <v>964</v>
      </c>
      <c r="E28" s="683" t="s">
        <v>364</v>
      </c>
      <c r="F28" s="706">
        <f>'数据-取费表'!B41</f>
        <v>5.5000000000000007E-2</v>
      </c>
      <c r="G28" s="2288"/>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0</v>
      </c>
      <c r="D29" s="2680"/>
      <c r="E29" s="2678"/>
      <c r="F29" s="2681"/>
      <c r="G29" s="2288"/>
      <c r="H29" s="719" t="s">
        <v>2362</v>
      </c>
      <c r="I29" s="720" t="s">
        <v>959</v>
      </c>
      <c r="J29" s="721">
        <f ca="1">ROUND(J26/(1+F40)^F41,0)</f>
        <v>0</v>
      </c>
      <c r="K29" s="722" t="s">
        <v>960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0</v>
      </c>
      <c r="D30" s="2675" t="s">
        <v>925</v>
      </c>
      <c r="E30" s="2676"/>
      <c r="F30" s="2627"/>
      <c r="G30" s="2287"/>
      <c r="H30" s="1276"/>
      <c r="I30" s="1277"/>
      <c r="J30" s="1278"/>
      <c r="K30" s="1279"/>
      <c r="L30" s="1280"/>
      <c r="M30" s="1281"/>
    </row>
    <row r="31" spans="1:37" ht="18" customHeight="1">
      <c r="A31" s="2437" t="s">
        <v>2372</v>
      </c>
      <c r="B31" s="683" t="s">
        <v>362</v>
      </c>
      <c r="C31" s="312">
        <f ca="1">ROUND(IF(项目基本情况!B11="自然人",C5*F31,C32+C33+C34),0)</f>
        <v>0</v>
      </c>
      <c r="D31" s="2718" t="s">
        <v>928</v>
      </c>
      <c r="E31" s="2719"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2">
        <f ca="1">IF(项目基本情况!B11="自然人","——",ROUND(C5*F32/(1+'数据-取费表'!C42),0))</f>
        <v>0</v>
      </c>
      <c r="D32" s="2719" t="s">
        <v>931</v>
      </c>
      <c r="E32" s="683" t="s">
        <v>364</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IF(项目基本情况!B11="自然人","——",IF(D33="按租金收入计税",ROUND(C5*F33,0),IF(D33="按房产原值计税",ROUND(C29*F33*0.7,0),INDIRECT("'数据-取费表'!Aj"&amp;$G$1))))</f>
        <v>0</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935</v>
      </c>
      <c r="C34" s="313">
        <f ca="1">IF(项目基本情况!B11="自然人","——",ROUND(F34*F35,))</f>
        <v>0</v>
      </c>
      <c r="D34" s="709" t="s">
        <v>936</v>
      </c>
      <c r="E34" s="683" t="s">
        <v>937</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0</v>
      </c>
      <c r="G35" s="2287"/>
      <c r="H35" s="1276"/>
      <c r="I35" s="2880"/>
      <c r="J35" s="2881"/>
      <c r="K35" s="1289"/>
      <c r="L35" s="1288"/>
      <c r="M35" s="1288"/>
    </row>
    <row r="36" spans="1:18" ht="18" customHeight="1">
      <c r="A36" s="2694" t="s">
        <v>2379</v>
      </c>
      <c r="B36" s="683" t="s">
        <v>943</v>
      </c>
      <c r="C36" s="312">
        <f ca="1">ROUND(C29*F36,0)</f>
        <v>0</v>
      </c>
      <c r="D36" s="2719" t="s">
        <v>973</v>
      </c>
      <c r="E36" s="683" t="s">
        <v>364</v>
      </c>
      <c r="F36" s="713">
        <f ca="1">INDIRECT("'数据-取费表'!Ak"&amp;$G$1)</f>
        <v>0</v>
      </c>
      <c r="G36" s="2287"/>
      <c r="H36" s="1288"/>
      <c r="I36" s="2880"/>
      <c r="J36" s="2881"/>
      <c r="K36" s="1292"/>
      <c r="L36" s="1288"/>
      <c r="M36" s="1288"/>
    </row>
    <row r="37" spans="1:18" ht="18" customHeight="1">
      <c r="A37" s="2437" t="s">
        <v>2609</v>
      </c>
      <c r="B37" s="683" t="s">
        <v>367</v>
      </c>
      <c r="C37" s="312">
        <f ca="1">ROUND(C13*F37,0)</f>
        <v>0</v>
      </c>
      <c r="D37" s="2719" t="s">
        <v>368</v>
      </c>
      <c r="E37" s="683" t="s">
        <v>364</v>
      </c>
      <c r="F37" s="715">
        <f ca="1">INDIRECT("'数据-取费表'!Al"&amp;$G$1)</f>
        <v>0</v>
      </c>
      <c r="G37" s="2287"/>
      <c r="H37" s="1288"/>
      <c r="I37" s="2880"/>
      <c r="J37" s="2881"/>
      <c r="K37" s="1292"/>
      <c r="L37" s="1288"/>
      <c r="M37" s="1288"/>
    </row>
    <row r="38" spans="1:18" ht="18" customHeight="1" thickBot="1">
      <c r="A38" s="2677" t="s">
        <v>2610</v>
      </c>
      <c r="B38" s="2678" t="s">
        <v>366</v>
      </c>
      <c r="C38" s="2679">
        <f ca="1">ROUND(C5*F38,1)</f>
        <v>0</v>
      </c>
      <c r="D38" s="2680" t="s">
        <v>370</v>
      </c>
      <c r="E38" s="2678" t="s">
        <v>364</v>
      </c>
      <c r="F38" s="2674">
        <f ca="1">INDIRECT("'数据-取费表'!Am"&amp;$G$1)</f>
        <v>0</v>
      </c>
      <c r="G38" s="2287"/>
      <c r="H38" s="1288"/>
      <c r="I38" s="2880"/>
      <c r="J38" s="2881"/>
      <c r="K38" s="1293"/>
      <c r="L38" s="1288"/>
      <c r="M38" s="1288"/>
    </row>
    <row r="39" spans="1:18" ht="24.6" customHeight="1" thickTop="1">
      <c r="A39" s="2665" t="s">
        <v>2352</v>
      </c>
      <c r="B39" s="2682" t="s">
        <v>376</v>
      </c>
      <c r="C39" s="691">
        <f ca="1">C5-C30</f>
        <v>0</v>
      </c>
      <c r="D39" s="2683" t="s">
        <v>377</v>
      </c>
      <c r="E39" s="2684"/>
      <c r="F39" s="2685"/>
      <c r="G39" s="2287"/>
      <c r="H39" s="1288"/>
      <c r="I39" s="2880"/>
      <c r="J39" s="2881"/>
      <c r="K39" s="1293"/>
      <c r="L39" s="1288"/>
      <c r="M39" s="1288"/>
    </row>
    <row r="40" spans="1:18" ht="18" customHeight="1">
      <c r="A40" s="680" t="s">
        <v>2355</v>
      </c>
      <c r="B40" s="681" t="s">
        <v>378</v>
      </c>
      <c r="C40" s="682" t="e">
        <f ca="1">ROUND(C39*(1-((1+F42)/(1+F40))^F41)/(F40-F42),0)</f>
        <v>#DIV/0!</v>
      </c>
      <c r="D40" s="709" t="s">
        <v>372</v>
      </c>
      <c r="E40" s="683" t="s">
        <v>373</v>
      </c>
      <c r="F40" s="693">
        <f ca="1">INDIRECT("'数据-取费表'!I"&amp;$G$1)</f>
        <v>0</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7"/>
      <c r="H41" s="1190"/>
      <c r="I41" s="2880"/>
      <c r="J41" s="2881"/>
      <c r="K41" s="1292"/>
      <c r="L41" s="1190"/>
      <c r="M41" s="1190"/>
    </row>
    <row r="42" spans="1:18" ht="18" customHeight="1">
      <c r="A42" s="689"/>
      <c r="B42" s="690"/>
      <c r="C42" s="691"/>
      <c r="D42" s="712"/>
      <c r="E42" s="683" t="s">
        <v>381</v>
      </c>
      <c r="F42" s="693">
        <f ca="1">INDIRECT("'数据-取费表'!v"&amp;$G$1)</f>
        <v>0</v>
      </c>
      <c r="G42" s="2287"/>
      <c r="H42" s="1190"/>
      <c r="I42" s="2880"/>
      <c r="J42" s="2881"/>
      <c r="K42" s="1292"/>
      <c r="L42" s="1190"/>
      <c r="M42" s="1190"/>
    </row>
    <row r="43" spans="1:18" ht="18" customHeight="1" thickBot="1">
      <c r="A43" s="719" t="s">
        <v>2362</v>
      </c>
      <c r="B43" s="720" t="s">
        <v>382</v>
      </c>
      <c r="C43" s="721" t="e">
        <f ca="1">ROUND(C40/F43,0)</f>
        <v>#DIV/0!</v>
      </c>
      <c r="D43" s="722" t="s">
        <v>383</v>
      </c>
      <c r="E43" s="723" t="s">
        <v>384</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2620</v>
      </c>
      <c r="E45" s="1431"/>
      <c r="F45" s="1431"/>
      <c r="O45" s="2590" t="s">
        <v>2485</v>
      </c>
      <c r="P45" s="1294"/>
      <c r="Q45" s="1294"/>
      <c r="R45" s="1294"/>
    </row>
    <row r="46" spans="1:18" s="1453"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3" customFormat="1" ht="15.75" thickBot="1">
      <c r="A47" s="2397" t="s">
        <v>908</v>
      </c>
      <c r="B47" s="2433" t="s">
        <v>909</v>
      </c>
      <c r="C47" s="2433" t="s">
        <v>910</v>
      </c>
      <c r="D47" s="2433" t="s">
        <v>911</v>
      </c>
      <c r="E47" s="2536" t="s">
        <v>912</v>
      </c>
      <c r="F47" s="2537"/>
      <c r="G47" s="1455"/>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3" customFormat="1" ht="47.25" thickBot="1">
      <c r="A48" s="2710" t="s">
        <v>2615</v>
      </c>
      <c r="B48" s="681" t="s">
        <v>2331</v>
      </c>
      <c r="C48" s="2720">
        <f ca="1">C49+C53+C55</f>
        <v>0</v>
      </c>
      <c r="D48" s="2714"/>
      <c r="E48" s="2715"/>
      <c r="F48" s="2417"/>
      <c r="G48" s="1455"/>
      <c r="H48" s="1456"/>
      <c r="I48" s="2543" t="s">
        <v>2414</v>
      </c>
      <c r="J48" s="2554"/>
      <c r="K48" s="2564" t="s">
        <v>682</v>
      </c>
      <c r="L48" s="2167">
        <f ca="1">INDIRECT("'数据-取费表'!f"&amp;$G$1)</f>
        <v>0</v>
      </c>
      <c r="O48" s="2586" t="s">
        <v>2449</v>
      </c>
      <c r="P48" s="2596" t="s">
        <v>2468</v>
      </c>
      <c r="Q48" s="2587" t="e">
        <f ca="1">J60</f>
        <v>#DIV/0!</v>
      </c>
      <c r="R48" s="2587" t="s">
        <v>2476</v>
      </c>
    </row>
    <row r="49" spans="1:18" s="1453" customFormat="1" ht="15.75" thickBot="1">
      <c r="A49" s="2430" t="s">
        <v>2616</v>
      </c>
      <c r="B49" s="2713" t="s">
        <v>2618</v>
      </c>
      <c r="C49" s="2722">
        <f ca="1">ROUND(F49*F51*F50*(1-F52),0)</f>
        <v>0</v>
      </c>
      <c r="D49" s="2532" t="s">
        <v>2332</v>
      </c>
      <c r="E49" s="2535" t="s">
        <v>2325</v>
      </c>
      <c r="F49" s="2538"/>
      <c r="G49" s="1457"/>
      <c r="H49" s="1456"/>
      <c r="I49" s="2543" t="s">
        <v>2434</v>
      </c>
      <c r="J49" s="2555"/>
      <c r="K49" s="2565" t="s">
        <v>2439</v>
      </c>
      <c r="L49" s="2566"/>
      <c r="O49" s="2588" t="s">
        <v>2450</v>
      </c>
      <c r="P49" s="2596" t="s">
        <v>2469</v>
      </c>
      <c r="Q49" s="2587">
        <f ca="1">C29</f>
        <v>0</v>
      </c>
      <c r="R49" s="2587" t="s">
        <v>2467</v>
      </c>
    </row>
    <row r="50" spans="1:18" s="1453" customFormat="1" ht="15.75" thickBot="1">
      <c r="A50" s="2431"/>
      <c r="B50" s="2434"/>
      <c r="C50" s="2435"/>
      <c r="D50" s="2404"/>
      <c r="E50" s="2533" t="s">
        <v>914</v>
      </c>
      <c r="F50" s="2534">
        <f ca="1">F7</f>
        <v>0</v>
      </c>
      <c r="H50" s="1456"/>
      <c r="I50" s="2543" t="s">
        <v>2416</v>
      </c>
      <c r="J50" s="2556">
        <f>SUMPRODUCT((I63:I65=J47)*(J62:L62=J48)*(J63:L65))</f>
        <v>0</v>
      </c>
      <c r="K50" s="2565" t="s">
        <v>2440</v>
      </c>
      <c r="L50" s="2566"/>
      <c r="M50" s="2560"/>
      <c r="O50" s="2588" t="s">
        <v>2451</v>
      </c>
      <c r="P50" s="2596" t="s">
        <v>2477</v>
      </c>
      <c r="Q50" s="2589" t="e">
        <f ca="1">J58</f>
        <v>#DIV/0!</v>
      </c>
      <c r="R50" s="2587"/>
    </row>
    <row r="51" spans="1:18" s="1453" customFormat="1" ht="15.75" thickBot="1">
      <c r="A51" s="2432"/>
      <c r="B51" s="2434"/>
      <c r="C51" s="2435"/>
      <c r="D51" s="2404"/>
      <c r="E51" s="2436" t="s">
        <v>915</v>
      </c>
      <c r="F51" s="684">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3" customFormat="1" ht="15.75" thickBot="1">
      <c r="A52" s="2432"/>
      <c r="B52" s="2434"/>
      <c r="C52" s="2435"/>
      <c r="D52" s="2404"/>
      <c r="E52" s="2436" t="s">
        <v>916</v>
      </c>
      <c r="F52" s="2531"/>
      <c r="I52" s="2559" t="s">
        <v>2444</v>
      </c>
      <c r="J52" s="2573"/>
      <c r="K52" s="2559" t="s">
        <v>2429</v>
      </c>
      <c r="L52" s="2573"/>
      <c r="M52" s="2396"/>
      <c r="O52" s="2588" t="s">
        <v>2453</v>
      </c>
      <c r="P52" s="2596" t="s">
        <v>2470</v>
      </c>
      <c r="Q52" s="2587">
        <f ca="1">J53</f>
        <v>0</v>
      </c>
      <c r="R52" s="2587" t="s">
        <v>2471</v>
      </c>
    </row>
    <row r="53" spans="1:18" s="1453" customFormat="1" ht="43.5" thickBot="1">
      <c r="A53" s="2711" t="s">
        <v>2617</v>
      </c>
      <c r="B53" s="2712" t="s">
        <v>2527</v>
      </c>
      <c r="C53" s="697">
        <f ca="1">ROUND(IF(F53="押一",F49*F51*F50/12*F11,IF(F53="押二",F49*F51*F50/12*2*F11,IF(F53="押三",F49*F51*F50/12*3*F11,C54*F11))),0)</f>
        <v>0</v>
      </c>
      <c r="D53" s="2633" t="s">
        <v>2535</v>
      </c>
      <c r="E53" s="2096" t="s">
        <v>2529</v>
      </c>
      <c r="F53" s="2827"/>
      <c r="I53" s="2569" t="s">
        <v>2446</v>
      </c>
      <c r="J53" s="2570">
        <f ca="1">IF(M47="住宅",J51,MIN(J51,L48))</f>
        <v>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5"/>
      <c r="O53" s="2586" t="s">
        <v>2454</v>
      </c>
      <c r="P53" s="2596" t="s">
        <v>2472</v>
      </c>
      <c r="Q53" s="2587" t="e">
        <f ca="1">Q47+Q48</f>
        <v>#DIV/0!</v>
      </c>
      <c r="R53" s="2587" t="s">
        <v>2455</v>
      </c>
    </row>
    <row r="54" spans="1:18" s="1453" customFormat="1" ht="16.5" thickBot="1">
      <c r="A54" s="2430"/>
      <c r="B54" s="2824" t="s">
        <v>2692</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16"/>
      <c r="F55" s="2539"/>
      <c r="I55" s="3316" t="s">
        <v>2422</v>
      </c>
      <c r="J55" s="3315" t="e">
        <f ca="1">ROUND(IF(J47="钢混",J57/J50,1-(1-2%)*(J50-J57)/J50),3)</f>
        <v>#DIV/0!</v>
      </c>
      <c r="K55" s="2550" t="s">
        <v>2423</v>
      </c>
      <c r="L55" s="2572"/>
      <c r="O55" s="2593" t="s">
        <v>2463</v>
      </c>
      <c r="P55" s="2594" t="s">
        <v>2464</v>
      </c>
      <c r="Q55" s="2595" t="s">
        <v>2462</v>
      </c>
      <c r="R55" s="2595" t="s">
        <v>2465</v>
      </c>
    </row>
    <row r="56" spans="1:18" s="1453" customFormat="1" ht="44.25" thickTop="1" thickBot="1">
      <c r="A56" s="2408">
        <v>2</v>
      </c>
      <c r="B56" s="2409" t="s">
        <v>917</v>
      </c>
      <c r="C56" s="607">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3" customFormat="1" ht="29.25" thickBot="1">
      <c r="A57" s="2540"/>
      <c r="B57" s="2401" t="s">
        <v>966</v>
      </c>
      <c r="C57" s="613">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3" customFormat="1" ht="29.25" thickBot="1">
      <c r="A58" s="696" t="s">
        <v>2337</v>
      </c>
      <c r="B58" s="2409" t="s">
        <v>924</v>
      </c>
      <c r="C58" s="697">
        <f ca="1">ROUND(C59+C64+C65+C66,0)</f>
        <v>0</v>
      </c>
      <c r="D58" s="2415" t="s">
        <v>925</v>
      </c>
      <c r="E58" s="2416"/>
      <c r="F58" s="2417"/>
      <c r="I58" s="2544" t="s">
        <v>2425</v>
      </c>
      <c r="J58" s="3317"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ROUND(IF(项目基本情况!B11="自然人",C48*F59,C60+C61+C62),0)</f>
        <v>0</v>
      </c>
      <c r="D59" s="2418" t="s">
        <v>928</v>
      </c>
      <c r="E59" s="2419" t="s">
        <v>929</v>
      </c>
      <c r="F59" s="707"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930</v>
      </c>
      <c r="C60" s="312">
        <f ca="1">IF(项目基本情况!B11="自然人","——",ROUND(C48*F60/(1+'数据-取费表'!C42),0))</f>
        <v>0</v>
      </c>
      <c r="D60" s="2419" t="s">
        <v>931</v>
      </c>
      <c r="E60" s="2401" t="s">
        <v>364</v>
      </c>
      <c r="F60" s="716">
        <f t="shared" ref="F60:F66" si="0">F32</f>
        <v>5.5000000000000007E-2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3" customFormat="1" ht="20.25" thickBot="1">
      <c r="A61" s="2437" t="s">
        <v>2370</v>
      </c>
      <c r="B61" s="2401" t="s">
        <v>933</v>
      </c>
      <c r="C61" s="312">
        <f ca="1">IF(项目基本情况!B11="自然人","——",IF(D61="按租金收入计税",ROUND(C48*F61,0),IF(D61="按房产原值计税",ROUND(C57*F61*0.7,0),INDIRECT("'数据-取费表'!Aj"&amp;$G$1))))</f>
        <v>0</v>
      </c>
      <c r="D61" s="1299" t="s">
        <v>2412</v>
      </c>
      <c r="E61" s="2401" t="s">
        <v>364</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935</v>
      </c>
      <c r="C62" s="313">
        <f ca="1">IF(项目基本情况!B11="自然人","——",ROUND(F62*F63,0))</f>
        <v>0</v>
      </c>
      <c r="D62" s="2420" t="s">
        <v>936</v>
      </c>
      <c r="E62" s="2401" t="s">
        <v>937</v>
      </c>
      <c r="F62" s="710">
        <f t="shared" si="0"/>
        <v>1.5</v>
      </c>
      <c r="I62" s="2546" t="s">
        <v>2417</v>
      </c>
      <c r="J62" s="2547" t="s">
        <v>2418</v>
      </c>
      <c r="K62" s="2547" t="s">
        <v>2419</v>
      </c>
      <c r="L62" s="2547" t="s">
        <v>2415</v>
      </c>
      <c r="M62" s="3318" t="s">
        <v>3035</v>
      </c>
      <c r="O62" s="2586" t="s">
        <v>2454</v>
      </c>
      <c r="P62" s="2596" t="s">
        <v>2472</v>
      </c>
      <c r="Q62" s="2587" t="e">
        <f ca="1">Q56+Q57</f>
        <v>#DIV/0!</v>
      </c>
      <c r="R62" s="2587" t="s">
        <v>2455</v>
      </c>
    </row>
    <row r="63" spans="1:18" s="1453" customFormat="1" ht="16.5" thickBot="1">
      <c r="A63" s="711"/>
      <c r="B63" s="2407"/>
      <c r="C63" s="317"/>
      <c r="D63" s="2421"/>
      <c r="E63" s="2401" t="s">
        <v>941</v>
      </c>
      <c r="F63" s="684">
        <f t="shared" ca="1" si="0"/>
        <v>0</v>
      </c>
      <c r="I63" s="2546" t="s">
        <v>2431</v>
      </c>
      <c r="J63" s="3321">
        <v>70</v>
      </c>
      <c r="K63" s="3321">
        <v>50</v>
      </c>
      <c r="L63" s="3321">
        <v>80</v>
      </c>
      <c r="M63" s="3319">
        <v>0.02</v>
      </c>
      <c r="O63" s="2590" t="s">
        <v>2486</v>
      </c>
      <c r="P63" s="1294"/>
      <c r="Q63" s="1294"/>
      <c r="R63" s="1294"/>
    </row>
    <row r="64" spans="1:18" s="1453" customFormat="1" ht="15.75" thickBot="1">
      <c r="A64" s="2437" t="s">
        <v>2379</v>
      </c>
      <c r="B64" s="2401" t="s">
        <v>943</v>
      </c>
      <c r="C64" s="312">
        <f ca="1">ROUND(C57*F64,0)</f>
        <v>0</v>
      </c>
      <c r="D64" s="2419" t="s">
        <v>973</v>
      </c>
      <c r="E64" s="2401" t="s">
        <v>364</v>
      </c>
      <c r="F64" s="713">
        <f t="shared" ca="1" si="0"/>
        <v>0</v>
      </c>
      <c r="I64" s="2546" t="s">
        <v>107</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ROUND(C56*F65,0)</f>
        <v>0</v>
      </c>
      <c r="D65" s="2419" t="s">
        <v>368</v>
      </c>
      <c r="E65" s="2401" t="s">
        <v>364</v>
      </c>
      <c r="F65" s="715">
        <f t="shared" ca="1" si="0"/>
        <v>0</v>
      </c>
      <c r="I65" s="2546" t="s">
        <v>2433</v>
      </c>
      <c r="J65" s="3321">
        <v>40</v>
      </c>
      <c r="K65" s="3321">
        <v>30</v>
      </c>
      <c r="L65" s="3321">
        <v>50</v>
      </c>
      <c r="M65" s="3319">
        <v>0.02</v>
      </c>
      <c r="O65" s="2586" t="s">
        <v>2448</v>
      </c>
      <c r="P65" s="2596" t="s">
        <v>2466</v>
      </c>
      <c r="Q65" s="2587" t="e">
        <f ca="1">C40+J29</f>
        <v>#DIV/0!</v>
      </c>
      <c r="R65" s="2587" t="s">
        <v>2467</v>
      </c>
    </row>
    <row r="66" spans="1:18" s="1453" customFormat="1" ht="20.25" thickBot="1">
      <c r="A66" s="2437" t="s">
        <v>2374</v>
      </c>
      <c r="B66" s="2401" t="s">
        <v>366</v>
      </c>
      <c r="C66" s="312">
        <f ca="1">ROUND(C48*F66,0)</f>
        <v>0</v>
      </c>
      <c r="D66" s="2419" t="s">
        <v>370</v>
      </c>
      <c r="E66" s="2401" t="s">
        <v>364</v>
      </c>
      <c r="F66" s="693">
        <f t="shared" ca="1" si="0"/>
        <v>0</v>
      </c>
      <c r="O66" s="2586" t="s">
        <v>2449</v>
      </c>
      <c r="P66" s="2596" t="s">
        <v>2473</v>
      </c>
      <c r="Q66" s="2587" t="e">
        <f ca="1">L60</f>
        <v>#DIV/0!</v>
      </c>
      <c r="R66" s="2587" t="s">
        <v>2456</v>
      </c>
    </row>
    <row r="67" spans="1:18" s="1453" customFormat="1" ht="24.75" thickBot="1">
      <c r="A67" s="2408" t="s">
        <v>2352</v>
      </c>
      <c r="B67" s="2422" t="s">
        <v>376</v>
      </c>
      <c r="C67" s="697">
        <f ca="1">C48-C58</f>
        <v>0</v>
      </c>
      <c r="D67" s="2418" t="s">
        <v>377</v>
      </c>
      <c r="E67" s="2423"/>
      <c r="F67" s="2424"/>
      <c r="O67" s="2588" t="s">
        <v>2450</v>
      </c>
      <c r="P67" s="2596" t="s">
        <v>2480</v>
      </c>
      <c r="Q67" s="2591">
        <f ca="1">L51</f>
        <v>0</v>
      </c>
      <c r="R67" s="2592" t="s">
        <v>2490</v>
      </c>
    </row>
    <row r="68" spans="1:18" s="1453" customFormat="1" ht="20.25" thickBot="1">
      <c r="A68" s="2398" t="s">
        <v>2355</v>
      </c>
      <c r="B68" s="2399" t="s">
        <v>378</v>
      </c>
      <c r="C68" s="682" t="e">
        <f ca="1">ROUND(C67*(1-((1+F70)/(1+F68))^F69)/(F68-F70),0)</f>
        <v>#DIV/0!</v>
      </c>
      <c r="D68" s="2420" t="s">
        <v>372</v>
      </c>
      <c r="E68" s="2401" t="s">
        <v>373</v>
      </c>
      <c r="F68" s="693">
        <f ca="1">F40</f>
        <v>0</v>
      </c>
      <c r="O68" s="2588" t="s">
        <v>2451</v>
      </c>
      <c r="P68" s="2597" t="s">
        <v>2484</v>
      </c>
      <c r="Q68" s="2587">
        <f ca="1">ROUND(Q69-Q70*Q71,0)</f>
        <v>0</v>
      </c>
      <c r="R68" s="2587" t="s">
        <v>2489</v>
      </c>
    </row>
    <row r="69" spans="1:18" s="1453" customFormat="1" ht="15.75" thickBot="1">
      <c r="A69" s="2402"/>
      <c r="B69" s="2403"/>
      <c r="C69" s="687"/>
      <c r="D69" s="2425" t="s">
        <v>958</v>
      </c>
      <c r="E69" s="2401" t="s">
        <v>380</v>
      </c>
      <c r="F69" s="718">
        <f ca="1">F41</f>
        <v>0</v>
      </c>
      <c r="O69" s="2588" t="s">
        <v>2459</v>
      </c>
      <c r="P69" s="2597" t="s">
        <v>2474</v>
      </c>
      <c r="Q69" s="2587">
        <f ca="1">C39</f>
        <v>0</v>
      </c>
      <c r="R69" s="2587" t="s">
        <v>2467</v>
      </c>
    </row>
    <row r="70" spans="1:18" s="1453" customFormat="1" ht="15.75" thickBot="1">
      <c r="A70" s="2405"/>
      <c r="B70" s="2406"/>
      <c r="C70" s="691"/>
      <c r="D70" s="2421"/>
      <c r="E70" s="2401" t="s">
        <v>381</v>
      </c>
      <c r="F70" s="2531">
        <f ca="1">F42</f>
        <v>0</v>
      </c>
      <c r="O70" s="2588" t="s">
        <v>2460</v>
      </c>
      <c r="P70" s="2597" t="s">
        <v>2475</v>
      </c>
      <c r="Q70" s="2587">
        <f ca="1">C13</f>
        <v>0</v>
      </c>
      <c r="R70" s="2587" t="s">
        <v>2467</v>
      </c>
    </row>
    <row r="71" spans="1:18" s="1453" customFormat="1" ht="15.75" thickBot="1">
      <c r="A71" s="2426" t="s">
        <v>2362</v>
      </c>
      <c r="B71" s="2427" t="s">
        <v>382</v>
      </c>
      <c r="C71" s="721" t="e">
        <f ca="1">ROUND(C68/F71,0)</f>
        <v>#DIV/0!</v>
      </c>
      <c r="D71" s="2428" t="s">
        <v>383</v>
      </c>
      <c r="E71" s="2429" t="s">
        <v>384</v>
      </c>
      <c r="F71" s="724">
        <f ca="1">F43</f>
        <v>0</v>
      </c>
      <c r="I71" s="2396"/>
      <c r="K71" s="2396"/>
      <c r="O71" s="2588" t="s">
        <v>2461</v>
      </c>
      <c r="P71" s="2597" t="s">
        <v>2487</v>
      </c>
      <c r="Q71" s="2589">
        <f ca="1">C76</f>
        <v>0</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0</v>
      </c>
      <c r="D75" s="1453"/>
      <c r="E75" s="1453"/>
      <c r="F75" s="1453"/>
      <c r="K75" s="1454"/>
      <c r="L75" s="1453"/>
      <c r="O75" s="2586" t="s">
        <v>2454</v>
      </c>
      <c r="P75" s="2596" t="s">
        <v>2472</v>
      </c>
      <c r="Q75" s="2587" t="e">
        <f ca="1">Q65+Q66</f>
        <v>#DIV/0!</v>
      </c>
      <c r="R75" s="2587" t="s">
        <v>2455</v>
      </c>
    </row>
    <row r="76" spans="1:18">
      <c r="B76" s="730" t="s">
        <v>972</v>
      </c>
      <c r="C76" s="731">
        <f ca="1">INDIRECT("'数据-取费表'!j"&amp;$G$1)</f>
        <v>0</v>
      </c>
      <c r="I76" s="1453"/>
      <c r="J76" s="1453"/>
      <c r="K76" s="1454"/>
      <c r="L76" s="1453"/>
    </row>
    <row r="77" spans="1:18">
      <c r="B77" s="732" t="s">
        <v>975</v>
      </c>
      <c r="C77" s="733"/>
      <c r="I77" s="1453"/>
      <c r="J77" s="1453"/>
      <c r="K77" s="1454"/>
      <c r="L77" s="1453"/>
    </row>
    <row r="78" spans="1:18">
      <c r="B78" s="645" t="s">
        <v>961</v>
      </c>
      <c r="C78" s="734"/>
    </row>
    <row r="79" spans="1:18">
      <c r="B79" s="2872" t="s">
        <v>2699</v>
      </c>
      <c r="C79" s="649" t="e">
        <f ca="1">1-C80</f>
        <v>#DIV/0!</v>
      </c>
    </row>
    <row r="80" spans="1:18">
      <c r="B80" s="2872" t="s">
        <v>2700</v>
      </c>
      <c r="C80" s="649" t="e">
        <f ca="1">ROUND(C75/C39,3)</f>
        <v>#DIV/0!</v>
      </c>
    </row>
    <row r="81" spans="2:3">
      <c r="B81" s="645" t="s">
        <v>386</v>
      </c>
      <c r="C81" s="646"/>
    </row>
    <row r="82" spans="2:3">
      <c r="B82" s="2871" t="s">
        <v>2697</v>
      </c>
      <c r="C82" s="650" t="e">
        <f ca="1">1-C83</f>
        <v>#DIV/0!</v>
      </c>
    </row>
    <row r="83" spans="2:3">
      <c r="B83" s="2871" t="s">
        <v>2696</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73256</v>
      </c>
      <c r="C2" s="2780" t="s">
        <v>2668</v>
      </c>
      <c r="D2" s="2781" t="s">
        <v>2673</v>
      </c>
      <c r="E2" s="2789">
        <f>SUM(E6:E13)</f>
        <v>28973.439999999999</v>
      </c>
    </row>
    <row r="3" spans="1:6" ht="14.25">
      <c r="A3" s="2785" t="s">
        <v>2672</v>
      </c>
      <c r="B3" s="2779">
        <f ca="1">ROUND(B2*10000/E2,0)</f>
        <v>25284</v>
      </c>
      <c r="C3" s="2780" t="s">
        <v>2669</v>
      </c>
      <c r="D3" s="2786"/>
      <c r="E3" s="2790"/>
    </row>
    <row r="4" spans="1:6" ht="14.25">
      <c r="A4" s="2791"/>
      <c r="B4" s="2786"/>
      <c r="C4" s="2786"/>
      <c r="D4" s="2786"/>
      <c r="E4" s="2790"/>
    </row>
    <row r="5" spans="1:6">
      <c r="A5" s="2795" t="s">
        <v>2675</v>
      </c>
      <c r="B5" s="3629" t="s">
        <v>2677</v>
      </c>
      <c r="C5" s="3629"/>
      <c r="D5" s="2794"/>
      <c r="E5" s="3335" t="s">
        <v>2676</v>
      </c>
      <c r="F5" s="3336" t="s">
        <v>3051</v>
      </c>
    </row>
    <row r="6" spans="1:6">
      <c r="A6" s="2792" t="str">
        <f>'数据-取费表'!AN6</f>
        <v>收益法</v>
      </c>
      <c r="B6" s="2788">
        <f ca="1">IF(F6="是",'数据-取费表'!AO6,0)</f>
        <v>73256</v>
      </c>
      <c r="C6" s="2780" t="s">
        <v>2668</v>
      </c>
      <c r="D6" s="2786"/>
      <c r="E6" s="1541">
        <f>IF(OR(A6=0,F6="否"),0,'数据-取费表'!K6+'数据-取费表'!S6)</f>
        <v>28973.439999999999</v>
      </c>
      <c r="F6" s="3337" t="s">
        <v>3052</v>
      </c>
    </row>
    <row r="7" spans="1:6">
      <c r="A7" s="2792">
        <f>'数据-取费表'!AN7</f>
        <v>0</v>
      </c>
      <c r="B7" s="2788" t="e">
        <f ca="1">IF(F7="是",'数据-取费表'!AO7,0)</f>
        <v>#REF!</v>
      </c>
      <c r="C7" s="2780" t="s">
        <v>2668</v>
      </c>
      <c r="D7" s="2786"/>
      <c r="E7" s="1541">
        <f>IF(OR(A7=0,F7="否"),0,'数据-取费表'!K7+'数据-取费表'!S7)</f>
        <v>0</v>
      </c>
      <c r="F7" s="3337" t="s">
        <v>3052</v>
      </c>
    </row>
    <row r="8" spans="1:6">
      <c r="A8" s="2792">
        <f>'数据-取费表'!AN8</f>
        <v>0</v>
      </c>
      <c r="B8" s="2788" t="e">
        <f ca="1">IF(F8="是",'数据-取费表'!AO8,0)</f>
        <v>#REF!</v>
      </c>
      <c r="C8" s="2780" t="s">
        <v>2668</v>
      </c>
      <c r="D8" s="2786"/>
      <c r="E8" s="1541">
        <f>IF(OR(A8=0,F8="否"),0,'数据-取费表'!K8+'数据-取费表'!S8)</f>
        <v>0</v>
      </c>
      <c r="F8" s="3337" t="s">
        <v>3052</v>
      </c>
    </row>
    <row r="9" spans="1:6">
      <c r="A9" s="2792">
        <f>'数据-取费表'!AN9</f>
        <v>0</v>
      </c>
      <c r="B9" s="2788" t="e">
        <f ca="1">IF(F9="是",'数据-取费表'!AO9,0)</f>
        <v>#REF!</v>
      </c>
      <c r="C9" s="2780" t="s">
        <v>2668</v>
      </c>
      <c r="D9" s="2786"/>
      <c r="E9" s="1541">
        <f>IF(OR(A9=0,F9="否"),0,'数据-取费表'!K9+'数据-取费表'!S9)</f>
        <v>0</v>
      </c>
      <c r="F9" s="3337" t="s">
        <v>3052</v>
      </c>
    </row>
    <row r="10" spans="1:6">
      <c r="A10" s="2792">
        <f>'数据-取费表'!AN10</f>
        <v>0</v>
      </c>
      <c r="B10" s="2788" t="e">
        <f ca="1">IF(F10="是",'数据-取费表'!AO10,0)</f>
        <v>#REF!</v>
      </c>
      <c r="C10" s="2780" t="s">
        <v>2668</v>
      </c>
      <c r="D10" s="2786"/>
      <c r="E10" s="1541">
        <f>IF(OR(A10=0,F10="否"),0,'数据-取费表'!K10+'数据-取费表'!S10)</f>
        <v>0</v>
      </c>
      <c r="F10" s="3337" t="s">
        <v>3052</v>
      </c>
    </row>
    <row r="11" spans="1:6">
      <c r="A11" s="2792">
        <f>'数据-取费表'!AN11</f>
        <v>0</v>
      </c>
      <c r="B11" s="2788" t="e">
        <f ca="1">IF(F11="是",'数据-取费表'!AO11,0)</f>
        <v>#REF!</v>
      </c>
      <c r="C11" s="2780" t="s">
        <v>2668</v>
      </c>
      <c r="D11" s="2786"/>
      <c r="E11" s="1541">
        <f>IF(OR(A11=0,F11="否"),0,'数据-取费表'!K11+'数据-取费表'!S11)</f>
        <v>0</v>
      </c>
      <c r="F11" s="3337" t="s">
        <v>3052</v>
      </c>
    </row>
    <row r="12" spans="1:6">
      <c r="A12" s="2792">
        <f>'数据-取费表'!AN12</f>
        <v>0</v>
      </c>
      <c r="B12" s="2788" t="e">
        <f ca="1">IF(F12="是",'数据-取费表'!AO12,0)</f>
        <v>#REF!</v>
      </c>
      <c r="C12" s="2780" t="s">
        <v>2668</v>
      </c>
      <c r="D12" s="2786"/>
      <c r="E12" s="1541">
        <f>IF(OR(A12=0,F12="否"),0,'数据-取费表'!K12+'数据-取费表'!S12)</f>
        <v>0</v>
      </c>
      <c r="F12" s="3337" t="s">
        <v>3052</v>
      </c>
    </row>
    <row r="13" spans="1:6" ht="14.25" thickBot="1">
      <c r="A13" s="2793">
        <f>'数据-取费表'!AN13</f>
        <v>0</v>
      </c>
      <c r="B13" s="2788" t="e">
        <f ca="1">IF(F13="是",'数据-取费表'!AO13,0)</f>
        <v>#REF!</v>
      </c>
      <c r="C13" s="2796" t="s">
        <v>2668</v>
      </c>
      <c r="D13" s="2787"/>
      <c r="E13" s="1541">
        <f>IF(OR(A13=0,F13="否"),0,'数据-取费表'!K13+'数据-取费表'!S13)</f>
        <v>0</v>
      </c>
      <c r="F13" s="3337"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6" t="s">
        <v>2544</v>
      </c>
      <c r="B1" s="3647"/>
      <c r="C1" s="3648"/>
      <c r="D1" s="3649">
        <f>SUM(I10,I15,I20,I21,I23)</f>
        <v>0</v>
      </c>
      <c r="E1" s="3649"/>
      <c r="F1" s="3649"/>
      <c r="G1" s="3649"/>
      <c r="H1" s="3649"/>
      <c r="I1" s="3650"/>
    </row>
    <row r="2" spans="1:9">
      <c r="A2" s="3636" t="s">
        <v>2545</v>
      </c>
      <c r="B2" s="3637" t="s">
        <v>2546</v>
      </c>
      <c r="C2" s="3637"/>
      <c r="D2" s="2637" t="s">
        <v>2547</v>
      </c>
      <c r="E2" s="2637" t="s">
        <v>2548</v>
      </c>
      <c r="F2" s="2637" t="s">
        <v>2549</v>
      </c>
      <c r="G2" s="2637" t="s">
        <v>2550</v>
      </c>
      <c r="H2" s="2637" t="s">
        <v>2551</v>
      </c>
      <c r="I2" s="2638" t="s">
        <v>2552</v>
      </c>
    </row>
    <row r="3" spans="1:9">
      <c r="A3" s="3636"/>
      <c r="B3" s="3637" t="s">
        <v>2553</v>
      </c>
      <c r="C3" s="3637"/>
      <c r="D3" s="2639"/>
      <c r="E3" s="2637"/>
      <c r="F3" s="2640"/>
      <c r="G3" s="2640"/>
      <c r="H3" s="2641"/>
      <c r="I3" s="2642">
        <f>ROUND(D3*E3*F3*G3*H3/10000,0)</f>
        <v>0</v>
      </c>
    </row>
    <row r="4" spans="1:9">
      <c r="A4" s="3636"/>
      <c r="B4" s="3637" t="s">
        <v>2554</v>
      </c>
      <c r="C4" s="3637"/>
      <c r="D4" s="2639"/>
      <c r="E4" s="2637"/>
      <c r="F4" s="2640"/>
      <c r="G4" s="2640"/>
      <c r="H4" s="2641"/>
      <c r="I4" s="2642">
        <f t="shared" ref="I4:I9" si="0">ROUND(D4*E4*F4*G4*H4/10000,0)</f>
        <v>0</v>
      </c>
    </row>
    <row r="5" spans="1:9">
      <c r="A5" s="3636"/>
      <c r="B5" s="3637" t="s">
        <v>2555</v>
      </c>
      <c r="C5" s="3637"/>
      <c r="D5" s="2639"/>
      <c r="E5" s="2637"/>
      <c r="F5" s="2640"/>
      <c r="G5" s="2640"/>
      <c r="H5" s="2641"/>
      <c r="I5" s="2642">
        <f t="shared" si="0"/>
        <v>0</v>
      </c>
    </row>
    <row r="6" spans="1:9">
      <c r="A6" s="3636"/>
      <c r="B6" s="3637" t="s">
        <v>2556</v>
      </c>
      <c r="C6" s="3637"/>
      <c r="D6" s="2639"/>
      <c r="E6" s="2637"/>
      <c r="F6" s="2640"/>
      <c r="G6" s="2640"/>
      <c r="H6" s="2641"/>
      <c r="I6" s="2642">
        <f t="shared" si="0"/>
        <v>0</v>
      </c>
    </row>
    <row r="7" spans="1:9">
      <c r="A7" s="3636"/>
      <c r="B7" s="3637" t="s">
        <v>2557</v>
      </c>
      <c r="C7" s="3637"/>
      <c r="D7" s="2639"/>
      <c r="E7" s="2637"/>
      <c r="F7" s="2640"/>
      <c r="G7" s="2640"/>
      <c r="H7" s="2641"/>
      <c r="I7" s="2642">
        <f t="shared" si="0"/>
        <v>0</v>
      </c>
    </row>
    <row r="8" spans="1:9">
      <c r="A8" s="3636"/>
      <c r="B8" s="3637" t="s">
        <v>2558</v>
      </c>
      <c r="C8" s="3637"/>
      <c r="D8" s="2639"/>
      <c r="E8" s="2637"/>
      <c r="F8" s="2640"/>
      <c r="G8" s="2640"/>
      <c r="H8" s="2641"/>
      <c r="I8" s="2642">
        <f t="shared" si="0"/>
        <v>0</v>
      </c>
    </row>
    <row r="9" spans="1:9">
      <c r="A9" s="3636"/>
      <c r="B9" s="3637" t="s">
        <v>2559</v>
      </c>
      <c r="C9" s="3637"/>
      <c r="D9" s="2639"/>
      <c r="E9" s="2637"/>
      <c r="F9" s="2640"/>
      <c r="G9" s="2640"/>
      <c r="H9" s="2641"/>
      <c r="I9" s="2642">
        <f t="shared" si="0"/>
        <v>0</v>
      </c>
    </row>
    <row r="10" spans="1:9">
      <c r="A10" s="3636"/>
      <c r="B10" s="3638" t="s">
        <v>2560</v>
      </c>
      <c r="C10" s="3638"/>
      <c r="D10" s="2643"/>
      <c r="E10" s="2643" t="e">
        <f>ROUND(D1*10000/D10/H9,0)</f>
        <v>#DIV/0!</v>
      </c>
      <c r="F10" s="2644"/>
      <c r="G10" s="2644"/>
      <c r="H10" s="2645"/>
      <c r="I10" s="2646">
        <f>SUM(I3:I9)</f>
        <v>0</v>
      </c>
    </row>
    <row r="11" spans="1:9" ht="14.25">
      <c r="A11" s="3636" t="s">
        <v>2561</v>
      </c>
      <c r="B11" s="3637" t="s">
        <v>2562</v>
      </c>
      <c r="C11" s="3637"/>
      <c r="D11" s="2639" t="s">
        <v>2563</v>
      </c>
      <c r="E11" s="2639" t="s">
        <v>2564</v>
      </c>
      <c r="F11" s="2640" t="s">
        <v>2565</v>
      </c>
      <c r="G11" s="2640" t="s">
        <v>2551</v>
      </c>
      <c r="H11" s="2647" t="s">
        <v>2566</v>
      </c>
      <c r="I11" s="2638" t="s">
        <v>2552</v>
      </c>
    </row>
    <row r="12" spans="1:9">
      <c r="A12" s="3636"/>
      <c r="B12" s="3637" t="s">
        <v>2567</v>
      </c>
      <c r="C12" s="3637"/>
      <c r="D12" s="2639"/>
      <c r="E12" s="2639"/>
      <c r="F12" s="2640"/>
      <c r="G12" s="2641"/>
      <c r="H12" s="2648"/>
      <c r="I12" s="2638">
        <f>ROUND(D12*E12*F12*G12/10000,0)</f>
        <v>0</v>
      </c>
    </row>
    <row r="13" spans="1:9">
      <c r="A13" s="3636"/>
      <c r="B13" s="3637" t="s">
        <v>2568</v>
      </c>
      <c r="C13" s="3637"/>
      <c r="D13" s="2639"/>
      <c r="E13" s="2639"/>
      <c r="F13" s="2640"/>
      <c r="G13" s="2641"/>
      <c r="H13" s="2648"/>
      <c r="I13" s="2638">
        <f>ROUND(D13*E13*F13*G13/10000,0)</f>
        <v>0</v>
      </c>
    </row>
    <row r="14" spans="1:9">
      <c r="A14" s="3636"/>
      <c r="B14" s="3637" t="s">
        <v>2569</v>
      </c>
      <c r="C14" s="3637"/>
      <c r="D14" s="2639"/>
      <c r="E14" s="2639"/>
      <c r="F14" s="2640"/>
      <c r="G14" s="2641"/>
      <c r="H14" s="2648"/>
      <c r="I14" s="2638">
        <f>ROUND(D14*E14*F14*G14/10000,0)</f>
        <v>0</v>
      </c>
    </row>
    <row r="15" spans="1:9">
      <c r="A15" s="3636"/>
      <c r="B15" s="3638" t="s">
        <v>2560</v>
      </c>
      <c r="C15" s="3638"/>
      <c r="D15" s="2643"/>
      <c r="E15" s="2643">
        <f>SUM(E12:E14)</f>
        <v>0</v>
      </c>
      <c r="F15" s="2644"/>
      <c r="G15" s="2641"/>
      <c r="H15" s="2648"/>
      <c r="I15" s="2649">
        <f>SUM(I12:I14)</f>
        <v>0</v>
      </c>
    </row>
    <row r="16" spans="1:9" ht="24">
      <c r="A16" s="3636" t="s">
        <v>2570</v>
      </c>
      <c r="B16" s="3637" t="s">
        <v>2571</v>
      </c>
      <c r="C16" s="3637"/>
      <c r="D16" s="2639" t="s">
        <v>2547</v>
      </c>
      <c r="E16" s="2650" t="s">
        <v>2572</v>
      </c>
      <c r="F16" s="2640" t="s">
        <v>2573</v>
      </c>
      <c r="G16" s="2641" t="s">
        <v>2551</v>
      </c>
      <c r="H16" s="2647" t="s">
        <v>2566</v>
      </c>
      <c r="I16" s="2638" t="s">
        <v>2552</v>
      </c>
    </row>
    <row r="17" spans="1:9" ht="14.25">
      <c r="A17" s="3636"/>
      <c r="B17" s="3637" t="s">
        <v>2574</v>
      </c>
      <c r="C17" s="3637"/>
      <c r="D17" s="2639"/>
      <c r="E17" s="2639"/>
      <c r="F17" s="2640"/>
      <c r="G17" s="2641"/>
      <c r="H17" s="2651"/>
      <c r="I17" s="2652">
        <f>ROUND(D17*E17*F17*G17/10000,0)</f>
        <v>0</v>
      </c>
    </row>
    <row r="18" spans="1:9" ht="14.25">
      <c r="A18" s="3636"/>
      <c r="B18" s="3637" t="s">
        <v>2575</v>
      </c>
      <c r="C18" s="3637"/>
      <c r="D18" s="2639"/>
      <c r="E18" s="2639"/>
      <c r="F18" s="2640"/>
      <c r="G18" s="2641"/>
      <c r="H18" s="2651"/>
      <c r="I18" s="2652">
        <f>ROUND(D18*E18*F18*G18/10000,0)</f>
        <v>0</v>
      </c>
    </row>
    <row r="19" spans="1:9" ht="14.25">
      <c r="A19" s="3636"/>
      <c r="B19" s="3637" t="s">
        <v>2576</v>
      </c>
      <c r="C19" s="3637"/>
      <c r="D19" s="2639"/>
      <c r="E19" s="2639"/>
      <c r="F19" s="2640"/>
      <c r="G19" s="2641"/>
      <c r="H19" s="2651"/>
      <c r="I19" s="2652">
        <f>ROUND(D19*E19*F19*G19/10000,0)</f>
        <v>0</v>
      </c>
    </row>
    <row r="20" spans="1:9">
      <c r="A20" s="3636"/>
      <c r="B20" s="3638" t="s">
        <v>2560</v>
      </c>
      <c r="C20" s="3638"/>
      <c r="D20" s="2643">
        <f>SUM(D17:D19)</f>
        <v>0</v>
      </c>
      <c r="E20" s="2643"/>
      <c r="F20" s="2644"/>
      <c r="G20" s="2641"/>
      <c r="H20" s="2648"/>
      <c r="I20" s="2649">
        <f>SUM(I17:I19)</f>
        <v>0</v>
      </c>
    </row>
    <row r="21" spans="1:9">
      <c r="A21" s="3636" t="s">
        <v>2577</v>
      </c>
      <c r="B21" s="3639"/>
      <c r="C21" s="3639"/>
      <c r="D21" s="3639"/>
      <c r="E21" s="3639"/>
      <c r="F21" s="3639"/>
      <c r="G21" s="3639"/>
      <c r="H21" s="3296">
        <v>0.1</v>
      </c>
      <c r="I21" s="2646">
        <f>ROUND(I10*H21,0)</f>
        <v>0</v>
      </c>
    </row>
    <row r="22" spans="1:9" ht="14.25">
      <c r="A22" s="3640" t="s">
        <v>2578</v>
      </c>
      <c r="B22" s="3641"/>
      <c r="C22" s="3642"/>
      <c r="D22" s="2653" t="s">
        <v>2579</v>
      </c>
      <c r="E22" s="2653" t="s">
        <v>2580</v>
      </c>
      <c r="F22" s="2654" t="s">
        <v>2581</v>
      </c>
      <c r="G22" s="2654" t="s">
        <v>2582</v>
      </c>
      <c r="H22" s="2647" t="s">
        <v>2583</v>
      </c>
      <c r="I22" s="2638" t="s">
        <v>2584</v>
      </c>
    </row>
    <row r="23" spans="1:9" ht="14.25" thickBot="1">
      <c r="A23" s="3643"/>
      <c r="B23" s="3644"/>
      <c r="C23" s="3645"/>
      <c r="D23" s="2655"/>
      <c r="E23" s="2655"/>
      <c r="F23" s="2655"/>
      <c r="G23" s="2656"/>
      <c r="H23" s="2657"/>
      <c r="I23" s="2658">
        <f>ROUND(E23*D23*F23*(1-G23)/10000,0)</f>
        <v>0</v>
      </c>
    </row>
    <row r="26" spans="1:9">
      <c r="A26" s="2659" t="s">
        <v>2585</v>
      </c>
      <c r="B26" s="2659"/>
      <c r="C26" s="2659"/>
      <c r="D26" s="2659"/>
      <c r="E26" s="3633">
        <f>C27-C30-C31-C32</f>
        <v>0</v>
      </c>
      <c r="F26" s="3633"/>
      <c r="G26" s="3633"/>
      <c r="H26" s="3248" t="s">
        <v>2956</v>
      </c>
    </row>
    <row r="27" spans="1:9">
      <c r="A27" s="2660">
        <v>1</v>
      </c>
      <c r="B27" s="2661" t="s">
        <v>2586</v>
      </c>
      <c r="C27" s="2661">
        <f>C28+C29</f>
        <v>0</v>
      </c>
      <c r="D27" s="2661"/>
      <c r="E27" s="3634"/>
      <c r="F27" s="3634"/>
      <c r="G27" s="3634"/>
    </row>
    <row r="28" spans="1:9">
      <c r="A28" s="2662" t="s">
        <v>2587</v>
      </c>
      <c r="B28" s="2661" t="s">
        <v>2588</v>
      </c>
      <c r="C28" s="2661"/>
      <c r="D28" s="2661"/>
      <c r="E28" s="3634"/>
      <c r="F28" s="3634"/>
      <c r="G28" s="3634"/>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35"/>
      <c r="F32" s="3635"/>
      <c r="G32" s="3635"/>
    </row>
    <row r="33" spans="1:7" hidden="1">
      <c r="A33" s="3630" t="s">
        <v>2597</v>
      </c>
      <c r="B33" s="3631"/>
      <c r="C33" s="3631"/>
      <c r="D33" s="3632"/>
      <c r="E33" s="3633"/>
      <c r="F33" s="3633"/>
      <c r="G33" s="3633"/>
    </row>
    <row r="34" spans="1:7" hidden="1">
      <c r="A34" s="2664">
        <v>1</v>
      </c>
      <c r="B34" s="2661" t="s">
        <v>2598</v>
      </c>
      <c r="C34" s="2661"/>
      <c r="D34" s="2661"/>
      <c r="E34" s="3634"/>
      <c r="F34" s="3634"/>
      <c r="G34" s="3634"/>
    </row>
    <row r="35" spans="1:7" hidden="1">
      <c r="A35" s="2664">
        <v>2</v>
      </c>
      <c r="B35" s="2661" t="s">
        <v>2599</v>
      </c>
      <c r="C35" s="2661"/>
      <c r="D35" s="2661"/>
      <c r="E35" s="3634"/>
      <c r="F35" s="3634"/>
      <c r="G35" s="3634"/>
    </row>
    <row r="36" spans="1:7" hidden="1">
      <c r="A36" s="2664">
        <v>3</v>
      </c>
      <c r="B36" s="2661" t="s">
        <v>2600</v>
      </c>
      <c r="C36" s="2661"/>
      <c r="D36" s="2661"/>
      <c r="E36" s="3634"/>
      <c r="F36" s="3634"/>
      <c r="G36" s="3634"/>
    </row>
    <row r="37" spans="1:7" hidden="1">
      <c r="A37" s="2664">
        <v>4</v>
      </c>
      <c r="B37" s="2661" t="s">
        <v>2601</v>
      </c>
      <c r="C37" s="2661"/>
      <c r="D37" s="2661"/>
      <c r="E37" s="3634"/>
      <c r="F37" s="3634"/>
      <c r="G37" s="3634"/>
    </row>
    <row r="38" spans="1:7" hidden="1">
      <c r="A38" s="3630" t="s">
        <v>2602</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2693</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3" t="e">
        <f ca="1">IF(C2="——",ROUND(C49*D3/10000,0),ROUND(C49*D3/10000,0)-D2)</f>
        <v>#DIV/0!</v>
      </c>
      <c r="C2" s="3095"/>
      <c r="D2" s="2723" t="e">
        <f ca="1">SUMIF(INDIRECT("'"&amp;F2&amp;"'"&amp;"!A:A"),"承租人权益价值",INDIRECT("'"&amp;F2&amp;"'"&amp;"!c:c"))</f>
        <v>#REF!</v>
      </c>
      <c r="E2" s="3096" t="s">
        <v>865</v>
      </c>
      <c r="F2" s="3097"/>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28973.439999999999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69" t="s">
        <v>984</v>
      </c>
      <c r="D4" s="3670"/>
      <c r="E4" s="3671" t="s">
        <v>985</v>
      </c>
      <c r="F4" s="3672"/>
      <c r="G4" s="3669" t="s">
        <v>986</v>
      </c>
      <c r="H4" s="3670"/>
      <c r="I4" s="3669" t="s">
        <v>987</v>
      </c>
      <c r="J4" s="3670"/>
      <c r="K4" s="145" t="s">
        <v>988</v>
      </c>
      <c r="L4" s="2294"/>
      <c r="M4" s="2295"/>
      <c r="N4" s="2295"/>
      <c r="O4" s="2295"/>
      <c r="P4" s="3673" t="s">
        <v>983</v>
      </c>
      <c r="Q4" s="3674"/>
      <c r="R4" s="3679" t="s">
        <v>985</v>
      </c>
      <c r="S4" s="3680"/>
      <c r="T4" s="3679" t="s">
        <v>986</v>
      </c>
      <c r="U4" s="3680"/>
      <c r="V4" s="3685" t="s">
        <v>987</v>
      </c>
      <c r="W4" s="3685"/>
      <c r="X4" s="1338"/>
      <c r="Y4" s="3679" t="s">
        <v>983</v>
      </c>
      <c r="Z4" s="3680"/>
      <c r="AA4" s="3666" t="s">
        <v>985</v>
      </c>
      <c r="AB4" s="3666" t="s">
        <v>986</v>
      </c>
      <c r="AC4" s="3666" t="s">
        <v>987</v>
      </c>
    </row>
    <row r="5" spans="1:29">
      <c r="A5" s="146"/>
      <c r="B5" s="147"/>
      <c r="C5" s="3688" t="s">
        <v>989</v>
      </c>
      <c r="D5" s="3689"/>
      <c r="E5" s="3695" t="s">
        <v>990</v>
      </c>
      <c r="F5" s="3696"/>
      <c r="G5" s="3688" t="s">
        <v>991</v>
      </c>
      <c r="H5" s="3689"/>
      <c r="I5" s="3688" t="s">
        <v>992</v>
      </c>
      <c r="J5" s="3689"/>
      <c r="K5" s="152"/>
      <c r="L5" s="2294"/>
      <c r="M5" s="2295"/>
      <c r="N5" s="2295"/>
      <c r="O5" s="2295"/>
      <c r="P5" s="3675"/>
      <c r="Q5" s="3676"/>
      <c r="R5" s="3681"/>
      <c r="S5" s="3682"/>
      <c r="T5" s="3681"/>
      <c r="U5" s="3682"/>
      <c r="V5" s="3685"/>
      <c r="W5" s="3685"/>
      <c r="X5" s="1338"/>
      <c r="Y5" s="3681"/>
      <c r="Z5" s="3682"/>
      <c r="AA5" s="3667"/>
      <c r="AB5" s="3667"/>
      <c r="AC5" s="3667"/>
    </row>
    <row r="6" spans="1:29" ht="14.25" thickBot="1">
      <c r="A6" s="148"/>
      <c r="B6" s="149"/>
      <c r="C6" s="3686" t="s">
        <v>993</v>
      </c>
      <c r="D6" s="3687"/>
      <c r="E6" s="3693" t="s">
        <v>993</v>
      </c>
      <c r="F6" s="3694"/>
      <c r="G6" s="3686" t="s">
        <v>993</v>
      </c>
      <c r="H6" s="3687"/>
      <c r="I6" s="3686" t="s">
        <v>993</v>
      </c>
      <c r="J6" s="3687"/>
      <c r="K6" s="152" t="s">
        <v>994</v>
      </c>
      <c r="L6" s="2294"/>
      <c r="M6" s="2295"/>
      <c r="N6" s="2295"/>
      <c r="O6" s="2295"/>
      <c r="P6" s="3677"/>
      <c r="Q6" s="3678"/>
      <c r="R6" s="3681"/>
      <c r="S6" s="3682"/>
      <c r="T6" s="3683"/>
      <c r="U6" s="3684"/>
      <c r="V6" s="3685"/>
      <c r="W6" s="3685"/>
      <c r="X6" s="1338"/>
      <c r="Y6" s="3683"/>
      <c r="Z6" s="3684"/>
      <c r="AA6" s="3668"/>
      <c r="AB6" s="3668"/>
      <c r="AC6" s="3668"/>
    </row>
    <row r="7" spans="1:29" s="40" customFormat="1" ht="15" thickBot="1">
      <c r="A7" s="1012" t="s">
        <v>995</v>
      </c>
      <c r="B7" s="1013"/>
      <c r="C7" s="1014">
        <f>'数据-取费表'!B2</f>
        <v>42986</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90" t="s">
        <v>995</v>
      </c>
      <c r="Q7" s="3692"/>
      <c r="R7" s="1340" t="s">
        <v>115</v>
      </c>
      <c r="S7" s="1341">
        <f t="shared" ref="S7:S15" si="0">F7</f>
        <v>0</v>
      </c>
      <c r="T7" s="1340" t="s">
        <v>115</v>
      </c>
      <c r="U7" s="1341">
        <f t="shared" ref="U7:U15" si="1">H7</f>
        <v>0</v>
      </c>
      <c r="V7" s="1340" t="s">
        <v>115</v>
      </c>
      <c r="W7" s="1341">
        <f t="shared" ref="W7:W15" si="2">J7</f>
        <v>0</v>
      </c>
      <c r="X7" s="287"/>
      <c r="Y7" s="3690" t="s">
        <v>995</v>
      </c>
      <c r="Z7" s="3691"/>
      <c r="AA7" s="1342" t="e">
        <f>D7/F7</f>
        <v>#DIV/0!</v>
      </c>
      <c r="AB7" s="1342" t="e">
        <f>D7/H7</f>
        <v>#DIV/0!</v>
      </c>
      <c r="AC7" s="1342" t="e">
        <f>D7/J7</f>
        <v>#DIV/0!</v>
      </c>
    </row>
    <row r="8" spans="1:29" s="40" customFormat="1" ht="15" thickBot="1">
      <c r="A8" s="1012" t="s">
        <v>996</v>
      </c>
      <c r="B8" s="1013"/>
      <c r="C8" s="1018" t="s">
        <v>155</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90" t="s">
        <v>996</v>
      </c>
      <c r="Q8" s="3691"/>
      <c r="R8" s="1340" t="s">
        <v>115</v>
      </c>
      <c r="S8" s="1341">
        <f t="shared" si="0"/>
        <v>0</v>
      </c>
      <c r="T8" s="1340" t="s">
        <v>115</v>
      </c>
      <c r="U8" s="1341">
        <f t="shared" si="1"/>
        <v>0</v>
      </c>
      <c r="V8" s="1340" t="s">
        <v>115</v>
      </c>
      <c r="W8" s="1341">
        <f t="shared" si="2"/>
        <v>0</v>
      </c>
      <c r="X8" s="287"/>
      <c r="Y8" s="3690" t="s">
        <v>996</v>
      </c>
      <c r="Z8" s="3691"/>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65"/>
      <c r="Q11" s="7" t="str">
        <f t="shared" si="6"/>
        <v>容积率</v>
      </c>
      <c r="R11" s="1340" t="s">
        <v>104</v>
      </c>
      <c r="S11" s="1341" t="e">
        <f t="shared" si="0"/>
        <v>#N/A</v>
      </c>
      <c r="T11" s="1340" t="s">
        <v>104</v>
      </c>
      <c r="U11" s="1341" t="e">
        <f t="shared" si="1"/>
        <v>#N/A</v>
      </c>
      <c r="V11" s="1340" t="s">
        <v>104</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65"/>
      <c r="Q12" s="7">
        <f t="shared" si="6"/>
        <v>111</v>
      </c>
      <c r="R12" s="1340" t="s">
        <v>104</v>
      </c>
      <c r="S12" s="1341">
        <f t="shared" si="0"/>
        <v>100</v>
      </c>
      <c r="T12" s="1340" t="s">
        <v>104</v>
      </c>
      <c r="U12" s="1341">
        <f t="shared" si="1"/>
        <v>100</v>
      </c>
      <c r="V12" s="1340" t="s">
        <v>104</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5"/>
      <c r="Q13" s="7">
        <f t="shared" si="6"/>
        <v>111</v>
      </c>
      <c r="R13" s="1340" t="s">
        <v>104</v>
      </c>
      <c r="S13" s="1341">
        <f t="shared" si="0"/>
        <v>100</v>
      </c>
      <c r="T13" s="1340" t="s">
        <v>104</v>
      </c>
      <c r="U13" s="1341">
        <f t="shared" si="1"/>
        <v>100</v>
      </c>
      <c r="V13" s="1340" t="s">
        <v>104</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5"/>
      <c r="Q14" s="7">
        <f t="shared" si="6"/>
        <v>111</v>
      </c>
      <c r="R14" s="1340" t="s">
        <v>104</v>
      </c>
      <c r="S14" s="1341">
        <f t="shared" si="0"/>
        <v>100</v>
      </c>
      <c r="T14" s="1340" t="s">
        <v>104</v>
      </c>
      <c r="U14" s="1341">
        <f t="shared" si="1"/>
        <v>100</v>
      </c>
      <c r="V14" s="1340" t="s">
        <v>104</v>
      </c>
      <c r="W14" s="1341">
        <f t="shared" si="2"/>
        <v>100</v>
      </c>
      <c r="X14" s="287"/>
      <c r="Y14" s="3470"/>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63" t="s">
        <v>69</v>
      </c>
      <c r="Q15" s="1349" t="str">
        <f t="shared" si="6"/>
        <v>居住社区成熟度</v>
      </c>
      <c r="R15" s="1350" t="s">
        <v>104</v>
      </c>
      <c r="S15" s="1351">
        <f t="shared" si="0"/>
        <v>100</v>
      </c>
      <c r="T15" s="1350" t="s">
        <v>104</v>
      </c>
      <c r="U15" s="1351">
        <f t="shared" si="1"/>
        <v>100</v>
      </c>
      <c r="V15" s="1350" t="s">
        <v>104</v>
      </c>
      <c r="W15" s="1351">
        <f t="shared" si="2"/>
        <v>100</v>
      </c>
      <c r="X15" s="1338"/>
      <c r="Y15" s="3656"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64"/>
      <c r="Q16" s="1349"/>
      <c r="R16" s="1350"/>
      <c r="S16" s="1351"/>
      <c r="T16" s="1350"/>
      <c r="U16" s="1351"/>
      <c r="V16" s="1350"/>
      <c r="W16" s="1351"/>
      <c r="X16" s="1338"/>
      <c r="Y16" s="3657"/>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64"/>
      <c r="Q17" s="1349" t="str">
        <f>B17</f>
        <v>交通便捷度</v>
      </c>
      <c r="R17" s="1350" t="s">
        <v>104</v>
      </c>
      <c r="S17" s="1351">
        <f>F17</f>
        <v>100</v>
      </c>
      <c r="T17" s="1350" t="s">
        <v>104</v>
      </c>
      <c r="U17" s="1351">
        <f>H17</f>
        <v>100</v>
      </c>
      <c r="V17" s="1350" t="s">
        <v>104</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64"/>
      <c r="Q18" s="1349"/>
      <c r="R18" s="1350"/>
      <c r="S18" s="1351"/>
      <c r="T18" s="1350"/>
      <c r="U18" s="1351"/>
      <c r="V18" s="1350"/>
      <c r="W18" s="1351"/>
      <c r="X18" s="1338"/>
      <c r="Y18" s="3657"/>
      <c r="Z18" s="1352"/>
      <c r="AA18" s="1353">
        <v>1</v>
      </c>
      <c r="AB18" s="1353">
        <v>1</v>
      </c>
      <c r="AC18" s="1353">
        <v>1</v>
      </c>
    </row>
    <row r="19" spans="1:29" ht="189">
      <c r="A19" s="151"/>
      <c r="B19" s="1354"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64"/>
      <c r="Q19" s="1349" t="str">
        <f>B19</f>
        <v>公共配套设施</v>
      </c>
      <c r="R19" s="1350" t="s">
        <v>104</v>
      </c>
      <c r="S19" s="1351">
        <f>F19</f>
        <v>100</v>
      </c>
      <c r="T19" s="1350" t="s">
        <v>104</v>
      </c>
      <c r="U19" s="1351">
        <f>H19</f>
        <v>100</v>
      </c>
      <c r="V19" s="1350" t="s">
        <v>104</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64"/>
      <c r="Q20" s="1349"/>
      <c r="R20" s="1350"/>
      <c r="S20" s="1351"/>
      <c r="T20" s="1350"/>
      <c r="U20" s="1351"/>
      <c r="V20" s="1350"/>
      <c r="W20" s="1351"/>
      <c r="X20" s="1338"/>
      <c r="Y20" s="3657"/>
      <c r="Z20" s="1352"/>
      <c r="AA20" s="1353">
        <v>1</v>
      </c>
      <c r="AB20" s="1353">
        <v>1</v>
      </c>
      <c r="AC20" s="1353">
        <v>1</v>
      </c>
    </row>
    <row r="21" spans="1:29" ht="40.5">
      <c r="A21" s="151"/>
      <c r="B21" s="1410" t="s">
        <v>2640</v>
      </c>
      <c r="C21" s="158" t="str">
        <f>估价对象房地状况!C8</f>
        <v>估价对象所在区域基础设施水平达到七通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64"/>
      <c r="Q22" s="2745"/>
      <c r="R22" s="1350"/>
      <c r="S22" s="1351"/>
      <c r="T22" s="1350"/>
      <c r="U22" s="1351"/>
      <c r="V22" s="1350"/>
      <c r="W22" s="1351"/>
      <c r="X22" s="2747"/>
      <c r="Y22" s="3657"/>
      <c r="Z22" s="2746"/>
      <c r="AA22" s="1353">
        <v>1</v>
      </c>
      <c r="AB22" s="1353">
        <v>1</v>
      </c>
      <c r="AC22" s="1353">
        <v>1</v>
      </c>
    </row>
    <row r="23" spans="1:29" ht="162">
      <c r="A23" s="151"/>
      <c r="B23" s="1354"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64"/>
      <c r="Q23" s="1349" t="str">
        <f>B23</f>
        <v>自然及人文环境</v>
      </c>
      <c r="R23" s="1350" t="s">
        <v>104</v>
      </c>
      <c r="S23" s="1351">
        <f>F23</f>
        <v>100</v>
      </c>
      <c r="T23" s="1350" t="s">
        <v>104</v>
      </c>
      <c r="U23" s="1351">
        <f>H23</f>
        <v>100</v>
      </c>
      <c r="V23" s="1350" t="s">
        <v>104</v>
      </c>
      <c r="W23" s="1351">
        <f>J23</f>
        <v>100</v>
      </c>
      <c r="X23" s="1338"/>
      <c r="Y23" s="3657"/>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64"/>
      <c r="Q24" s="1349"/>
      <c r="R24" s="1350"/>
      <c r="S24" s="1351"/>
      <c r="T24" s="1350"/>
      <c r="U24" s="1351"/>
      <c r="V24" s="1350"/>
      <c r="W24" s="1351"/>
      <c r="X24" s="1338"/>
      <c r="Y24" s="3657"/>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4"/>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7"/>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4"/>
      <c r="Q26" s="1349" t="str">
        <f t="shared" si="11"/>
        <v>朝向</v>
      </c>
      <c r="R26" s="1350" t="s">
        <v>104</v>
      </c>
      <c r="S26" s="1351">
        <f t="shared" si="12"/>
        <v>100</v>
      </c>
      <c r="T26" s="1350" t="s">
        <v>104</v>
      </c>
      <c r="U26" s="1351">
        <f t="shared" si="13"/>
        <v>100</v>
      </c>
      <c r="V26" s="1350" t="s">
        <v>104</v>
      </c>
      <c r="W26" s="1351">
        <f t="shared" si="14"/>
        <v>100</v>
      </c>
      <c r="X26" s="1338"/>
      <c r="Y26" s="3657"/>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64"/>
      <c r="Q27" s="7">
        <f t="shared" si="11"/>
        <v>111</v>
      </c>
      <c r="R27" s="1340" t="s">
        <v>104</v>
      </c>
      <c r="S27" s="1341">
        <f t="shared" si="12"/>
        <v>100</v>
      </c>
      <c r="T27" s="1340" t="s">
        <v>104</v>
      </c>
      <c r="U27" s="1341">
        <f t="shared" si="13"/>
        <v>100</v>
      </c>
      <c r="V27" s="1340" t="s">
        <v>104</v>
      </c>
      <c r="W27" s="1341">
        <f t="shared" si="14"/>
        <v>100</v>
      </c>
      <c r="X27" s="287"/>
      <c r="Y27" s="3657"/>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4"/>
      <c r="Q28" s="1349">
        <f t="shared" si="11"/>
        <v>111</v>
      </c>
      <c r="R28" s="1350" t="s">
        <v>104</v>
      </c>
      <c r="S28" s="1351">
        <f t="shared" si="12"/>
        <v>100</v>
      </c>
      <c r="T28" s="1350" t="s">
        <v>104</v>
      </c>
      <c r="U28" s="1351">
        <f t="shared" si="13"/>
        <v>100</v>
      </c>
      <c r="V28" s="1350" t="s">
        <v>104</v>
      </c>
      <c r="W28" s="1351">
        <f t="shared" si="14"/>
        <v>100</v>
      </c>
      <c r="X28" s="1338"/>
      <c r="Y28" s="3657"/>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4"/>
      <c r="Q29" s="1349">
        <f t="shared" si="11"/>
        <v>111</v>
      </c>
      <c r="R29" s="1350" t="s">
        <v>104</v>
      </c>
      <c r="S29" s="1351">
        <f t="shared" si="12"/>
        <v>100</v>
      </c>
      <c r="T29" s="1350" t="s">
        <v>104</v>
      </c>
      <c r="U29" s="1351">
        <f t="shared" si="13"/>
        <v>100</v>
      </c>
      <c r="V29" s="1350" t="s">
        <v>104</v>
      </c>
      <c r="W29" s="1351">
        <f t="shared" si="14"/>
        <v>100</v>
      </c>
      <c r="X29" s="1338"/>
      <c r="Y29" s="3657"/>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4"/>
      <c r="Q30" s="1349">
        <f t="shared" si="11"/>
        <v>111</v>
      </c>
      <c r="R30" s="1350" t="s">
        <v>104</v>
      </c>
      <c r="S30" s="1351">
        <f t="shared" si="12"/>
        <v>100</v>
      </c>
      <c r="T30" s="1350" t="s">
        <v>104</v>
      </c>
      <c r="U30" s="1351">
        <f t="shared" si="13"/>
        <v>100</v>
      </c>
      <c r="V30" s="1350" t="s">
        <v>104</v>
      </c>
      <c r="W30" s="1351">
        <f t="shared" si="14"/>
        <v>100</v>
      </c>
      <c r="X30" s="1338"/>
      <c r="Y30" s="3657"/>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4"/>
      <c r="Q31" s="1349">
        <f t="shared" si="11"/>
        <v>111</v>
      </c>
      <c r="R31" s="1350" t="s">
        <v>104</v>
      </c>
      <c r="S31" s="1351">
        <f t="shared" si="12"/>
        <v>100</v>
      </c>
      <c r="T31" s="1350" t="s">
        <v>104</v>
      </c>
      <c r="U31" s="1351">
        <f t="shared" si="13"/>
        <v>100</v>
      </c>
      <c r="V31" s="1350" t="s">
        <v>104</v>
      </c>
      <c r="W31" s="1351">
        <f t="shared" si="14"/>
        <v>100</v>
      </c>
      <c r="X31" s="1338"/>
      <c r="Y31" s="3657"/>
      <c r="Z31" s="1352">
        <f t="shared" si="18"/>
        <v>111</v>
      </c>
      <c r="AA31" s="1353">
        <f t="shared" si="15"/>
        <v>1</v>
      </c>
      <c r="AB31" s="1353">
        <f t="shared" si="16"/>
        <v>1</v>
      </c>
      <c r="AC31" s="1353">
        <f t="shared" si="17"/>
        <v>1</v>
      </c>
    </row>
    <row r="32" spans="1:29" ht="15">
      <c r="A32" s="155" t="s">
        <v>999</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0"/>
      <c r="M32" s="2295"/>
      <c r="N32" s="2295"/>
      <c r="O32" s="2295"/>
      <c r="P32" s="3658" t="s">
        <v>70</v>
      </c>
      <c r="Q32" s="1349" t="str">
        <f t="shared" si="11"/>
        <v>建筑类型</v>
      </c>
      <c r="R32" s="1350" t="s">
        <v>104</v>
      </c>
      <c r="S32" s="1351">
        <f t="shared" si="12"/>
        <v>100</v>
      </c>
      <c r="T32" s="1350" t="s">
        <v>104</v>
      </c>
      <c r="U32" s="1351">
        <f t="shared" si="13"/>
        <v>100</v>
      </c>
      <c r="V32" s="1350" t="s">
        <v>104</v>
      </c>
      <c r="W32" s="1351">
        <f t="shared" si="14"/>
        <v>100</v>
      </c>
      <c r="X32" s="1338"/>
      <c r="Y32" s="3661"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59"/>
      <c r="Q33" s="1357" t="str">
        <f t="shared" si="11"/>
        <v>项目建筑规模</v>
      </c>
      <c r="R33" s="1358" t="s">
        <v>104</v>
      </c>
      <c r="S33" s="1359" t="e">
        <f t="shared" si="12"/>
        <v>#N/A</v>
      </c>
      <c r="T33" s="1358" t="s">
        <v>104</v>
      </c>
      <c r="U33" s="1359" t="e">
        <f t="shared" si="13"/>
        <v>#N/A</v>
      </c>
      <c r="V33" s="1358" t="s">
        <v>104</v>
      </c>
      <c r="W33" s="1359" t="e">
        <f t="shared" si="14"/>
        <v>#N/A</v>
      </c>
      <c r="X33" s="1360"/>
      <c r="Y33" s="3661"/>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59"/>
      <c r="Q34" s="1349" t="str">
        <f t="shared" si="11"/>
        <v>建筑结构</v>
      </c>
      <c r="R34" s="1350" t="s">
        <v>104</v>
      </c>
      <c r="S34" s="1351">
        <f t="shared" si="12"/>
        <v>100</v>
      </c>
      <c r="T34" s="1350" t="s">
        <v>104</v>
      </c>
      <c r="U34" s="1351">
        <f t="shared" si="13"/>
        <v>100</v>
      </c>
      <c r="V34" s="1350" t="s">
        <v>104</v>
      </c>
      <c r="W34" s="1351">
        <f t="shared" si="14"/>
        <v>100</v>
      </c>
      <c r="X34" s="1338"/>
      <c r="Y34" s="3661"/>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59"/>
      <c r="Q35" s="1349" t="str">
        <f t="shared" si="11"/>
        <v>建筑品质</v>
      </c>
      <c r="R35" s="1350" t="s">
        <v>104</v>
      </c>
      <c r="S35" s="1351">
        <f t="shared" si="12"/>
        <v>100</v>
      </c>
      <c r="T35" s="1350" t="s">
        <v>104</v>
      </c>
      <c r="U35" s="1351">
        <f t="shared" si="13"/>
        <v>100</v>
      </c>
      <c r="V35" s="1350" t="s">
        <v>104</v>
      </c>
      <c r="W35" s="1351">
        <f t="shared" si="14"/>
        <v>100</v>
      </c>
      <c r="X35" s="1338"/>
      <c r="Y35" s="3661"/>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59"/>
      <c r="Q36" s="1349" t="str">
        <f t="shared" si="11"/>
        <v>公共部分装修</v>
      </c>
      <c r="R36" s="1350" t="s">
        <v>104</v>
      </c>
      <c r="S36" s="1351">
        <f t="shared" si="12"/>
        <v>100</v>
      </c>
      <c r="T36" s="1350" t="s">
        <v>104</v>
      </c>
      <c r="U36" s="1351">
        <f t="shared" si="13"/>
        <v>100</v>
      </c>
      <c r="V36" s="1350" t="s">
        <v>104</v>
      </c>
      <c r="W36" s="1351">
        <f t="shared" si="14"/>
        <v>100</v>
      </c>
      <c r="X36" s="1338"/>
      <c r="Y36" s="3661"/>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6"/>
      <c r="M37" s="2258"/>
      <c r="N37" s="2258"/>
      <c r="O37" s="2258"/>
      <c r="P37" s="3659"/>
      <c r="Q37" s="7" t="str">
        <f t="shared" si="11"/>
        <v>成新度</v>
      </c>
      <c r="R37" s="1340" t="s">
        <v>104</v>
      </c>
      <c r="S37" s="1341" t="e">
        <f t="shared" si="12"/>
        <v>#N/A</v>
      </c>
      <c r="T37" s="1340" t="s">
        <v>104</v>
      </c>
      <c r="U37" s="1341" t="e">
        <f t="shared" si="13"/>
        <v>#N/A</v>
      </c>
      <c r="V37" s="1340" t="s">
        <v>104</v>
      </c>
      <c r="W37" s="1341" t="e">
        <f t="shared" si="14"/>
        <v>#N/A</v>
      </c>
      <c r="X37" s="287"/>
      <c r="Y37" s="3661"/>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59" t="s">
        <v>70</v>
      </c>
      <c r="Q38" s="1349" t="str">
        <f t="shared" si="11"/>
        <v>物业管理</v>
      </c>
      <c r="R38" s="1350" t="s">
        <v>104</v>
      </c>
      <c r="S38" s="1351">
        <f t="shared" si="12"/>
        <v>100</v>
      </c>
      <c r="T38" s="1350" t="s">
        <v>104</v>
      </c>
      <c r="U38" s="1351">
        <f t="shared" si="13"/>
        <v>100</v>
      </c>
      <c r="V38" s="1350" t="s">
        <v>104</v>
      </c>
      <c r="W38" s="1351">
        <f t="shared" si="14"/>
        <v>100</v>
      </c>
      <c r="X38" s="1338"/>
      <c r="Y38" s="3661" t="s">
        <v>70</v>
      </c>
      <c r="Z38" s="1352" t="str">
        <f t="shared" si="18"/>
        <v>物业管理</v>
      </c>
      <c r="AA38" s="1353">
        <f t="shared" si="15"/>
        <v>1</v>
      </c>
      <c r="AB38" s="1353">
        <f t="shared" si="16"/>
        <v>1</v>
      </c>
      <c r="AC38" s="1353">
        <f t="shared" si="17"/>
        <v>1</v>
      </c>
    </row>
    <row r="39" spans="1:29" ht="15">
      <c r="A39" s="161"/>
      <c r="B39" s="12" t="s">
        <v>2641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59"/>
      <c r="Q39" s="1349" t="str">
        <f t="shared" si="11"/>
        <v>市政基础设施</v>
      </c>
      <c r="R39" s="1350" t="s">
        <v>104</v>
      </c>
      <c r="S39" s="1351">
        <f t="shared" si="12"/>
        <v>100</v>
      </c>
      <c r="T39" s="1350" t="s">
        <v>104</v>
      </c>
      <c r="U39" s="1351">
        <f t="shared" si="13"/>
        <v>100</v>
      </c>
      <c r="V39" s="1350" t="s">
        <v>104</v>
      </c>
      <c r="W39" s="1351">
        <f t="shared" si="14"/>
        <v>100</v>
      </c>
      <c r="X39" s="1338"/>
      <c r="Y39" s="3661"/>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59"/>
      <c r="Q40" s="1349" t="str">
        <f t="shared" si="11"/>
        <v>房型</v>
      </c>
      <c r="R40" s="1350" t="s">
        <v>104</v>
      </c>
      <c r="S40" s="1351">
        <f t="shared" si="12"/>
        <v>100</v>
      </c>
      <c r="T40" s="1350" t="s">
        <v>104</v>
      </c>
      <c r="U40" s="1351">
        <f t="shared" si="13"/>
        <v>100</v>
      </c>
      <c r="V40" s="1350" t="s">
        <v>104</v>
      </c>
      <c r="W40" s="1351">
        <f t="shared" si="14"/>
        <v>100</v>
      </c>
      <c r="X40" s="1338"/>
      <c r="Y40" s="3661"/>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59"/>
      <c r="Q41" s="1357" t="str">
        <f t="shared" si="11"/>
        <v>单套/主力户型建筑面积</v>
      </c>
      <c r="R41" s="1358" t="s">
        <v>104</v>
      </c>
      <c r="S41" s="1359">
        <f t="shared" si="12"/>
        <v>100</v>
      </c>
      <c r="T41" s="1358" t="s">
        <v>104</v>
      </c>
      <c r="U41" s="1359">
        <f t="shared" si="13"/>
        <v>100</v>
      </c>
      <c r="V41" s="1358" t="s">
        <v>104</v>
      </c>
      <c r="W41" s="1359">
        <f t="shared" si="14"/>
        <v>100</v>
      </c>
      <c r="X41" s="1360"/>
      <c r="Y41" s="3661"/>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59"/>
      <c r="Q42" s="1349" t="str">
        <f t="shared" si="11"/>
        <v>内部装修</v>
      </c>
      <c r="R42" s="1350" t="s">
        <v>104</v>
      </c>
      <c r="S42" s="1351">
        <f t="shared" si="12"/>
        <v>100</v>
      </c>
      <c r="T42" s="1350" t="s">
        <v>104</v>
      </c>
      <c r="U42" s="1351">
        <f t="shared" si="13"/>
        <v>100</v>
      </c>
      <c r="V42" s="1350" t="s">
        <v>104</v>
      </c>
      <c r="W42" s="1351">
        <f t="shared" si="14"/>
        <v>100</v>
      </c>
      <c r="X42" s="1338"/>
      <c r="Y42" s="3661"/>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59"/>
      <c r="Q43" s="1349" t="str">
        <f t="shared" si="11"/>
        <v>内部装修维护情况</v>
      </c>
      <c r="R43" s="1350" t="s">
        <v>104</v>
      </c>
      <c r="S43" s="1351">
        <f t="shared" si="12"/>
        <v>100</v>
      </c>
      <c r="T43" s="1350" t="s">
        <v>104</v>
      </c>
      <c r="U43" s="1351">
        <f t="shared" si="13"/>
        <v>100</v>
      </c>
      <c r="V43" s="1350" t="s">
        <v>104</v>
      </c>
      <c r="W43" s="1351">
        <f t="shared" si="14"/>
        <v>100</v>
      </c>
      <c r="X43" s="1338"/>
      <c r="Y43" s="3661"/>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59"/>
      <c r="Q44" s="7">
        <f t="shared" si="11"/>
        <v>111</v>
      </c>
      <c r="R44" s="1340" t="s">
        <v>104</v>
      </c>
      <c r="S44" s="1341">
        <f t="shared" si="12"/>
        <v>100</v>
      </c>
      <c r="T44" s="1340" t="s">
        <v>104</v>
      </c>
      <c r="U44" s="1341">
        <f t="shared" si="13"/>
        <v>100</v>
      </c>
      <c r="V44" s="1340" t="s">
        <v>104</v>
      </c>
      <c r="W44" s="1341">
        <f t="shared" si="14"/>
        <v>100</v>
      </c>
      <c r="X44" s="287"/>
      <c r="Y44" s="3661"/>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59"/>
      <c r="Q45" s="1349">
        <f t="shared" si="11"/>
        <v>111</v>
      </c>
      <c r="R45" s="1350" t="s">
        <v>104</v>
      </c>
      <c r="S45" s="1351">
        <f t="shared" si="12"/>
        <v>100</v>
      </c>
      <c r="T45" s="1350" t="s">
        <v>104</v>
      </c>
      <c r="U45" s="1351">
        <f t="shared" si="13"/>
        <v>100</v>
      </c>
      <c r="V45" s="1350" t="s">
        <v>104</v>
      </c>
      <c r="W45" s="1351">
        <f t="shared" si="14"/>
        <v>100</v>
      </c>
      <c r="X45" s="1338"/>
      <c r="Y45" s="3661"/>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60"/>
      <c r="Q46" s="1349">
        <f t="shared" si="11"/>
        <v>111</v>
      </c>
      <c r="R46" s="1350" t="s">
        <v>103</v>
      </c>
      <c r="S46" s="1351">
        <f t="shared" si="12"/>
        <v>100</v>
      </c>
      <c r="T46" s="1350" t="s">
        <v>103</v>
      </c>
      <c r="U46" s="1351">
        <f t="shared" si="13"/>
        <v>100</v>
      </c>
      <c r="V46" s="1350" t="s">
        <v>103</v>
      </c>
      <c r="W46" s="1351">
        <f t="shared" si="14"/>
        <v>100</v>
      </c>
      <c r="X46" s="1338"/>
      <c r="Y46" s="3662"/>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54" t="str">
        <f>A47</f>
        <v>成交单价（元/平方米）</v>
      </c>
      <c r="Q47" s="3654"/>
      <c r="R47" s="3655">
        <f>E47</f>
        <v>0</v>
      </c>
      <c r="S47" s="3655"/>
      <c r="T47" s="3655">
        <f>G47</f>
        <v>0</v>
      </c>
      <c r="U47" s="3655"/>
      <c r="V47" s="3655">
        <f>I47</f>
        <v>0</v>
      </c>
      <c r="W47" s="3655"/>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3"/>
      <c r="Y48" s="1363"/>
      <c r="Z48" s="1363"/>
      <c r="AA48" s="1363"/>
      <c r="AB48" s="1363"/>
      <c r="AC48" s="1363"/>
    </row>
    <row r="49" spans="1:29" ht="15.75" thickBot="1">
      <c r="A49" s="115" t="s">
        <v>3013</v>
      </c>
      <c r="B49" s="116"/>
      <c r="C49" s="2841" t="e">
        <f>R49</f>
        <v>#DIV/0!</v>
      </c>
      <c r="D49" s="2842"/>
      <c r="E49" s="2842"/>
      <c r="F49" s="2842"/>
      <c r="G49" s="2842"/>
      <c r="H49" s="2842"/>
      <c r="I49" s="2842"/>
      <c r="J49" s="2842"/>
      <c r="K49" s="1366"/>
      <c r="L49" s="2302"/>
      <c r="M49" s="2303"/>
      <c r="N49" s="2303"/>
      <c r="O49" s="2303"/>
      <c r="P49" s="3651" t="str">
        <f>A49</f>
        <v>估价对象XX用房的比较价值（楼面单价，元/平方米）</v>
      </c>
      <c r="Q49" s="3652"/>
      <c r="R49" s="3653" t="e">
        <f>IF(F1="售价",ROUND(AVERAGE(R48:V48),0),ROUND(AVERAGE(R48:V48),1))</f>
        <v>#DIV/0!</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1013</v>
      </c>
      <c r="D80" s="919" t="s">
        <v>1014</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2643</v>
      </c>
      <c r="C82" s="177" t="s">
        <v>2644</v>
      </c>
      <c r="D82" s="177" t="s">
        <v>2648</v>
      </c>
      <c r="E82" s="177" t="s">
        <v>2645</v>
      </c>
      <c r="F82" s="177" t="s">
        <v>2646</v>
      </c>
      <c r="G82" s="177" t="s">
        <v>2647</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6" t="s">
        <v>2296</v>
      </c>
      <c r="D138" s="1776" t="s">
        <v>2297</v>
      </c>
      <c r="E138" s="2148" t="s">
        <v>2298</v>
      </c>
      <c r="F138" s="2149" t="s">
        <v>2299</v>
      </c>
      <c r="G138" s="1776" t="s">
        <v>2297</v>
      </c>
      <c r="H138" s="2150" t="s">
        <v>2298</v>
      </c>
      <c r="I138" s="2151"/>
      <c r="J138" s="1776"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1">
        <f>IF(D1="",'数据-汇总表'!E3,SUMIF('数据-汇总表'!$C19:$C33,D1,'数据-汇总表'!$E19:$E33))</f>
        <v>28973.439999999999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69" t="s">
        <v>54</v>
      </c>
      <c r="D4" s="3670"/>
      <c r="E4" s="3671" t="s">
        <v>55</v>
      </c>
      <c r="F4" s="3672"/>
      <c r="G4" s="3669" t="s">
        <v>56</v>
      </c>
      <c r="H4" s="3670"/>
      <c r="I4" s="3669" t="s">
        <v>57</v>
      </c>
      <c r="J4" s="3670"/>
      <c r="K4" s="187" t="s">
        <v>58</v>
      </c>
      <c r="L4" s="2294"/>
      <c r="M4" s="2295"/>
      <c r="N4" s="2295"/>
      <c r="O4" s="2295"/>
      <c r="P4" s="3673" t="s">
        <v>53</v>
      </c>
      <c r="Q4" s="3674"/>
      <c r="R4" s="3679" t="s">
        <v>55</v>
      </c>
      <c r="S4" s="3680"/>
      <c r="T4" s="3679" t="s">
        <v>56</v>
      </c>
      <c r="U4" s="3680"/>
      <c r="V4" s="3685" t="s">
        <v>57</v>
      </c>
      <c r="W4" s="3685"/>
      <c r="X4" s="1338"/>
      <c r="Y4" s="3679" t="s">
        <v>53</v>
      </c>
      <c r="Z4" s="3680"/>
      <c r="AA4" s="3666" t="s">
        <v>55</v>
      </c>
      <c r="AB4" s="3685" t="s">
        <v>56</v>
      </c>
      <c r="AC4" s="3666" t="s">
        <v>57</v>
      </c>
    </row>
    <row r="5" spans="1:29">
      <c r="A5" s="146"/>
      <c r="B5" s="147"/>
      <c r="C5" s="3688" t="s">
        <v>59</v>
      </c>
      <c r="D5" s="3689"/>
      <c r="E5" s="3695" t="s">
        <v>60</v>
      </c>
      <c r="F5" s="3696"/>
      <c r="G5" s="3688" t="s">
        <v>61</v>
      </c>
      <c r="H5" s="3689"/>
      <c r="I5" s="3688" t="s">
        <v>62</v>
      </c>
      <c r="J5" s="3689"/>
      <c r="K5" s="187"/>
      <c r="L5" s="2294"/>
      <c r="M5" s="2295"/>
      <c r="N5" s="2295"/>
      <c r="O5" s="2295"/>
      <c r="P5" s="3675"/>
      <c r="Q5" s="3676"/>
      <c r="R5" s="3681"/>
      <c r="S5" s="3682"/>
      <c r="T5" s="3681"/>
      <c r="U5" s="3682"/>
      <c r="V5" s="3685"/>
      <c r="W5" s="3685"/>
      <c r="X5" s="1338"/>
      <c r="Y5" s="3681"/>
      <c r="Z5" s="3682"/>
      <c r="AA5" s="3667"/>
      <c r="AB5" s="3685"/>
      <c r="AC5" s="3667"/>
    </row>
    <row r="6" spans="1:29" ht="14.25" thickBot="1">
      <c r="A6" s="148"/>
      <c r="B6" s="149"/>
      <c r="C6" s="3686" t="s">
        <v>63</v>
      </c>
      <c r="D6" s="3687"/>
      <c r="E6" s="3693" t="s">
        <v>63</v>
      </c>
      <c r="F6" s="3694"/>
      <c r="G6" s="3686" t="s">
        <v>63</v>
      </c>
      <c r="H6" s="3687"/>
      <c r="I6" s="3686" t="s">
        <v>63</v>
      </c>
      <c r="J6" s="3687"/>
      <c r="K6" s="187" t="s">
        <v>117</v>
      </c>
      <c r="L6" s="2294"/>
      <c r="M6" s="2295"/>
      <c r="N6" s="2295"/>
      <c r="O6" s="2295"/>
      <c r="P6" s="3677"/>
      <c r="Q6" s="3678"/>
      <c r="R6" s="3681"/>
      <c r="S6" s="3682"/>
      <c r="T6" s="3683"/>
      <c r="U6" s="3684"/>
      <c r="V6" s="3685"/>
      <c r="W6" s="3685"/>
      <c r="X6" s="1338"/>
      <c r="Y6" s="3683"/>
      <c r="Z6" s="3684"/>
      <c r="AA6" s="3668"/>
      <c r="AB6" s="3685"/>
      <c r="AC6" s="3668"/>
    </row>
    <row r="7" spans="1:29" s="40" customFormat="1" ht="15" thickBot="1">
      <c r="A7" s="1012" t="s">
        <v>64</v>
      </c>
      <c r="B7" s="1013"/>
      <c r="C7" s="1014">
        <f>'数据-取费表'!B2</f>
        <v>42986</v>
      </c>
      <c r="D7" s="753">
        <v>100</v>
      </c>
      <c r="E7" s="1015"/>
      <c r="F7" s="755">
        <f>SUMIF(58:58,YEAR(E7)&amp;"-"&amp;MONTH(E7),59:59)</f>
        <v>0</v>
      </c>
      <c r="G7" s="1015"/>
      <c r="H7" s="753">
        <f>SUMIF(58:58,YEAR(G7)&amp;"-"&amp;MONTH(G7),59:59)</f>
        <v>0</v>
      </c>
      <c r="I7" s="1015"/>
      <c r="J7" s="753">
        <f>SUMIF(58:58,YEAR(I7)&amp;"-"&amp;MONTH(I7),59:59)</f>
        <v>0</v>
      </c>
      <c r="K7" s="1017"/>
      <c r="L7" s="2296"/>
      <c r="M7" s="2258"/>
      <c r="N7" s="2258"/>
      <c r="O7" s="2258"/>
      <c r="P7" s="3690" t="s">
        <v>64</v>
      </c>
      <c r="Q7" s="3692"/>
      <c r="R7" s="1340" t="s">
        <v>65</v>
      </c>
      <c r="S7" s="1341">
        <f t="shared" ref="S7:S15" si="0">F7</f>
        <v>0</v>
      </c>
      <c r="T7" s="1340" t="s">
        <v>65</v>
      </c>
      <c r="U7" s="1341">
        <f t="shared" ref="U7:U15" si="1">H7</f>
        <v>0</v>
      </c>
      <c r="V7" s="1340" t="s">
        <v>65</v>
      </c>
      <c r="W7" s="1341">
        <f t="shared" ref="W7:W15" si="2">J7</f>
        <v>0</v>
      </c>
      <c r="X7" s="287"/>
      <c r="Y7" s="3690" t="s">
        <v>64</v>
      </c>
      <c r="Z7" s="3691"/>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6"/>
      <c r="M8" s="2258"/>
      <c r="N8" s="2258"/>
      <c r="O8" s="2258"/>
      <c r="P8" s="3690" t="s">
        <v>1018</v>
      </c>
      <c r="Q8" s="3691"/>
      <c r="R8" s="1340" t="s">
        <v>65</v>
      </c>
      <c r="S8" s="1341">
        <f t="shared" si="0"/>
        <v>0</v>
      </c>
      <c r="T8" s="1340" t="s">
        <v>65</v>
      </c>
      <c r="U8" s="1341">
        <f t="shared" si="1"/>
        <v>0</v>
      </c>
      <c r="V8" s="1340" t="s">
        <v>65</v>
      </c>
      <c r="W8" s="1341">
        <f t="shared" si="2"/>
        <v>0</v>
      </c>
      <c r="X8" s="287"/>
      <c r="Y8" s="3690" t="s">
        <v>1018</v>
      </c>
      <c r="Z8" s="3691"/>
      <c r="AA8" s="1342" t="e">
        <f t="shared" ref="AA8:AA46" si="3">D8/F8</f>
        <v>#DIV/0!</v>
      </c>
      <c r="AB8" s="1342" t="e">
        <f t="shared" ref="AB8:AB46" si="4">D8/H8</f>
        <v>#DIV/0!</v>
      </c>
      <c r="AC8" s="1342" t="e">
        <f t="shared" ref="AC8:AC46" si="5">D8/J8</f>
        <v>#DIV/0!</v>
      </c>
    </row>
    <row r="9" spans="1:29" s="40" customFormat="1" ht="14.25">
      <c r="A9" s="1019" t="s">
        <v>1019</v>
      </c>
      <c r="B9" s="62" t="s">
        <v>1020</v>
      </c>
      <c r="C9" s="1344"/>
      <c r="D9" s="424">
        <v>100</v>
      </c>
      <c r="E9" s="1345"/>
      <c r="F9" s="760">
        <f>SUMIF(63:63,E9,64:64)-SUMIF(63:63,C9,64:64)+100</f>
        <v>100</v>
      </c>
      <c r="G9" s="1345"/>
      <c r="H9" s="424">
        <f>SUMIF(63:63,G9,64:64)-SUMIF(63:63,C9,64:64)+100</f>
        <v>100</v>
      </c>
      <c r="I9" s="1345"/>
      <c r="J9" s="424">
        <f>SUMIF(63:63,I9,64:64)-SUMIF(63:63,C9,64:64)+100</f>
        <v>100</v>
      </c>
      <c r="K9" s="1017"/>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9"/>
      <c r="M11" s="2295"/>
      <c r="N11" s="2295"/>
      <c r="O11" s="2295"/>
      <c r="P11" s="3665"/>
      <c r="Q11" s="7" t="str">
        <f t="shared" si="6"/>
        <v>容积率</v>
      </c>
      <c r="R11" s="1340" t="s">
        <v>65</v>
      </c>
      <c r="S11" s="1341" t="e">
        <f t="shared" si="0"/>
        <v>#N/A</v>
      </c>
      <c r="T11" s="1340" t="s">
        <v>65</v>
      </c>
      <c r="U11" s="1341" t="e">
        <f t="shared" si="1"/>
        <v>#N/A</v>
      </c>
      <c r="V11" s="1340" t="s">
        <v>65</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65"/>
      <c r="Q12" s="7">
        <f t="shared" si="6"/>
        <v>111</v>
      </c>
      <c r="R12" s="1340" t="s">
        <v>65</v>
      </c>
      <c r="S12" s="1341">
        <f t="shared" si="0"/>
        <v>100</v>
      </c>
      <c r="T12" s="1340" t="s">
        <v>65</v>
      </c>
      <c r="U12" s="1341">
        <f t="shared" si="1"/>
        <v>100</v>
      </c>
      <c r="V12" s="1340" t="s">
        <v>65</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65"/>
      <c r="Q13" s="7">
        <f t="shared" si="6"/>
        <v>111</v>
      </c>
      <c r="R13" s="1340" t="s">
        <v>65</v>
      </c>
      <c r="S13" s="1341">
        <f t="shared" si="0"/>
        <v>100</v>
      </c>
      <c r="T13" s="1340" t="s">
        <v>65</v>
      </c>
      <c r="U13" s="1341">
        <f t="shared" si="1"/>
        <v>100</v>
      </c>
      <c r="V13" s="1340" t="s">
        <v>65</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65"/>
      <c r="Q14" s="7">
        <f t="shared" si="6"/>
        <v>111</v>
      </c>
      <c r="R14" s="1340" t="s">
        <v>65</v>
      </c>
      <c r="S14" s="1341">
        <f t="shared" si="0"/>
        <v>100</v>
      </c>
      <c r="T14" s="1340" t="s">
        <v>65</v>
      </c>
      <c r="U14" s="1341">
        <f t="shared" si="1"/>
        <v>100</v>
      </c>
      <c r="V14" s="1340" t="s">
        <v>65</v>
      </c>
      <c r="W14" s="1341">
        <f t="shared" si="2"/>
        <v>100</v>
      </c>
      <c r="X14" s="287"/>
      <c r="Y14" s="3470"/>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5"/>
      <c r="L15" s="2300"/>
      <c r="M15" s="2295"/>
      <c r="N15" s="2295"/>
      <c r="O15" s="2295"/>
      <c r="P15" s="3663" t="s">
        <v>69</v>
      </c>
      <c r="Q15" s="1349" t="str">
        <f t="shared" si="6"/>
        <v>商业繁华度</v>
      </c>
      <c r="R15" s="1350" t="s">
        <v>65</v>
      </c>
      <c r="S15" s="1351">
        <f t="shared" si="0"/>
        <v>100</v>
      </c>
      <c r="T15" s="1350" t="s">
        <v>65</v>
      </c>
      <c r="U15" s="1351">
        <f t="shared" si="1"/>
        <v>100</v>
      </c>
      <c r="V15" s="1350" t="s">
        <v>65</v>
      </c>
      <c r="W15" s="1351">
        <f t="shared" si="2"/>
        <v>100</v>
      </c>
      <c r="X15" s="1338"/>
      <c r="Y15" s="3656"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64"/>
      <c r="Q16" s="1349"/>
      <c r="R16" s="1350"/>
      <c r="S16" s="1351"/>
      <c r="T16" s="1350"/>
      <c r="U16" s="1351"/>
      <c r="V16" s="1350"/>
      <c r="W16" s="1351"/>
      <c r="X16" s="1338"/>
      <c r="Y16" s="3657"/>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0"/>
      <c r="F17" s="795">
        <f>SUMIF(78:78,E18,79:79)-SUMIF(78:78,C18,79:79)+100</f>
        <v>100</v>
      </c>
      <c r="G17" s="101"/>
      <c r="H17" s="797">
        <f>SUMIF(78:78,G18,79:79)-SUMIF(78:78,C18,79:79)+100</f>
        <v>100</v>
      </c>
      <c r="I17" s="100"/>
      <c r="J17" s="797">
        <f>SUMIF(78:78,I18,79:79)-SUMIF(78:78,C18,79:79)+100</f>
        <v>100</v>
      </c>
      <c r="K17" s="955"/>
      <c r="L17" s="2300"/>
      <c r="M17" s="2295"/>
      <c r="N17" s="2295"/>
      <c r="O17" s="2295"/>
      <c r="P17" s="3664"/>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295"/>
      <c r="P18" s="3664"/>
      <c r="Q18" s="1349"/>
      <c r="R18" s="1350"/>
      <c r="S18" s="1351"/>
      <c r="T18" s="1350"/>
      <c r="U18" s="1351"/>
      <c r="V18" s="1350"/>
      <c r="W18" s="1351"/>
      <c r="X18" s="1338"/>
      <c r="Y18" s="3657"/>
      <c r="Z18" s="1352"/>
      <c r="AA18" s="1353">
        <v>1</v>
      </c>
      <c r="AB18" s="1353">
        <v>1</v>
      </c>
      <c r="AC18" s="1353">
        <v>1</v>
      </c>
    </row>
    <row r="19" spans="1:29" ht="189">
      <c r="A19" s="151"/>
      <c r="B19" s="1354"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5"/>
      <c r="F19" s="800">
        <f>SUMIF(80:80,E20,81:81)-SUMIF(80:80,C20,81:81)+100</f>
        <v>100</v>
      </c>
      <c r="G19" s="106"/>
      <c r="H19" s="792">
        <f>SUMIF(80:80,G20,81:81)-SUMIF(80:80,C20,81:81)+100</f>
        <v>100</v>
      </c>
      <c r="I19" s="105"/>
      <c r="J19" s="792">
        <f>SUMIF(80:80,I20,81:81)-SUMIF(80:80,C20,81:81)+100</f>
        <v>100</v>
      </c>
      <c r="K19" s="955"/>
      <c r="L19" s="2300"/>
      <c r="M19" s="2295"/>
      <c r="N19" s="2295"/>
      <c r="O19" s="2295"/>
      <c r="P19" s="3664"/>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295"/>
      <c r="P20" s="3664"/>
      <c r="Q20" s="1349"/>
      <c r="R20" s="1350"/>
      <c r="S20" s="1351"/>
      <c r="T20" s="1350"/>
      <c r="U20" s="1351"/>
      <c r="V20" s="1350"/>
      <c r="W20" s="1351"/>
      <c r="X20" s="1338"/>
      <c r="Y20" s="3657"/>
      <c r="Z20" s="1352"/>
      <c r="AA20" s="1353">
        <v>1</v>
      </c>
      <c r="AB20" s="1353">
        <v>1</v>
      </c>
      <c r="AC20" s="1353">
        <v>1</v>
      </c>
    </row>
    <row r="21" spans="1:29" ht="40.5">
      <c r="A21" s="151"/>
      <c r="B21" s="1410" t="s">
        <v>2650</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5"/>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64"/>
      <c r="Q22" s="2745"/>
      <c r="R22" s="1350"/>
      <c r="S22" s="1351"/>
      <c r="T22" s="1350"/>
      <c r="U22" s="1351"/>
      <c r="V22" s="1350"/>
      <c r="W22" s="1351"/>
      <c r="X22" s="2747"/>
      <c r="Y22" s="3657"/>
      <c r="Z22" s="2746"/>
      <c r="AA22" s="1353">
        <v>1</v>
      </c>
      <c r="AB22" s="1353">
        <v>1</v>
      </c>
      <c r="AC22" s="1353">
        <v>1</v>
      </c>
    </row>
    <row r="23" spans="1:29" ht="162">
      <c r="A23" s="151"/>
      <c r="B23" s="1354"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0"/>
      <c r="F23" s="795">
        <f>SUMIF(84:84,E24,85:85)-SUMIF(84:84,C24,85:85)+100</f>
        <v>100</v>
      </c>
      <c r="G23" s="101"/>
      <c r="H23" s="792">
        <f>SUMIF(84:84,G24,85:85)-SUMIF(84:84,C24,85:85)+100</f>
        <v>100</v>
      </c>
      <c r="I23" s="100"/>
      <c r="J23" s="792">
        <f>SUMIF(84:84,I24,85:85)-SUMIF(84:84,C24,85:85)+100</f>
        <v>100</v>
      </c>
      <c r="K23" s="955"/>
      <c r="L23" s="2300"/>
      <c r="M23" s="2295"/>
      <c r="N23" s="2295"/>
      <c r="O23" s="2295"/>
      <c r="P23" s="3664"/>
      <c r="Q23" s="1349" t="str">
        <f>B23</f>
        <v>自然及人文环境</v>
      </c>
      <c r="R23" s="1350" t="s">
        <v>65</v>
      </c>
      <c r="S23" s="1351">
        <f>F23</f>
        <v>100</v>
      </c>
      <c r="T23" s="1350" t="s">
        <v>65</v>
      </c>
      <c r="U23" s="1351">
        <f>H23</f>
        <v>100</v>
      </c>
      <c r="V23" s="1350" t="s">
        <v>65</v>
      </c>
      <c r="W23" s="1351">
        <f>J23</f>
        <v>100</v>
      </c>
      <c r="X23" s="1338"/>
      <c r="Y23" s="3657"/>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0"/>
      <c r="M24" s="2295"/>
      <c r="N24" s="2295"/>
      <c r="O24" s="2295"/>
      <c r="P24" s="3664"/>
      <c r="Q24" s="1349"/>
      <c r="R24" s="1350"/>
      <c r="S24" s="1351"/>
      <c r="T24" s="1350"/>
      <c r="U24" s="1351"/>
      <c r="V24" s="1350"/>
      <c r="W24" s="1351"/>
      <c r="X24" s="1338"/>
      <c r="Y24" s="3657"/>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0"/>
      <c r="M25" s="2295"/>
      <c r="N25" s="2295"/>
      <c r="O25" s="2295"/>
      <c r="P25" s="3664"/>
      <c r="Q25" s="1349" t="str">
        <f t="shared" ref="Q25:Q46" si="11">B25</f>
        <v>临街状况</v>
      </c>
      <c r="R25" s="1350" t="s">
        <v>65</v>
      </c>
      <c r="S25" s="1351">
        <f>F25</f>
        <v>100</v>
      </c>
      <c r="T25" s="1350" t="s">
        <v>65</v>
      </c>
      <c r="U25" s="1351">
        <f>H25</f>
        <v>100</v>
      </c>
      <c r="V25" s="1350" t="s">
        <v>65</v>
      </c>
      <c r="W25" s="1351">
        <f>J25</f>
        <v>100</v>
      </c>
      <c r="X25" s="1338"/>
      <c r="Y25" s="3657"/>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64"/>
      <c r="Q26" s="1349" t="str">
        <f t="shared" si="11"/>
        <v>平面位置/可视性</v>
      </c>
      <c r="R26" s="1350" t="s">
        <v>65</v>
      </c>
      <c r="S26" s="1351">
        <f>F26</f>
        <v>100</v>
      </c>
      <c r="T26" s="1350" t="s">
        <v>65</v>
      </c>
      <c r="U26" s="1351">
        <f>H26</f>
        <v>100</v>
      </c>
      <c r="V26" s="1350" t="s">
        <v>65</v>
      </c>
      <c r="W26" s="1351">
        <f>J26</f>
        <v>100</v>
      </c>
      <c r="X26" s="1338"/>
      <c r="Y26" s="3657"/>
      <c r="Z26" s="1352" t="str">
        <f>Q26</f>
        <v>平面位置/可视性</v>
      </c>
      <c r="AA26" s="1353">
        <f t="shared" si="3"/>
        <v>1</v>
      </c>
      <c r="AB26" s="1353">
        <f t="shared" si="4"/>
        <v>1</v>
      </c>
      <c r="AC26" s="1353">
        <f t="shared" si="5"/>
        <v>1</v>
      </c>
    </row>
    <row r="27" spans="1:29" s="40" customFormat="1" ht="15">
      <c r="A27" s="1028"/>
      <c r="B27" s="1354" t="s">
        <v>1022</v>
      </c>
      <c r="C27" s="1385"/>
      <c r="D27" s="804">
        <v>100</v>
      </c>
      <c r="E27" s="1385"/>
      <c r="F27" s="805">
        <f>SUMIF(90:90,E27,91:91)-SUMIF(90:90,C27,91:91)+100</f>
        <v>100</v>
      </c>
      <c r="G27" s="1385"/>
      <c r="H27" s="804">
        <f>SUMIF(90:90,G27,91:91)-SUMIF(90:90,C27,91:91)+100</f>
        <v>100</v>
      </c>
      <c r="I27" s="1385"/>
      <c r="J27" s="804">
        <f>SUMIF(90:90,I27,91:91)-SUMIF(90:90,C27,91:91)+100</f>
        <v>100</v>
      </c>
      <c r="K27" s="953"/>
      <c r="L27" s="2296"/>
      <c r="M27" s="2258"/>
      <c r="N27" s="2258"/>
      <c r="O27" s="2258"/>
      <c r="P27" s="3664"/>
      <c r="Q27" s="7" t="str">
        <f t="shared" si="11"/>
        <v>人流量</v>
      </c>
      <c r="R27" s="1340" t="s">
        <v>65</v>
      </c>
      <c r="S27" s="1341">
        <f>F27</f>
        <v>100</v>
      </c>
      <c r="T27" s="1340" t="s">
        <v>65</v>
      </c>
      <c r="U27" s="1341">
        <f>H27</f>
        <v>100</v>
      </c>
      <c r="V27" s="1340" t="s">
        <v>65</v>
      </c>
      <c r="W27" s="1341">
        <f>J27</f>
        <v>100</v>
      </c>
      <c r="X27" s="287"/>
      <c r="Y27" s="3657"/>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64"/>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7"/>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64"/>
      <c r="Q29" s="1349">
        <f t="shared" si="11"/>
        <v>111</v>
      </c>
      <c r="R29" s="1350" t="s">
        <v>65</v>
      </c>
      <c r="S29" s="1351">
        <f t="shared" si="12"/>
        <v>100</v>
      </c>
      <c r="T29" s="1350" t="s">
        <v>65</v>
      </c>
      <c r="U29" s="1351">
        <f t="shared" si="13"/>
        <v>100</v>
      </c>
      <c r="V29" s="1350" t="s">
        <v>65</v>
      </c>
      <c r="W29" s="1351">
        <f t="shared" si="14"/>
        <v>100</v>
      </c>
      <c r="X29" s="1338"/>
      <c r="Y29" s="3657"/>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64"/>
      <c r="Q30" s="1349">
        <f t="shared" si="11"/>
        <v>111</v>
      </c>
      <c r="R30" s="1350" t="s">
        <v>65</v>
      </c>
      <c r="S30" s="1351">
        <f t="shared" si="12"/>
        <v>100</v>
      </c>
      <c r="T30" s="1350" t="s">
        <v>65</v>
      </c>
      <c r="U30" s="1351">
        <f t="shared" si="13"/>
        <v>100</v>
      </c>
      <c r="V30" s="1350" t="s">
        <v>65</v>
      </c>
      <c r="W30" s="1351">
        <f t="shared" si="14"/>
        <v>100</v>
      </c>
      <c r="X30" s="1338"/>
      <c r="Y30" s="3657"/>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64"/>
      <c r="Q31" s="1349">
        <f t="shared" si="11"/>
        <v>111</v>
      </c>
      <c r="R31" s="1350" t="s">
        <v>65</v>
      </c>
      <c r="S31" s="1351">
        <f t="shared" si="12"/>
        <v>100</v>
      </c>
      <c r="T31" s="1350" t="s">
        <v>65</v>
      </c>
      <c r="U31" s="1351">
        <f t="shared" si="13"/>
        <v>100</v>
      </c>
      <c r="V31" s="1350" t="s">
        <v>65</v>
      </c>
      <c r="W31" s="1351">
        <f t="shared" si="14"/>
        <v>100</v>
      </c>
      <c r="X31" s="1338"/>
      <c r="Y31" s="3657"/>
      <c r="Z31" s="1352">
        <f t="shared" si="15"/>
        <v>111</v>
      </c>
      <c r="AA31" s="1353">
        <f t="shared" si="3"/>
        <v>1</v>
      </c>
      <c r="AB31" s="1353">
        <f t="shared" si="4"/>
        <v>1</v>
      </c>
      <c r="AC31" s="1353">
        <f t="shared" si="5"/>
        <v>1</v>
      </c>
    </row>
    <row r="32" spans="1:29" ht="15">
      <c r="A32" s="155" t="s">
        <v>1023</v>
      </c>
      <c r="B32" s="62" t="s">
        <v>1024</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0"/>
      <c r="M32" s="2295"/>
      <c r="N32" s="2295"/>
      <c r="O32" s="2295"/>
      <c r="P32" s="3658" t="s">
        <v>1025</v>
      </c>
      <c r="Q32" s="1349" t="str">
        <f t="shared" si="11"/>
        <v>商业类型</v>
      </c>
      <c r="R32" s="1350" t="s">
        <v>65</v>
      </c>
      <c r="S32" s="1351">
        <f t="shared" si="12"/>
        <v>100</v>
      </c>
      <c r="T32" s="1350" t="s">
        <v>65</v>
      </c>
      <c r="U32" s="1351">
        <f t="shared" si="13"/>
        <v>100</v>
      </c>
      <c r="V32" s="1350" t="s">
        <v>65</v>
      </c>
      <c r="W32" s="1351">
        <f t="shared" si="14"/>
        <v>100</v>
      </c>
      <c r="X32" s="1338"/>
      <c r="Y32" s="3661" t="s">
        <v>1025</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59"/>
      <c r="Q33" s="1357" t="str">
        <f t="shared" si="11"/>
        <v>项目建筑规模</v>
      </c>
      <c r="R33" s="1358" t="s">
        <v>65</v>
      </c>
      <c r="S33" s="1359" t="e">
        <f t="shared" si="12"/>
        <v>#N/A</v>
      </c>
      <c r="T33" s="1358" t="s">
        <v>65</v>
      </c>
      <c r="U33" s="1359" t="e">
        <f t="shared" si="13"/>
        <v>#N/A</v>
      </c>
      <c r="V33" s="1358" t="s">
        <v>65</v>
      </c>
      <c r="W33" s="1359" t="e">
        <f t="shared" si="14"/>
        <v>#N/A</v>
      </c>
      <c r="X33" s="1360"/>
      <c r="Y33" s="3661"/>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300"/>
      <c r="M34" s="2295"/>
      <c r="N34" s="2295"/>
      <c r="O34" s="2295"/>
      <c r="P34" s="3659"/>
      <c r="Q34" s="1349" t="str">
        <f t="shared" si="11"/>
        <v>建筑结构</v>
      </c>
      <c r="R34" s="1350" t="s">
        <v>65</v>
      </c>
      <c r="S34" s="1351">
        <f t="shared" si="12"/>
        <v>100</v>
      </c>
      <c r="T34" s="1350" t="s">
        <v>65</v>
      </c>
      <c r="U34" s="1351">
        <f t="shared" si="13"/>
        <v>100</v>
      </c>
      <c r="V34" s="1350" t="s">
        <v>65</v>
      </c>
      <c r="W34" s="1351">
        <f t="shared" si="14"/>
        <v>100</v>
      </c>
      <c r="X34" s="1338"/>
      <c r="Y34" s="3661"/>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0"/>
      <c r="M35" s="2295"/>
      <c r="N35" s="2295"/>
      <c r="O35" s="2295"/>
      <c r="P35" s="3659"/>
      <c r="Q35" s="1349" t="str">
        <f t="shared" si="11"/>
        <v>公共部分装修</v>
      </c>
      <c r="R35" s="1350" t="s">
        <v>65</v>
      </c>
      <c r="S35" s="1351">
        <f t="shared" si="12"/>
        <v>100</v>
      </c>
      <c r="T35" s="1350" t="s">
        <v>65</v>
      </c>
      <c r="U35" s="1351">
        <f t="shared" si="13"/>
        <v>100</v>
      </c>
      <c r="V35" s="1350" t="s">
        <v>65</v>
      </c>
      <c r="W35" s="1351">
        <f t="shared" si="14"/>
        <v>100</v>
      </c>
      <c r="X35" s="1338"/>
      <c r="Y35" s="3661"/>
      <c r="Z35" s="1352" t="str">
        <f t="shared" si="15"/>
        <v>公共部分装修</v>
      </c>
      <c r="AA35" s="1353">
        <f t="shared" si="3"/>
        <v>1</v>
      </c>
      <c r="AB35" s="1353">
        <f t="shared" si="4"/>
        <v>1</v>
      </c>
      <c r="AC35" s="1353">
        <f t="shared" si="5"/>
        <v>1</v>
      </c>
    </row>
    <row r="36" spans="1:29" ht="15">
      <c r="A36" s="161"/>
      <c r="B36" s="12" t="s">
        <v>1027</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0"/>
      <c r="M36" s="2295"/>
      <c r="N36" s="2295"/>
      <c r="O36" s="2295"/>
      <c r="P36" s="3659"/>
      <c r="Q36" s="1349" t="str">
        <f t="shared" si="11"/>
        <v>成新度</v>
      </c>
      <c r="R36" s="1350" t="s">
        <v>65</v>
      </c>
      <c r="S36" s="1351" t="e">
        <f t="shared" si="12"/>
        <v>#N/A</v>
      </c>
      <c r="T36" s="1350" t="s">
        <v>65</v>
      </c>
      <c r="U36" s="1351" t="e">
        <f t="shared" si="13"/>
        <v>#N/A</v>
      </c>
      <c r="V36" s="1350" t="s">
        <v>65</v>
      </c>
      <c r="W36" s="1351" t="e">
        <f t="shared" si="14"/>
        <v>#N/A</v>
      </c>
      <c r="X36" s="1338"/>
      <c r="Y36" s="3661"/>
      <c r="Z36" s="1352" t="str">
        <f t="shared" si="15"/>
        <v>成新度</v>
      </c>
      <c r="AA36" s="1353" t="e">
        <f t="shared" si="3"/>
        <v>#N/A</v>
      </c>
      <c r="AB36" s="1353" t="e">
        <f t="shared" si="4"/>
        <v>#N/A</v>
      </c>
      <c r="AC36" s="1353" t="e">
        <f t="shared" si="5"/>
        <v>#N/A</v>
      </c>
    </row>
    <row r="37" spans="1:29" s="40" customFormat="1" ht="15">
      <c r="A37" s="1039"/>
      <c r="B37" s="12" t="s">
        <v>2651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6"/>
      <c r="M37" s="2258"/>
      <c r="N37" s="2258"/>
      <c r="O37" s="2258"/>
      <c r="P37" s="3659"/>
      <c r="Q37" s="7" t="str">
        <f t="shared" si="11"/>
        <v>市政基础设施</v>
      </c>
      <c r="R37" s="1340" t="s">
        <v>65</v>
      </c>
      <c r="S37" s="1341">
        <f t="shared" si="12"/>
        <v>100</v>
      </c>
      <c r="T37" s="1340" t="s">
        <v>65</v>
      </c>
      <c r="U37" s="1341">
        <f t="shared" si="13"/>
        <v>100</v>
      </c>
      <c r="V37" s="1340" t="s">
        <v>65</v>
      </c>
      <c r="W37" s="1341">
        <f t="shared" si="14"/>
        <v>100</v>
      </c>
      <c r="X37" s="287"/>
      <c r="Y37" s="3661"/>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0"/>
      <c r="M38" s="2295"/>
      <c r="N38" s="2295"/>
      <c r="O38" s="2295"/>
      <c r="P38" s="3659" t="s">
        <v>1028</v>
      </c>
      <c r="Q38" s="1349" t="str">
        <f t="shared" si="11"/>
        <v>业态</v>
      </c>
      <c r="R38" s="1350" t="s">
        <v>65</v>
      </c>
      <c r="S38" s="1351">
        <f t="shared" si="12"/>
        <v>100</v>
      </c>
      <c r="T38" s="1350" t="s">
        <v>65</v>
      </c>
      <c r="U38" s="1351">
        <f t="shared" si="13"/>
        <v>100</v>
      </c>
      <c r="V38" s="1350" t="s">
        <v>65</v>
      </c>
      <c r="W38" s="1351">
        <f t="shared" si="14"/>
        <v>100</v>
      </c>
      <c r="X38" s="1338"/>
      <c r="Y38" s="3661"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0"/>
      <c r="M39" s="2295"/>
      <c r="N39" s="2295"/>
      <c r="O39" s="2295"/>
      <c r="P39" s="3659"/>
      <c r="Q39" s="1349" t="str">
        <f t="shared" si="11"/>
        <v>层高</v>
      </c>
      <c r="R39" s="1350" t="s">
        <v>65</v>
      </c>
      <c r="S39" s="1351">
        <f t="shared" si="12"/>
        <v>100</v>
      </c>
      <c r="T39" s="1350" t="s">
        <v>65</v>
      </c>
      <c r="U39" s="1351">
        <f t="shared" si="13"/>
        <v>100</v>
      </c>
      <c r="V39" s="1350" t="s">
        <v>65</v>
      </c>
      <c r="W39" s="1351">
        <f t="shared" si="14"/>
        <v>100</v>
      </c>
      <c r="X39" s="1338"/>
      <c r="Y39" s="3661"/>
      <c r="Z39" s="1352" t="str">
        <f t="shared" si="15"/>
        <v>层高</v>
      </c>
      <c r="AA39" s="1353">
        <f t="shared" si="3"/>
        <v>1</v>
      </c>
      <c r="AB39" s="1353">
        <f t="shared" si="4"/>
        <v>1</v>
      </c>
      <c r="AC39" s="1353">
        <f t="shared" si="5"/>
        <v>1</v>
      </c>
    </row>
    <row r="40" spans="1:29" ht="14.25">
      <c r="A40" s="161"/>
      <c r="B40" s="12" t="s">
        <v>1030</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0"/>
      <c r="M40" s="2295"/>
      <c r="N40" s="2295"/>
      <c r="O40" s="2295"/>
      <c r="P40" s="3659"/>
      <c r="Q40" s="1349" t="str">
        <f t="shared" si="11"/>
        <v>单套建筑面积</v>
      </c>
      <c r="R40" s="1350" t="s">
        <v>65</v>
      </c>
      <c r="S40" s="1351">
        <f t="shared" si="12"/>
        <v>100</v>
      </c>
      <c r="T40" s="1350" t="s">
        <v>65</v>
      </c>
      <c r="U40" s="1351">
        <f t="shared" si="13"/>
        <v>100</v>
      </c>
      <c r="V40" s="1350" t="s">
        <v>65</v>
      </c>
      <c r="W40" s="1351">
        <f t="shared" si="14"/>
        <v>100</v>
      </c>
      <c r="X40" s="1338"/>
      <c r="Y40" s="3661"/>
      <c r="Z40" s="1352" t="str">
        <f t="shared" si="15"/>
        <v>单套建筑面积</v>
      </c>
      <c r="AA40" s="1353">
        <f t="shared" si="3"/>
        <v>1</v>
      </c>
      <c r="AB40" s="1353">
        <f t="shared" si="4"/>
        <v>1</v>
      </c>
      <c r="AC40" s="1353">
        <f t="shared" si="5"/>
        <v>1</v>
      </c>
    </row>
    <row r="41" spans="1:29" s="1037" customFormat="1" ht="15">
      <c r="A41" s="1041"/>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9"/>
      <c r="M41" s="2301"/>
      <c r="N41" s="2301"/>
      <c r="O41" s="2301"/>
      <c r="P41" s="3659"/>
      <c r="Q41" s="1357" t="str">
        <f t="shared" si="11"/>
        <v>进深比</v>
      </c>
      <c r="R41" s="1358" t="s">
        <v>65</v>
      </c>
      <c r="S41" s="1359">
        <f t="shared" si="12"/>
        <v>100</v>
      </c>
      <c r="T41" s="1358" t="s">
        <v>65</v>
      </c>
      <c r="U41" s="1359">
        <f t="shared" si="13"/>
        <v>100</v>
      </c>
      <c r="V41" s="1358" t="s">
        <v>65</v>
      </c>
      <c r="W41" s="1359">
        <f t="shared" si="14"/>
        <v>100</v>
      </c>
      <c r="X41" s="1360"/>
      <c r="Y41" s="3661"/>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0"/>
      <c r="M42" s="2295"/>
      <c r="N42" s="2295"/>
      <c r="O42" s="2295"/>
      <c r="P42" s="3659"/>
      <c r="Q42" s="1349" t="str">
        <f t="shared" si="11"/>
        <v>内部装修</v>
      </c>
      <c r="R42" s="1350" t="s">
        <v>65</v>
      </c>
      <c r="S42" s="1351">
        <f t="shared" si="12"/>
        <v>100</v>
      </c>
      <c r="T42" s="1350" t="s">
        <v>65</v>
      </c>
      <c r="U42" s="1351">
        <f t="shared" si="13"/>
        <v>100</v>
      </c>
      <c r="V42" s="1350" t="s">
        <v>65</v>
      </c>
      <c r="W42" s="1351">
        <f t="shared" si="14"/>
        <v>100</v>
      </c>
      <c r="X42" s="1338"/>
      <c r="Y42" s="3661"/>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0"/>
      <c r="M43" s="2295"/>
      <c r="N43" s="2295"/>
      <c r="O43" s="2295"/>
      <c r="P43" s="3659"/>
      <c r="Q43" s="1349" t="str">
        <f t="shared" si="11"/>
        <v>内部装修维护情况</v>
      </c>
      <c r="R43" s="1350" t="s">
        <v>65</v>
      </c>
      <c r="S43" s="1351">
        <f t="shared" si="12"/>
        <v>100</v>
      </c>
      <c r="T43" s="1350" t="s">
        <v>65</v>
      </c>
      <c r="U43" s="1351">
        <f t="shared" si="13"/>
        <v>100</v>
      </c>
      <c r="V43" s="1350" t="s">
        <v>65</v>
      </c>
      <c r="W43" s="1351">
        <f t="shared" si="14"/>
        <v>100</v>
      </c>
      <c r="X43" s="1338"/>
      <c r="Y43" s="3661"/>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59"/>
      <c r="Q44" s="7">
        <f t="shared" si="11"/>
        <v>111</v>
      </c>
      <c r="R44" s="1340" t="s">
        <v>65</v>
      </c>
      <c r="S44" s="1341">
        <f t="shared" si="12"/>
        <v>100</v>
      </c>
      <c r="T44" s="1340" t="s">
        <v>65</v>
      </c>
      <c r="U44" s="1341">
        <f t="shared" si="13"/>
        <v>100</v>
      </c>
      <c r="V44" s="1340" t="s">
        <v>65</v>
      </c>
      <c r="W44" s="1341">
        <f t="shared" si="14"/>
        <v>100</v>
      </c>
      <c r="X44" s="287"/>
      <c r="Y44" s="3661"/>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59"/>
      <c r="Q45" s="1349">
        <f t="shared" si="11"/>
        <v>111</v>
      </c>
      <c r="R45" s="1350" t="s">
        <v>65</v>
      </c>
      <c r="S45" s="1351">
        <f t="shared" si="12"/>
        <v>100</v>
      </c>
      <c r="T45" s="1350" t="s">
        <v>65</v>
      </c>
      <c r="U45" s="1351">
        <f t="shared" si="13"/>
        <v>100</v>
      </c>
      <c r="V45" s="1350" t="s">
        <v>65</v>
      </c>
      <c r="W45" s="1351">
        <f t="shared" si="14"/>
        <v>100</v>
      </c>
      <c r="X45" s="1338"/>
      <c r="Y45" s="3661"/>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60"/>
      <c r="Q46" s="1349">
        <f t="shared" si="11"/>
        <v>111</v>
      </c>
      <c r="R46" s="1350" t="s">
        <v>65</v>
      </c>
      <c r="S46" s="1351">
        <f t="shared" si="12"/>
        <v>100</v>
      </c>
      <c r="T46" s="1350" t="s">
        <v>65</v>
      </c>
      <c r="U46" s="1351">
        <f t="shared" si="13"/>
        <v>100</v>
      </c>
      <c r="V46" s="1350" t="s">
        <v>65</v>
      </c>
      <c r="W46" s="1351">
        <f t="shared" si="14"/>
        <v>100</v>
      </c>
      <c r="X46" s="1338"/>
      <c r="Y46" s="3662"/>
      <c r="Z46" s="1352">
        <f t="shared" si="15"/>
        <v>111</v>
      </c>
      <c r="AA46" s="1353">
        <f t="shared" si="3"/>
        <v>1</v>
      </c>
      <c r="AB46" s="1353">
        <f t="shared" si="4"/>
        <v>1</v>
      </c>
      <c r="AC46" s="1353">
        <f t="shared" si="5"/>
        <v>1</v>
      </c>
    </row>
    <row r="47" spans="1:29" ht="15">
      <c r="A47" s="163" t="s">
        <v>1033</v>
      </c>
      <c r="B47" s="164"/>
      <c r="C47" s="2832" t="s">
        <v>23</v>
      </c>
      <c r="D47" s="2833"/>
      <c r="E47" s="2834"/>
      <c r="F47" s="2835"/>
      <c r="G47" s="2836"/>
      <c r="H47" s="2837"/>
      <c r="I47" s="2834"/>
      <c r="J47" s="2837"/>
      <c r="K47" s="1391"/>
      <c r="L47" s="2302"/>
      <c r="M47" s="2303"/>
      <c r="N47" s="2295"/>
      <c r="O47" s="2303"/>
      <c r="P47" s="3654" t="str">
        <f>A47</f>
        <v>成交单价（元/平方米）</v>
      </c>
      <c r="Q47" s="3654"/>
      <c r="R47" s="3685">
        <f>E47</f>
        <v>0</v>
      </c>
      <c r="S47" s="3685"/>
      <c r="T47" s="3685">
        <f>G47</f>
        <v>0</v>
      </c>
      <c r="U47" s="3685"/>
      <c r="V47" s="3685">
        <f>I47</f>
        <v>0</v>
      </c>
      <c r="W47" s="3685"/>
      <c r="X47" s="1363"/>
      <c r="Y47" s="1364"/>
      <c r="Z47" s="1363"/>
      <c r="AA47" s="1363"/>
      <c r="AB47" s="1363"/>
      <c r="AC47" s="1363"/>
    </row>
    <row r="48" spans="1:29" ht="15.75" thickBot="1">
      <c r="A48" s="165" t="s">
        <v>1034</v>
      </c>
      <c r="B48" s="166"/>
      <c r="C48" s="2838" t="e">
        <f>R49</f>
        <v>#DIV/0!</v>
      </c>
      <c r="D48" s="2839"/>
      <c r="E48" s="2840" t="e">
        <f>R48</f>
        <v>#DIV/0!</v>
      </c>
      <c r="F48" s="2840"/>
      <c r="G48" s="2838" t="e">
        <f>T48</f>
        <v>#DIV/0!</v>
      </c>
      <c r="H48" s="2839"/>
      <c r="I48" s="2840" t="e">
        <f>V48</f>
        <v>#DIV/0!</v>
      </c>
      <c r="J48" s="2839"/>
      <c r="K48" s="1392"/>
      <c r="L48" s="2302"/>
      <c r="M48" s="2303"/>
      <c r="N48" s="2295"/>
      <c r="O48" s="2303"/>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3"/>
      <c r="Y48" s="1363"/>
      <c r="Z48" s="1363"/>
      <c r="AA48" s="1363"/>
      <c r="AB48" s="1363"/>
      <c r="AC48" s="1363"/>
    </row>
    <row r="49" spans="1:29" ht="15.75" thickBot="1">
      <c r="A49" s="115" t="s">
        <v>3013</v>
      </c>
      <c r="B49" s="116"/>
      <c r="C49" s="2842" t="e">
        <f>R49</f>
        <v>#DIV/0!</v>
      </c>
      <c r="D49" s="2842"/>
      <c r="E49" s="2842"/>
      <c r="F49" s="2842"/>
      <c r="G49" s="2842"/>
      <c r="H49" s="2842"/>
      <c r="I49" s="2842"/>
      <c r="J49" s="2842"/>
      <c r="K49" s="1393"/>
      <c r="L49" s="2302"/>
      <c r="M49" s="2303"/>
      <c r="N49" s="2295"/>
      <c r="O49" s="2303"/>
      <c r="P49" s="3651" t="str">
        <f>A49</f>
        <v>估价对象XX用房的比较价值（楼面单价，元/平方米）</v>
      </c>
      <c r="Q49" s="3652"/>
      <c r="R49" s="3653" t="e">
        <f>IF(F1="售价",ROUND(AVERAGE(R48:V48),0),ROUND(AVERAGE(R48:V48),1))</f>
        <v>#DIV/0!</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1"/>
    </row>
    <row r="61" spans="1:29" s="40" customFormat="1">
      <c r="A61" s="1047" t="s">
        <v>1037</v>
      </c>
      <c r="B61" s="1044"/>
      <c r="C61" s="1048" t="s">
        <v>1038</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1050</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2652</v>
      </c>
      <c r="C82" s="213" t="s">
        <v>2653</v>
      </c>
      <c r="D82" s="213" t="s">
        <v>2654</v>
      </c>
      <c r="E82" s="213" t="s">
        <v>2655</v>
      </c>
      <c r="F82" s="213" t="s">
        <v>2656</v>
      </c>
      <c r="G82" s="213" t="s">
        <v>2657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1051</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1056</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1057</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1059</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1061</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1062</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1063</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3" t="e">
        <f ca="1">IF(C2="——",ROUND(C50*D3/10000,0),ROUND(C50*D3/10000,0)-D2)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2" t="s">
        <v>1071</v>
      </c>
      <c r="D3" s="741">
        <f>IF(D1="",'数据-汇总表'!E3,SUMIF('数据-汇总表'!$C19:$C33,D1,'数据-汇总表'!$E19:$E33))</f>
        <v>28973.439999999999</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1072</v>
      </c>
      <c r="B4" s="144"/>
      <c r="C4" s="3669" t="s">
        <v>1073</v>
      </c>
      <c r="D4" s="3670"/>
      <c r="E4" s="3671" t="s">
        <v>1074</v>
      </c>
      <c r="F4" s="3672"/>
      <c r="G4" s="3669" t="s">
        <v>1075</v>
      </c>
      <c r="H4" s="3670"/>
      <c r="I4" s="3669" t="s">
        <v>1076</v>
      </c>
      <c r="J4" s="3670"/>
      <c r="K4" s="187" t="s">
        <v>1077</v>
      </c>
      <c r="L4" s="2294"/>
      <c r="M4" s="2295"/>
      <c r="N4" s="2295"/>
      <c r="O4" s="2295"/>
      <c r="P4" s="3703" t="s">
        <v>1072</v>
      </c>
      <c r="Q4" s="3704"/>
      <c r="R4" s="3707" t="s">
        <v>1074</v>
      </c>
      <c r="S4" s="3708"/>
      <c r="T4" s="3707" t="s">
        <v>1075</v>
      </c>
      <c r="U4" s="3708"/>
      <c r="V4" s="3709" t="s">
        <v>1076</v>
      </c>
      <c r="W4" s="3709"/>
      <c r="X4" s="2334"/>
      <c r="Y4" s="3707" t="s">
        <v>1072</v>
      </c>
      <c r="Z4" s="3708"/>
      <c r="AA4" s="3711" t="s">
        <v>1074</v>
      </c>
      <c r="AB4" s="3711" t="s">
        <v>1075</v>
      </c>
      <c r="AC4" s="3700" t="s">
        <v>1076</v>
      </c>
    </row>
    <row r="5" spans="1:29">
      <c r="A5" s="146"/>
      <c r="B5" s="147"/>
      <c r="C5" s="3688" t="s">
        <v>1078</v>
      </c>
      <c r="D5" s="3689"/>
      <c r="E5" s="3695" t="s">
        <v>1079</v>
      </c>
      <c r="F5" s="3696"/>
      <c r="G5" s="3688" t="s">
        <v>1080</v>
      </c>
      <c r="H5" s="3689"/>
      <c r="I5" s="3688" t="s">
        <v>1081</v>
      </c>
      <c r="J5" s="3689"/>
      <c r="K5" s="187"/>
      <c r="L5" s="2294"/>
      <c r="M5" s="2295"/>
      <c r="N5" s="2295"/>
      <c r="O5" s="2295"/>
      <c r="P5" s="3705"/>
      <c r="Q5" s="3676"/>
      <c r="R5" s="3681"/>
      <c r="S5" s="3682"/>
      <c r="T5" s="3681"/>
      <c r="U5" s="3682"/>
      <c r="V5" s="3685"/>
      <c r="W5" s="3685"/>
      <c r="X5" s="2220"/>
      <c r="Y5" s="3681"/>
      <c r="Z5" s="3682"/>
      <c r="AA5" s="3667"/>
      <c r="AB5" s="3667"/>
      <c r="AC5" s="3701"/>
    </row>
    <row r="6" spans="1:29" ht="14.25" thickBot="1">
      <c r="A6" s="148"/>
      <c r="B6" s="149"/>
      <c r="C6" s="3686" t="s">
        <v>1082</v>
      </c>
      <c r="D6" s="3687"/>
      <c r="E6" s="3693" t="s">
        <v>1082</v>
      </c>
      <c r="F6" s="3694"/>
      <c r="G6" s="3686" t="s">
        <v>1082</v>
      </c>
      <c r="H6" s="3687"/>
      <c r="I6" s="3686" t="s">
        <v>1082</v>
      </c>
      <c r="J6" s="3687"/>
      <c r="K6" s="187" t="s">
        <v>1083</v>
      </c>
      <c r="L6" s="2294"/>
      <c r="M6" s="2295"/>
      <c r="N6" s="2295"/>
      <c r="O6" s="2295"/>
      <c r="P6" s="3706"/>
      <c r="Q6" s="3678"/>
      <c r="R6" s="3681"/>
      <c r="S6" s="3682"/>
      <c r="T6" s="3683"/>
      <c r="U6" s="3684"/>
      <c r="V6" s="3685"/>
      <c r="W6" s="3685"/>
      <c r="X6" s="2220"/>
      <c r="Y6" s="3683"/>
      <c r="Z6" s="3684"/>
      <c r="AA6" s="3668"/>
      <c r="AB6" s="3668"/>
      <c r="AC6" s="3702"/>
    </row>
    <row r="7" spans="1:29" s="40" customFormat="1" ht="15" thickBot="1">
      <c r="A7" s="1012" t="s">
        <v>1084</v>
      </c>
      <c r="B7" s="1013"/>
      <c r="C7" s="752">
        <f>'数据-取费表'!B2</f>
        <v>42986</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710" t="s">
        <v>1084</v>
      </c>
      <c r="Q7" s="3692"/>
      <c r="R7" s="1340" t="s">
        <v>65</v>
      </c>
      <c r="S7" s="1341">
        <f t="shared" ref="S7:S15" si="0">F7</f>
        <v>0</v>
      </c>
      <c r="T7" s="1340" t="s">
        <v>65</v>
      </c>
      <c r="U7" s="1341">
        <f t="shared" ref="U7:U15" si="1">H7</f>
        <v>0</v>
      </c>
      <c r="V7" s="1340" t="s">
        <v>65</v>
      </c>
      <c r="W7" s="1341">
        <f t="shared" ref="W7:W15" si="2">J7</f>
        <v>0</v>
      </c>
      <c r="X7" s="287"/>
      <c r="Y7" s="3690" t="s">
        <v>1084</v>
      </c>
      <c r="Z7" s="3691"/>
      <c r="AA7" s="1342" t="e">
        <f>D7/F7</f>
        <v>#DIV/0!</v>
      </c>
      <c r="AB7" s="1342" t="e">
        <f>D7/H7</f>
        <v>#DIV/0!</v>
      </c>
      <c r="AC7" s="2335" t="e">
        <f>D7/J7</f>
        <v>#DIV/0!</v>
      </c>
    </row>
    <row r="8" spans="1:29" s="40" customFormat="1" ht="15" thickBot="1">
      <c r="A8" s="1012" t="s">
        <v>1085</v>
      </c>
      <c r="B8" s="1013"/>
      <c r="C8" s="1018" t="s">
        <v>1086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710" t="s">
        <v>1018</v>
      </c>
      <c r="Q8" s="3691"/>
      <c r="R8" s="1340" t="s">
        <v>65</v>
      </c>
      <c r="S8" s="1341">
        <f t="shared" si="0"/>
        <v>0</v>
      </c>
      <c r="T8" s="1340" t="s">
        <v>65</v>
      </c>
      <c r="U8" s="1341">
        <f t="shared" si="1"/>
        <v>0</v>
      </c>
      <c r="V8" s="1340" t="s">
        <v>65</v>
      </c>
      <c r="W8" s="1341">
        <f t="shared" si="2"/>
        <v>0</v>
      </c>
      <c r="X8" s="287"/>
      <c r="Y8" s="3690" t="s">
        <v>1018</v>
      </c>
      <c r="Z8" s="3691"/>
      <c r="AA8" s="1342" t="e">
        <f t="shared" ref="AA8:AA47" si="3">D8/F8</f>
        <v>#DIV/0!</v>
      </c>
      <c r="AB8" s="1342" t="e">
        <f t="shared" ref="AB8:AB47" si="4">D8/H8</f>
        <v>#DIV/0!</v>
      </c>
      <c r="AC8" s="2335" t="e">
        <f t="shared" ref="AC8:AC47" si="5">D8/J8</f>
        <v>#DIV/0!</v>
      </c>
    </row>
    <row r="9" spans="1:29" s="40" customFormat="1" ht="14.25">
      <c r="A9" s="1019" t="s">
        <v>1019</v>
      </c>
      <c r="B9" s="62" t="s">
        <v>1020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665" t="s">
        <v>67</v>
      </c>
      <c r="Q9" s="2211" t="str">
        <f t="shared" ref="Q9:Q15" si="6">B9</f>
        <v>用途</v>
      </c>
      <c r="R9" s="1340" t="s">
        <v>65</v>
      </c>
      <c r="S9" s="1341">
        <f t="shared" si="0"/>
        <v>100</v>
      </c>
      <c r="T9" s="1340" t="s">
        <v>65</v>
      </c>
      <c r="U9" s="1341">
        <f t="shared" si="1"/>
        <v>100</v>
      </c>
      <c r="V9" s="1340" t="s">
        <v>65</v>
      </c>
      <c r="W9" s="1341">
        <f t="shared" si="2"/>
        <v>100</v>
      </c>
      <c r="X9" s="287"/>
      <c r="Y9" s="3470" t="s">
        <v>67</v>
      </c>
      <c r="Z9" s="2210" t="str">
        <f t="shared" ref="Z9:Z15" si="7">Q9</f>
        <v>用途</v>
      </c>
      <c r="AA9" s="1342">
        <f t="shared" si="3"/>
        <v>1</v>
      </c>
      <c r="AB9" s="1342">
        <f t="shared" si="4"/>
        <v>1</v>
      </c>
      <c r="AC9" s="2335">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7"/>
      <c r="M10" s="2298"/>
      <c r="N10" s="2298"/>
      <c r="O10" s="2298"/>
      <c r="P10" s="3665"/>
      <c r="Q10" s="2211" t="str">
        <f t="shared" si="6"/>
        <v>土地使用年限（年）</v>
      </c>
      <c r="R10" s="1340" t="s">
        <v>65</v>
      </c>
      <c r="S10" s="1341">
        <f t="shared" si="0"/>
        <v>100</v>
      </c>
      <c r="T10" s="1340" t="s">
        <v>65</v>
      </c>
      <c r="U10" s="1341">
        <f t="shared" si="1"/>
        <v>100</v>
      </c>
      <c r="V10" s="1340" t="s">
        <v>65</v>
      </c>
      <c r="W10" s="1341">
        <f t="shared" si="2"/>
        <v>100</v>
      </c>
      <c r="X10" s="287"/>
      <c r="Y10" s="3470"/>
      <c r="Z10" s="2210" t="str">
        <f t="shared" si="7"/>
        <v>土地使用年限（年）</v>
      </c>
      <c r="AA10" s="1342">
        <f t="shared" si="3"/>
        <v>1</v>
      </c>
      <c r="AB10" s="1342">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9"/>
      <c r="M11" s="2295"/>
      <c r="N11" s="2295"/>
      <c r="O11" s="2295"/>
      <c r="P11" s="3665"/>
      <c r="Q11" s="2211" t="str">
        <f t="shared" si="6"/>
        <v>容积率</v>
      </c>
      <c r="R11" s="1340" t="s">
        <v>65</v>
      </c>
      <c r="S11" s="1341" t="e">
        <f t="shared" si="0"/>
        <v>#N/A</v>
      </c>
      <c r="T11" s="1340" t="s">
        <v>65</v>
      </c>
      <c r="U11" s="1341" t="e">
        <f t="shared" si="1"/>
        <v>#N/A</v>
      </c>
      <c r="V11" s="1340" t="s">
        <v>65</v>
      </c>
      <c r="W11" s="1341" t="e">
        <f t="shared" si="2"/>
        <v>#N/A</v>
      </c>
      <c r="X11" s="287"/>
      <c r="Y11" s="3470"/>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65"/>
      <c r="Q12" s="2211">
        <f t="shared" si="6"/>
        <v>111</v>
      </c>
      <c r="R12" s="1340" t="s">
        <v>65</v>
      </c>
      <c r="S12" s="1341">
        <f t="shared" si="0"/>
        <v>100</v>
      </c>
      <c r="T12" s="1340" t="s">
        <v>65</v>
      </c>
      <c r="U12" s="1341">
        <f t="shared" si="1"/>
        <v>100</v>
      </c>
      <c r="V12" s="1340" t="s">
        <v>65</v>
      </c>
      <c r="W12" s="1341">
        <f t="shared" si="2"/>
        <v>100</v>
      </c>
      <c r="X12" s="287"/>
      <c r="Y12" s="3470"/>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65"/>
      <c r="Q13" s="2211">
        <f t="shared" si="6"/>
        <v>111</v>
      </c>
      <c r="R13" s="1340" t="s">
        <v>65</v>
      </c>
      <c r="S13" s="1341">
        <f t="shared" si="0"/>
        <v>100</v>
      </c>
      <c r="T13" s="1340" t="s">
        <v>65</v>
      </c>
      <c r="U13" s="1341">
        <f t="shared" si="1"/>
        <v>100</v>
      </c>
      <c r="V13" s="1340" t="s">
        <v>65</v>
      </c>
      <c r="W13" s="1341">
        <f t="shared" si="2"/>
        <v>100</v>
      </c>
      <c r="X13" s="287"/>
      <c r="Y13" s="3470"/>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65"/>
      <c r="Q14" s="2211">
        <f t="shared" si="6"/>
        <v>111</v>
      </c>
      <c r="R14" s="1340" t="s">
        <v>65</v>
      </c>
      <c r="S14" s="1341">
        <f t="shared" si="0"/>
        <v>100</v>
      </c>
      <c r="T14" s="1340" t="s">
        <v>65</v>
      </c>
      <c r="U14" s="1341">
        <f t="shared" si="1"/>
        <v>100</v>
      </c>
      <c r="V14" s="1340" t="s">
        <v>65</v>
      </c>
      <c r="W14" s="1341">
        <f t="shared" si="2"/>
        <v>100</v>
      </c>
      <c r="X14" s="287"/>
      <c r="Y14" s="3470"/>
      <c r="Z14" s="2210">
        <f t="shared" si="7"/>
        <v>111</v>
      </c>
      <c r="AA14" s="1342">
        <f t="shared" si="3"/>
        <v>1</v>
      </c>
      <c r="AB14" s="1342">
        <f t="shared" si="4"/>
        <v>1</v>
      </c>
      <c r="AC14" s="2335">
        <f t="shared" si="5"/>
        <v>1</v>
      </c>
    </row>
    <row r="15" spans="1:29" ht="121.5">
      <c r="A15" s="155" t="s">
        <v>69</v>
      </c>
      <c r="B15" s="1031" t="s">
        <v>142</v>
      </c>
      <c r="C15" s="208" t="str">
        <f>估价对象房地状况!C5</f>
        <v>估价对象位于怀柔区杨宋镇，目前投用项目有中影基地、星美影视城、百汇演艺学校等类似用房以及相关行业酒店等配套设施，产业聚集度较好</v>
      </c>
      <c r="D15" s="783">
        <v>100</v>
      </c>
      <c r="E15" s="96"/>
      <c r="F15" s="783">
        <f>SUMIF(77:77,E16,78:78)-SUMIF(77:77,C16,78:78)+100</f>
        <v>100</v>
      </c>
      <c r="G15" s="95"/>
      <c r="H15" s="783">
        <f>SUMIF(77:77,G16,78:78)-SUMIF(77:77,C16,78:78)+100</f>
        <v>100</v>
      </c>
      <c r="I15" s="95"/>
      <c r="J15" s="783">
        <f>SUMIF(77:77,I16,78:78)-SUMIF(77:77,C16,78:78)+100</f>
        <v>100</v>
      </c>
      <c r="K15" s="955"/>
      <c r="L15" s="2300"/>
      <c r="M15" s="2295"/>
      <c r="N15" s="2295"/>
      <c r="O15" s="2295"/>
      <c r="P15" s="3663" t="s">
        <v>69</v>
      </c>
      <c r="Q15" s="2218" t="str">
        <f t="shared" si="6"/>
        <v>办公集聚程度</v>
      </c>
      <c r="R15" s="1350" t="s">
        <v>65</v>
      </c>
      <c r="S15" s="1351">
        <f t="shared" si="0"/>
        <v>100</v>
      </c>
      <c r="T15" s="1350" t="s">
        <v>65</v>
      </c>
      <c r="U15" s="1351">
        <f t="shared" si="1"/>
        <v>100</v>
      </c>
      <c r="V15" s="1350" t="s">
        <v>65</v>
      </c>
      <c r="W15" s="1351">
        <f t="shared" si="2"/>
        <v>100</v>
      </c>
      <c r="X15" s="2220"/>
      <c r="Y15" s="3656"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64"/>
      <c r="Q16" s="2218"/>
      <c r="R16" s="1350"/>
      <c r="S16" s="1351"/>
      <c r="T16" s="1350"/>
      <c r="U16" s="1351"/>
      <c r="V16" s="1350"/>
      <c r="W16" s="1351"/>
      <c r="X16" s="2220"/>
      <c r="Y16" s="3657"/>
      <c r="Z16" s="2219"/>
      <c r="AA16" s="1353">
        <v>1</v>
      </c>
      <c r="AB16" s="1353">
        <v>1</v>
      </c>
      <c r="AC16" s="2336">
        <v>1</v>
      </c>
    </row>
    <row r="17" spans="1:29" ht="148.5">
      <c r="A17" s="151"/>
      <c r="B17" s="1032" t="s">
        <v>72</v>
      </c>
      <c r="C17" s="210"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SUMIF(79:79,E18,80:80)-SUMIF(79:79,C18,80:80)+100</f>
        <v>100</v>
      </c>
      <c r="G17" s="100"/>
      <c r="H17" s="797">
        <f>SUMIF(79:79,G18,80:80)-SUMIF(79:79,C18,80:80)+100</f>
        <v>100</v>
      </c>
      <c r="I17" s="100"/>
      <c r="J17" s="797">
        <f>SUMIF(79:79,I18,80:80)-SUMIF(79:79,C18,80:80)+100</f>
        <v>100</v>
      </c>
      <c r="K17" s="955"/>
      <c r="L17" s="2300"/>
      <c r="M17" s="2295"/>
      <c r="N17" s="2295"/>
      <c r="O17" s="2295"/>
      <c r="P17" s="3664"/>
      <c r="Q17" s="2218" t="str">
        <f>B17</f>
        <v>交通便捷度</v>
      </c>
      <c r="R17" s="1350" t="s">
        <v>65</v>
      </c>
      <c r="S17" s="1351">
        <f>F17</f>
        <v>100</v>
      </c>
      <c r="T17" s="1350" t="s">
        <v>65</v>
      </c>
      <c r="U17" s="1351">
        <f>H17</f>
        <v>100</v>
      </c>
      <c r="V17" s="1350" t="s">
        <v>65</v>
      </c>
      <c r="W17" s="1351">
        <f>J17</f>
        <v>100</v>
      </c>
      <c r="X17" s="2220"/>
      <c r="Y17" s="3657"/>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664"/>
      <c r="Q18" s="2218"/>
      <c r="R18" s="1350"/>
      <c r="S18" s="1351"/>
      <c r="T18" s="1350"/>
      <c r="U18" s="1351"/>
      <c r="V18" s="1350"/>
      <c r="W18" s="1351"/>
      <c r="X18" s="2220"/>
      <c r="Y18" s="3657"/>
      <c r="Z18" s="2219"/>
      <c r="AA18" s="1353">
        <v>1</v>
      </c>
      <c r="AB18" s="1353">
        <v>1</v>
      </c>
      <c r="AC18" s="2336">
        <v>1</v>
      </c>
    </row>
    <row r="19" spans="1:29" ht="189">
      <c r="A19" s="151"/>
      <c r="B19" s="1032"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SUMIF(81:81,E20,82:82)-SUMIF(81:81,C20,82:82)+100</f>
        <v>100</v>
      </c>
      <c r="G19" s="105"/>
      <c r="H19" s="792">
        <f>SUMIF(81:81,G20,82:82)-SUMIF(81:81,C20,82:82)+100</f>
        <v>100</v>
      </c>
      <c r="I19" s="105"/>
      <c r="J19" s="792">
        <f>SUMIF(81:81,I20,82:82)-SUMIF(81:81,C20,82:82)+100</f>
        <v>100</v>
      </c>
      <c r="K19" s="955"/>
      <c r="L19" s="2300"/>
      <c r="M19" s="2295"/>
      <c r="N19" s="2295"/>
      <c r="O19" s="2295"/>
      <c r="P19" s="3664"/>
      <c r="Q19" s="2218" t="str">
        <f>B19</f>
        <v>公共配套设施</v>
      </c>
      <c r="R19" s="1350" t="s">
        <v>65</v>
      </c>
      <c r="S19" s="1351">
        <f>F19</f>
        <v>100</v>
      </c>
      <c r="T19" s="1350" t="s">
        <v>65</v>
      </c>
      <c r="U19" s="1351">
        <f>H19</f>
        <v>100</v>
      </c>
      <c r="V19" s="1350" t="s">
        <v>65</v>
      </c>
      <c r="W19" s="1351">
        <f>J19</f>
        <v>100</v>
      </c>
      <c r="X19" s="2220"/>
      <c r="Y19" s="3657"/>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664"/>
      <c r="Q20" s="2218"/>
      <c r="R20" s="1350"/>
      <c r="S20" s="1351"/>
      <c r="T20" s="1350"/>
      <c r="U20" s="1351"/>
      <c r="V20" s="1350"/>
      <c r="W20" s="1351"/>
      <c r="X20" s="2220"/>
      <c r="Y20" s="3657"/>
      <c r="Z20" s="2219"/>
      <c r="AA20" s="1353">
        <v>1</v>
      </c>
      <c r="AB20" s="1353">
        <v>1</v>
      </c>
      <c r="AC20" s="2336">
        <v>1</v>
      </c>
    </row>
    <row r="21" spans="1:29" ht="40.5">
      <c r="A21" s="151"/>
      <c r="B21" s="1034" t="s">
        <v>2659</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5"/>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5"/>
      <c r="L22" s="2300"/>
      <c r="M22" s="2295"/>
      <c r="N22" s="2295"/>
      <c r="O22" s="2295"/>
      <c r="P22" s="3664"/>
      <c r="Q22" s="2745"/>
      <c r="R22" s="1350"/>
      <c r="S22" s="1351"/>
      <c r="T22" s="1350"/>
      <c r="U22" s="1351"/>
      <c r="V22" s="1350"/>
      <c r="W22" s="1351"/>
      <c r="X22" s="2747"/>
      <c r="Y22" s="3657"/>
      <c r="Z22" s="2746"/>
      <c r="AA22" s="1353">
        <v>1</v>
      </c>
      <c r="AB22" s="1353">
        <v>1</v>
      </c>
      <c r="AC22" s="2336">
        <v>1</v>
      </c>
    </row>
    <row r="23" spans="1:29" ht="162">
      <c r="A23" s="151"/>
      <c r="B23" s="1032"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SUMIF(85:85,E24,86:86)-SUMIF(85:85,C24,86:86)+100</f>
        <v>100</v>
      </c>
      <c r="G23" s="100"/>
      <c r="H23" s="792">
        <f>SUMIF(85:85,G24,86:86)-SUMIF(85:85,C24,86:86)+100</f>
        <v>100</v>
      </c>
      <c r="I23" s="100"/>
      <c r="J23" s="792">
        <f>SUMIF(85:85,I24,86:86)-SUMIF(85:85,C24,86:86)+100</f>
        <v>100</v>
      </c>
      <c r="K23" s="955"/>
      <c r="L23" s="2300"/>
      <c r="M23" s="2295"/>
      <c r="N23" s="2295"/>
      <c r="O23" s="2295"/>
      <c r="P23" s="3664"/>
      <c r="Q23" s="2218" t="str">
        <f>B23</f>
        <v>环境质量</v>
      </c>
      <c r="R23" s="1350" t="s">
        <v>65</v>
      </c>
      <c r="S23" s="1351">
        <f>F23</f>
        <v>100</v>
      </c>
      <c r="T23" s="1350" t="s">
        <v>65</v>
      </c>
      <c r="U23" s="1351">
        <f>H23</f>
        <v>100</v>
      </c>
      <c r="V23" s="1350" t="s">
        <v>65</v>
      </c>
      <c r="W23" s="1351">
        <f>J23</f>
        <v>100</v>
      </c>
      <c r="X23" s="2220"/>
      <c r="Y23" s="3657"/>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664"/>
      <c r="Q24" s="2218"/>
      <c r="R24" s="1350"/>
      <c r="S24" s="1351"/>
      <c r="T24" s="1350"/>
      <c r="U24" s="1351"/>
      <c r="V24" s="1350"/>
      <c r="W24" s="1351"/>
      <c r="X24" s="2220"/>
      <c r="Y24" s="3657"/>
      <c r="Z24" s="2219"/>
      <c r="AA24" s="1353">
        <v>1</v>
      </c>
      <c r="AB24" s="1353">
        <v>1</v>
      </c>
      <c r="AC24" s="2336">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0"/>
      <c r="M25" s="2295"/>
      <c r="N25" s="2295"/>
      <c r="O25" s="2295"/>
      <c r="P25" s="3664"/>
      <c r="Q25" s="2218" t="str">
        <f>B25</f>
        <v>毗邻道路的类型与等级</v>
      </c>
      <c r="R25" s="1350" t="s">
        <v>65</v>
      </c>
      <c r="S25" s="1351">
        <f>F25</f>
        <v>100</v>
      </c>
      <c r="T25" s="1350" t="s">
        <v>65</v>
      </c>
      <c r="U25" s="1351">
        <f>H25</f>
        <v>100</v>
      </c>
      <c r="V25" s="1350" t="s">
        <v>65</v>
      </c>
      <c r="W25" s="1351">
        <f>J25</f>
        <v>100</v>
      </c>
      <c r="X25" s="2220"/>
      <c r="Y25" s="3657"/>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664"/>
      <c r="Q26" s="2218"/>
      <c r="R26" s="1350"/>
      <c r="S26" s="1351"/>
      <c r="T26" s="1350"/>
      <c r="U26" s="1351"/>
      <c r="V26" s="1350"/>
      <c r="W26" s="1351"/>
      <c r="X26" s="2220"/>
      <c r="Y26" s="3657"/>
      <c r="Z26" s="2219"/>
      <c r="AA26" s="1353">
        <v>1</v>
      </c>
      <c r="AB26" s="1353">
        <v>1</v>
      </c>
      <c r="AC26" s="2336">
        <v>1</v>
      </c>
    </row>
    <row r="27" spans="1:29" ht="15">
      <c r="A27" s="151"/>
      <c r="B27" s="1033" t="s">
        <v>1087</v>
      </c>
      <c r="C27" s="195"/>
      <c r="D27" s="777">
        <v>100</v>
      </c>
      <c r="E27" s="182"/>
      <c r="F27" s="777">
        <f>SUMIF(89:89,E27,90:90)-SUMIF(89:89,C27,90:90)+100</f>
        <v>100</v>
      </c>
      <c r="G27" s="195"/>
      <c r="H27" s="777">
        <f>SUMIF(89:89,G27,90:90)-SUMIF(89:89,C27,90:90)+100</f>
        <v>100</v>
      </c>
      <c r="I27" s="182"/>
      <c r="J27" s="777">
        <f>SUMIF(89:89,I27,90:90)-SUMIF(89:89,C27,90:90)+100</f>
        <v>100</v>
      </c>
      <c r="K27" s="953"/>
      <c r="L27" s="2300"/>
      <c r="M27" s="2295"/>
      <c r="N27" s="2295"/>
      <c r="O27" s="2295"/>
      <c r="P27" s="3664"/>
      <c r="Q27" s="2218" t="str">
        <f t="shared" ref="Q27:Q47" si="11">B27</f>
        <v>楼层</v>
      </c>
      <c r="R27" s="1350" t="s">
        <v>65</v>
      </c>
      <c r="S27" s="1351">
        <f>F27</f>
        <v>100</v>
      </c>
      <c r="T27" s="1350" t="s">
        <v>65</v>
      </c>
      <c r="U27" s="1351">
        <f>H27</f>
        <v>100</v>
      </c>
      <c r="V27" s="1350" t="s">
        <v>65</v>
      </c>
      <c r="W27" s="1351">
        <f>J27</f>
        <v>100</v>
      </c>
      <c r="X27" s="2220"/>
      <c r="Y27" s="3657"/>
      <c r="Z27" s="2219" t="str">
        <f>Q27</f>
        <v>楼层</v>
      </c>
      <c r="AA27" s="1353">
        <f t="shared" si="3"/>
        <v>1</v>
      </c>
      <c r="AB27" s="1353">
        <f t="shared" si="4"/>
        <v>1</v>
      </c>
      <c r="AC27" s="2336">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6"/>
      <c r="M28" s="2258"/>
      <c r="N28" s="2258"/>
      <c r="O28" s="2258"/>
      <c r="P28" s="3664"/>
      <c r="Q28" s="2211" t="str">
        <f t="shared" si="11"/>
        <v>朝向</v>
      </c>
      <c r="R28" s="1340" t="s">
        <v>65</v>
      </c>
      <c r="S28" s="1341">
        <f>F28</f>
        <v>100</v>
      </c>
      <c r="T28" s="1340" t="s">
        <v>65</v>
      </c>
      <c r="U28" s="1341">
        <f>H28</f>
        <v>100</v>
      </c>
      <c r="V28" s="1340" t="s">
        <v>65</v>
      </c>
      <c r="W28" s="1341">
        <f>J28</f>
        <v>100</v>
      </c>
      <c r="X28" s="287"/>
      <c r="Y28" s="3657"/>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64"/>
      <c r="Q29" s="2218">
        <f t="shared" si="11"/>
        <v>111</v>
      </c>
      <c r="R29" s="1350" t="s">
        <v>65</v>
      </c>
      <c r="S29" s="1351">
        <f t="shared" ref="S29:S47" si="12">F29</f>
        <v>100</v>
      </c>
      <c r="T29" s="1350" t="s">
        <v>65</v>
      </c>
      <c r="U29" s="1351">
        <f t="shared" ref="U29:U47" si="13">H29</f>
        <v>100</v>
      </c>
      <c r="V29" s="1350" t="s">
        <v>65</v>
      </c>
      <c r="W29" s="1351">
        <f t="shared" ref="W29:W47" si="14">J29</f>
        <v>100</v>
      </c>
      <c r="X29" s="2220"/>
      <c r="Y29" s="3657"/>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64"/>
      <c r="Q30" s="2218">
        <f t="shared" si="11"/>
        <v>111</v>
      </c>
      <c r="R30" s="1350" t="s">
        <v>65</v>
      </c>
      <c r="S30" s="1351">
        <f t="shared" si="12"/>
        <v>100</v>
      </c>
      <c r="T30" s="1350" t="s">
        <v>65</v>
      </c>
      <c r="U30" s="1351">
        <f t="shared" si="13"/>
        <v>100</v>
      </c>
      <c r="V30" s="1350" t="s">
        <v>65</v>
      </c>
      <c r="W30" s="1351">
        <f t="shared" si="14"/>
        <v>100</v>
      </c>
      <c r="X30" s="2220"/>
      <c r="Y30" s="3657"/>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64"/>
      <c r="Q31" s="2218">
        <f t="shared" si="11"/>
        <v>111</v>
      </c>
      <c r="R31" s="1350" t="s">
        <v>65</v>
      </c>
      <c r="S31" s="1351">
        <f t="shared" si="12"/>
        <v>100</v>
      </c>
      <c r="T31" s="1350" t="s">
        <v>65</v>
      </c>
      <c r="U31" s="1351">
        <f t="shared" si="13"/>
        <v>100</v>
      </c>
      <c r="V31" s="1350" t="s">
        <v>65</v>
      </c>
      <c r="W31" s="1351">
        <f t="shared" si="14"/>
        <v>100</v>
      </c>
      <c r="X31" s="2220"/>
      <c r="Y31" s="3657"/>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64"/>
      <c r="Q32" s="2218">
        <f t="shared" si="11"/>
        <v>111</v>
      </c>
      <c r="R32" s="1350" t="s">
        <v>65</v>
      </c>
      <c r="S32" s="1351">
        <f t="shared" si="12"/>
        <v>100</v>
      </c>
      <c r="T32" s="1350" t="s">
        <v>65</v>
      </c>
      <c r="U32" s="1351">
        <f t="shared" si="13"/>
        <v>100</v>
      </c>
      <c r="V32" s="1350" t="s">
        <v>65</v>
      </c>
      <c r="W32" s="1351">
        <f t="shared" si="14"/>
        <v>100</v>
      </c>
      <c r="X32" s="2220"/>
      <c r="Y32" s="3657"/>
      <c r="Z32" s="2219">
        <f t="shared" si="15"/>
        <v>111</v>
      </c>
      <c r="AA32" s="1353">
        <f t="shared" si="3"/>
        <v>1</v>
      </c>
      <c r="AB32" s="1353">
        <f t="shared" si="4"/>
        <v>1</v>
      </c>
      <c r="AC32" s="2336">
        <f t="shared" si="5"/>
        <v>1</v>
      </c>
    </row>
    <row r="33" spans="1:29" ht="15">
      <c r="A33" s="155" t="s">
        <v>1088</v>
      </c>
      <c r="B33" s="62" t="s">
        <v>1089</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0"/>
      <c r="M33" s="2295"/>
      <c r="N33" s="2295"/>
      <c r="O33" s="2295"/>
      <c r="P33" s="3658" t="s">
        <v>1090</v>
      </c>
      <c r="Q33" s="2218" t="str">
        <f t="shared" si="11"/>
        <v>建筑类型</v>
      </c>
      <c r="R33" s="1350" t="s">
        <v>65</v>
      </c>
      <c r="S33" s="1351">
        <f t="shared" si="12"/>
        <v>100</v>
      </c>
      <c r="T33" s="1350" t="s">
        <v>65</v>
      </c>
      <c r="U33" s="1351">
        <f t="shared" si="13"/>
        <v>100</v>
      </c>
      <c r="V33" s="1350" t="s">
        <v>65</v>
      </c>
      <c r="W33" s="1351">
        <f t="shared" si="14"/>
        <v>100</v>
      </c>
      <c r="X33" s="2220"/>
      <c r="Y33" s="3661" t="s">
        <v>1090</v>
      </c>
      <c r="Z33" s="2219" t="str">
        <f t="shared" si="15"/>
        <v>建筑类型</v>
      </c>
      <c r="AA33" s="1353">
        <f t="shared" si="3"/>
        <v>1</v>
      </c>
      <c r="AB33" s="1353">
        <f t="shared" si="4"/>
        <v>1</v>
      </c>
      <c r="AC33" s="2336">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59"/>
      <c r="Q34" s="1357" t="str">
        <f t="shared" si="11"/>
        <v>项目建筑规模</v>
      </c>
      <c r="R34" s="1358" t="s">
        <v>65</v>
      </c>
      <c r="S34" s="1359" t="e">
        <f t="shared" si="12"/>
        <v>#N/A</v>
      </c>
      <c r="T34" s="1358" t="s">
        <v>65</v>
      </c>
      <c r="U34" s="1359" t="e">
        <f t="shared" si="13"/>
        <v>#N/A</v>
      </c>
      <c r="V34" s="1358" t="s">
        <v>65</v>
      </c>
      <c r="W34" s="1359" t="e">
        <f t="shared" si="14"/>
        <v>#N/A</v>
      </c>
      <c r="X34" s="1360"/>
      <c r="Y34" s="3661"/>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0"/>
      <c r="M35" s="2295"/>
      <c r="N35" s="2295"/>
      <c r="O35" s="2295"/>
      <c r="P35" s="3659"/>
      <c r="Q35" s="2218" t="str">
        <f t="shared" si="11"/>
        <v>建筑结构</v>
      </c>
      <c r="R35" s="1350" t="s">
        <v>65</v>
      </c>
      <c r="S35" s="1351">
        <f t="shared" si="12"/>
        <v>100</v>
      </c>
      <c r="T35" s="1350" t="s">
        <v>65</v>
      </c>
      <c r="U35" s="1351">
        <f t="shared" si="13"/>
        <v>100</v>
      </c>
      <c r="V35" s="1350" t="s">
        <v>65</v>
      </c>
      <c r="W35" s="1351">
        <f t="shared" si="14"/>
        <v>100</v>
      </c>
      <c r="X35" s="2220"/>
      <c r="Y35" s="3661"/>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0"/>
      <c r="M36" s="2295"/>
      <c r="N36" s="2295"/>
      <c r="O36" s="2295"/>
      <c r="P36" s="3659"/>
      <c r="Q36" s="2218" t="str">
        <f t="shared" si="11"/>
        <v>公共部分装修</v>
      </c>
      <c r="R36" s="1350" t="s">
        <v>65</v>
      </c>
      <c r="S36" s="1351">
        <f t="shared" si="12"/>
        <v>100</v>
      </c>
      <c r="T36" s="1350" t="s">
        <v>65</v>
      </c>
      <c r="U36" s="1351">
        <f t="shared" si="13"/>
        <v>100</v>
      </c>
      <c r="V36" s="1350" t="s">
        <v>65</v>
      </c>
      <c r="W36" s="1351">
        <f t="shared" si="14"/>
        <v>100</v>
      </c>
      <c r="X36" s="2220"/>
      <c r="Y36" s="3661"/>
      <c r="Z36" s="2219" t="str">
        <f t="shared" si="15"/>
        <v>公共部分装修</v>
      </c>
      <c r="AA36" s="1353">
        <f t="shared" si="3"/>
        <v>1</v>
      </c>
      <c r="AB36" s="1353">
        <f t="shared" si="4"/>
        <v>1</v>
      </c>
      <c r="AC36" s="2336">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0"/>
      <c r="M37" s="2295"/>
      <c r="N37" s="2295"/>
      <c r="O37" s="2295"/>
      <c r="P37" s="3659"/>
      <c r="Q37" s="2218" t="str">
        <f t="shared" si="11"/>
        <v>成新度</v>
      </c>
      <c r="R37" s="1350" t="s">
        <v>65</v>
      </c>
      <c r="S37" s="1351" t="e">
        <f t="shared" si="12"/>
        <v>#N/A</v>
      </c>
      <c r="T37" s="1350" t="s">
        <v>65</v>
      </c>
      <c r="U37" s="1351" t="e">
        <f t="shared" si="13"/>
        <v>#N/A</v>
      </c>
      <c r="V37" s="1350" t="s">
        <v>65</v>
      </c>
      <c r="W37" s="1351" t="e">
        <f t="shared" si="14"/>
        <v>#N/A</v>
      </c>
      <c r="X37" s="2220"/>
      <c r="Y37" s="3661"/>
      <c r="Z37" s="2219" t="str">
        <f t="shared" si="15"/>
        <v>成新度</v>
      </c>
      <c r="AA37" s="1353" t="e">
        <f t="shared" si="3"/>
        <v>#N/A</v>
      </c>
      <c r="AB37" s="1353" t="e">
        <f t="shared" si="4"/>
        <v>#N/A</v>
      </c>
      <c r="AC37" s="2336"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6"/>
      <c r="M38" s="2258"/>
      <c r="N38" s="2258"/>
      <c r="O38" s="2258"/>
      <c r="P38" s="3659"/>
      <c r="Q38" s="2211" t="str">
        <f t="shared" si="11"/>
        <v>写字楼等级</v>
      </c>
      <c r="R38" s="1340" t="s">
        <v>65</v>
      </c>
      <c r="S38" s="1341">
        <f t="shared" si="12"/>
        <v>100</v>
      </c>
      <c r="T38" s="1340" t="s">
        <v>65</v>
      </c>
      <c r="U38" s="1341">
        <f t="shared" si="13"/>
        <v>100</v>
      </c>
      <c r="V38" s="1340" t="s">
        <v>65</v>
      </c>
      <c r="W38" s="1341">
        <f t="shared" si="14"/>
        <v>100</v>
      </c>
      <c r="X38" s="287"/>
      <c r="Y38" s="3661"/>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0"/>
      <c r="M39" s="2295"/>
      <c r="N39" s="2295"/>
      <c r="O39" s="2295"/>
      <c r="P39" s="3659" t="s">
        <v>70</v>
      </c>
      <c r="Q39" s="2218" t="str">
        <f t="shared" si="11"/>
        <v>物业管理</v>
      </c>
      <c r="R39" s="1350" t="s">
        <v>65</v>
      </c>
      <c r="S39" s="1351">
        <f t="shared" si="12"/>
        <v>100</v>
      </c>
      <c r="T39" s="1350" t="s">
        <v>65</v>
      </c>
      <c r="U39" s="1351">
        <f t="shared" si="13"/>
        <v>100</v>
      </c>
      <c r="V39" s="1350" t="s">
        <v>65</v>
      </c>
      <c r="W39" s="1351">
        <f t="shared" si="14"/>
        <v>100</v>
      </c>
      <c r="X39" s="2220"/>
      <c r="Y39" s="3661" t="s">
        <v>70</v>
      </c>
      <c r="Z39" s="2219" t="str">
        <f t="shared" si="15"/>
        <v>物业管理</v>
      </c>
      <c r="AA39" s="1353">
        <f t="shared" si="3"/>
        <v>1</v>
      </c>
      <c r="AB39" s="1353">
        <f t="shared" si="4"/>
        <v>1</v>
      </c>
      <c r="AC39" s="2336">
        <f t="shared" si="5"/>
        <v>1</v>
      </c>
    </row>
    <row r="40" spans="1:29" ht="15">
      <c r="A40" s="161"/>
      <c r="B40" s="12" t="s">
        <v>2651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0"/>
      <c r="M40" s="2295"/>
      <c r="N40" s="2295"/>
      <c r="O40" s="2295"/>
      <c r="P40" s="3659"/>
      <c r="Q40" s="2218" t="str">
        <f t="shared" si="11"/>
        <v>市政基础设施</v>
      </c>
      <c r="R40" s="1350" t="s">
        <v>65</v>
      </c>
      <c r="S40" s="1351">
        <f t="shared" si="12"/>
        <v>100</v>
      </c>
      <c r="T40" s="1350" t="s">
        <v>65</v>
      </c>
      <c r="U40" s="1351">
        <f t="shared" si="13"/>
        <v>100</v>
      </c>
      <c r="V40" s="1350" t="s">
        <v>65</v>
      </c>
      <c r="W40" s="1351">
        <f t="shared" si="14"/>
        <v>100</v>
      </c>
      <c r="X40" s="2220"/>
      <c r="Y40" s="3661"/>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0"/>
      <c r="M41" s="2295"/>
      <c r="N41" s="2295"/>
      <c r="O41" s="2295"/>
      <c r="P41" s="3659"/>
      <c r="Q41" s="2218" t="str">
        <f t="shared" si="11"/>
        <v>层高</v>
      </c>
      <c r="R41" s="1350" t="s">
        <v>65</v>
      </c>
      <c r="S41" s="1351">
        <f t="shared" si="12"/>
        <v>100</v>
      </c>
      <c r="T41" s="1350" t="s">
        <v>65</v>
      </c>
      <c r="U41" s="1351">
        <f t="shared" si="13"/>
        <v>100</v>
      </c>
      <c r="V41" s="1350" t="s">
        <v>65</v>
      </c>
      <c r="W41" s="1351">
        <f t="shared" si="14"/>
        <v>100</v>
      </c>
      <c r="X41" s="2220"/>
      <c r="Y41" s="3661"/>
      <c r="Z41" s="2219" t="str">
        <f t="shared" si="15"/>
        <v>层高</v>
      </c>
      <c r="AA41" s="1353">
        <f t="shared" si="3"/>
        <v>1</v>
      </c>
      <c r="AB41" s="1353">
        <f t="shared" si="4"/>
        <v>1</v>
      </c>
      <c r="AC41" s="2336">
        <f t="shared" si="5"/>
        <v>1</v>
      </c>
    </row>
    <row r="42" spans="1:29" s="1037" customFormat="1" ht="14.25">
      <c r="A42" s="1041"/>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59"/>
      <c r="Q42" s="1357" t="str">
        <f t="shared" si="11"/>
        <v>单套建筑面积</v>
      </c>
      <c r="R42" s="1358" t="s">
        <v>65</v>
      </c>
      <c r="S42" s="1359">
        <f t="shared" si="12"/>
        <v>100</v>
      </c>
      <c r="T42" s="1358" t="s">
        <v>65</v>
      </c>
      <c r="U42" s="1359">
        <f t="shared" si="13"/>
        <v>100</v>
      </c>
      <c r="V42" s="1358" t="s">
        <v>65</v>
      </c>
      <c r="W42" s="1359">
        <f t="shared" si="14"/>
        <v>100</v>
      </c>
      <c r="X42" s="1360"/>
      <c r="Y42" s="3661"/>
      <c r="Z42" s="1361" t="str">
        <f t="shared" si="15"/>
        <v>单套建筑面积</v>
      </c>
      <c r="AA42" s="1353">
        <f t="shared" si="3"/>
        <v>1</v>
      </c>
      <c r="AB42" s="1353">
        <f t="shared" si="4"/>
        <v>1</v>
      </c>
      <c r="AC42" s="2336">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0"/>
      <c r="M43" s="2295"/>
      <c r="N43" s="2295"/>
      <c r="O43" s="2295"/>
      <c r="P43" s="3659"/>
      <c r="Q43" s="2218" t="str">
        <f t="shared" si="11"/>
        <v>内部装修</v>
      </c>
      <c r="R43" s="1350" t="s">
        <v>65</v>
      </c>
      <c r="S43" s="1351">
        <f t="shared" si="12"/>
        <v>100</v>
      </c>
      <c r="T43" s="1350" t="s">
        <v>65</v>
      </c>
      <c r="U43" s="1351">
        <f t="shared" si="13"/>
        <v>100</v>
      </c>
      <c r="V43" s="1350" t="s">
        <v>65</v>
      </c>
      <c r="W43" s="1351">
        <f t="shared" si="14"/>
        <v>100</v>
      </c>
      <c r="X43" s="2220"/>
      <c r="Y43" s="3661"/>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0"/>
      <c r="M44" s="2295"/>
      <c r="N44" s="2295"/>
      <c r="O44" s="2295"/>
      <c r="P44" s="3659"/>
      <c r="Q44" s="2218" t="str">
        <f t="shared" si="11"/>
        <v>内部装修维护情况</v>
      </c>
      <c r="R44" s="1350" t="s">
        <v>65</v>
      </c>
      <c r="S44" s="1351">
        <f t="shared" si="12"/>
        <v>100</v>
      </c>
      <c r="T44" s="1350" t="s">
        <v>65</v>
      </c>
      <c r="U44" s="1351">
        <f t="shared" si="13"/>
        <v>100</v>
      </c>
      <c r="V44" s="1350" t="s">
        <v>65</v>
      </c>
      <c r="W44" s="1351">
        <f t="shared" si="14"/>
        <v>100</v>
      </c>
      <c r="X44" s="2220"/>
      <c r="Y44" s="3661"/>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59"/>
      <c r="Q45" s="2211">
        <f t="shared" si="11"/>
        <v>111</v>
      </c>
      <c r="R45" s="1340" t="s">
        <v>65</v>
      </c>
      <c r="S45" s="1341">
        <f t="shared" si="12"/>
        <v>100</v>
      </c>
      <c r="T45" s="1340" t="s">
        <v>65</v>
      </c>
      <c r="U45" s="1341">
        <f t="shared" si="13"/>
        <v>100</v>
      </c>
      <c r="V45" s="1340" t="s">
        <v>65</v>
      </c>
      <c r="W45" s="1341">
        <f t="shared" si="14"/>
        <v>100</v>
      </c>
      <c r="X45" s="287"/>
      <c r="Y45" s="3661"/>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59"/>
      <c r="Q46" s="2218">
        <f t="shared" si="11"/>
        <v>111</v>
      </c>
      <c r="R46" s="1350" t="s">
        <v>65</v>
      </c>
      <c r="S46" s="1351">
        <f t="shared" si="12"/>
        <v>100</v>
      </c>
      <c r="T46" s="1350" t="s">
        <v>65</v>
      </c>
      <c r="U46" s="1351">
        <f t="shared" si="13"/>
        <v>100</v>
      </c>
      <c r="V46" s="1350" t="s">
        <v>65</v>
      </c>
      <c r="W46" s="1351">
        <f t="shared" si="14"/>
        <v>100</v>
      </c>
      <c r="X46" s="2220"/>
      <c r="Y46" s="3661"/>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60"/>
      <c r="Q47" s="2218">
        <f t="shared" si="11"/>
        <v>111</v>
      </c>
      <c r="R47" s="1350" t="s">
        <v>65</v>
      </c>
      <c r="S47" s="1351">
        <f t="shared" si="12"/>
        <v>100</v>
      </c>
      <c r="T47" s="1350" t="s">
        <v>65</v>
      </c>
      <c r="U47" s="1351">
        <f t="shared" si="13"/>
        <v>100</v>
      </c>
      <c r="V47" s="1350" t="s">
        <v>65</v>
      </c>
      <c r="W47" s="1351">
        <f t="shared" si="14"/>
        <v>100</v>
      </c>
      <c r="X47" s="2220"/>
      <c r="Y47" s="3662"/>
      <c r="Z47" s="2219">
        <f t="shared" si="15"/>
        <v>111</v>
      </c>
      <c r="AA47" s="1353">
        <f t="shared" si="3"/>
        <v>1</v>
      </c>
      <c r="AB47" s="1353">
        <f t="shared" si="4"/>
        <v>1</v>
      </c>
      <c r="AC47" s="2336">
        <f t="shared" si="5"/>
        <v>1</v>
      </c>
    </row>
    <row r="48" spans="1:29" ht="15">
      <c r="A48" s="163" t="s">
        <v>1033</v>
      </c>
      <c r="B48" s="164"/>
      <c r="C48" s="2832" t="s">
        <v>23</v>
      </c>
      <c r="D48" s="2833"/>
      <c r="E48" s="2834"/>
      <c r="F48" s="2835"/>
      <c r="G48" s="2836"/>
      <c r="H48" s="2837"/>
      <c r="I48" s="2834"/>
      <c r="J48" s="826"/>
      <c r="K48" s="1391"/>
      <c r="L48" s="2302"/>
      <c r="M48" s="2295"/>
      <c r="N48" s="2295"/>
      <c r="O48" s="2295"/>
      <c r="P48" s="3665" t="str">
        <f>A48</f>
        <v>成交单价（元/平方米）</v>
      </c>
      <c r="Q48" s="3654"/>
      <c r="R48" s="3655">
        <f>E48</f>
        <v>0</v>
      </c>
      <c r="S48" s="3655"/>
      <c r="T48" s="3655">
        <f>G48</f>
        <v>0</v>
      </c>
      <c r="U48" s="3655"/>
      <c r="V48" s="3655">
        <f>I48</f>
        <v>0</v>
      </c>
      <c r="W48" s="3655"/>
      <c r="X48" s="156"/>
      <c r="Y48" s="1364"/>
      <c r="Z48" s="156"/>
      <c r="AA48" s="156"/>
      <c r="AB48" s="156"/>
      <c r="AC48" s="209"/>
    </row>
    <row r="49" spans="1:29" ht="15.75" thickBot="1">
      <c r="A49" s="165" t="s">
        <v>1034</v>
      </c>
      <c r="B49" s="166"/>
      <c r="C49" s="2838" t="e">
        <f>R50</f>
        <v>#DIV/0!</v>
      </c>
      <c r="D49" s="2839"/>
      <c r="E49" s="2840" t="e">
        <f>R49</f>
        <v>#DIV/0!</v>
      </c>
      <c r="F49" s="2840"/>
      <c r="G49" s="2838" t="e">
        <f>T49</f>
        <v>#DIV/0!</v>
      </c>
      <c r="H49" s="2839"/>
      <c r="I49" s="2840" t="e">
        <f>V49</f>
        <v>#DIV/0!</v>
      </c>
      <c r="J49" s="830"/>
      <c r="K49" s="1392"/>
      <c r="L49" s="2302"/>
      <c r="M49" s="2295"/>
      <c r="N49" s="2295"/>
      <c r="O49" s="2295"/>
      <c r="P49" s="3665"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56"/>
      <c r="Y49" s="156"/>
      <c r="Z49" s="156"/>
      <c r="AA49" s="156"/>
      <c r="AB49" s="156"/>
      <c r="AC49" s="209"/>
    </row>
    <row r="50" spans="1:29" ht="15.75" thickBot="1">
      <c r="A50" s="115" t="s">
        <v>3013</v>
      </c>
      <c r="B50" s="116"/>
      <c r="C50" s="2842" t="e">
        <f>R50</f>
        <v>#DIV/0!</v>
      </c>
      <c r="D50" s="2842"/>
      <c r="E50" s="2842"/>
      <c r="F50" s="2842"/>
      <c r="G50" s="2842"/>
      <c r="H50" s="2842"/>
      <c r="I50" s="2842"/>
      <c r="J50" s="835"/>
      <c r="K50" s="1393"/>
      <c r="L50" s="2302"/>
      <c r="M50" s="2295"/>
      <c r="N50" s="2295"/>
      <c r="O50" s="2295"/>
      <c r="P50" s="3697" t="str">
        <f>A50</f>
        <v>估价对象XX用房的比较价值（楼面单价，元/平方米）</v>
      </c>
      <c r="Q50" s="3698"/>
      <c r="R50" s="3699" t="e">
        <f>IF(F1="售价",ROUND(AVERAGE(R49:V49),0),ROUND(AVERAGE(R49:V49),1))</f>
        <v>#DIV/0!</v>
      </c>
      <c r="S50" s="3699"/>
      <c r="T50" s="3699"/>
      <c r="U50" s="3699"/>
      <c r="V50" s="3699"/>
      <c r="W50" s="369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1"/>
    </row>
    <row r="62" spans="1:29" s="40" customFormat="1">
      <c r="A62" s="1047" t="s">
        <v>1037</v>
      </c>
      <c r="B62" s="1044"/>
      <c r="C62" s="1048" t="s">
        <v>1038</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1039</v>
      </c>
      <c r="B64" s="286" t="s">
        <v>1040</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2660</v>
      </c>
      <c r="C83" s="213" t="s">
        <v>2653</v>
      </c>
      <c r="D83" s="213" t="s">
        <v>2654</v>
      </c>
      <c r="E83" s="213" t="s">
        <v>2655</v>
      </c>
      <c r="F83" s="213" t="s">
        <v>2656</v>
      </c>
      <c r="G83" s="213" t="s">
        <v>2657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8"/>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1053</v>
      </c>
      <c r="B101" s="286" t="s">
        <v>1096</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1056</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1057</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1098</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2635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1060</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1063</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3" t="e">
        <f ca="1">IF(C2="——",ROUND(C43*D3/10000,0),ROUND(C43*D3/10000,0)-D2)</f>
        <v>#DIV/0!</v>
      </c>
      <c r="C2" s="3095"/>
      <c r="D2" s="2341"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2" t="s">
        <v>1109</v>
      </c>
      <c r="D3" s="741">
        <f>IF(D1="",'数据-汇总表'!E3,SUMIF('数据-汇总表'!$C19:$C33,D1,'数据-汇总表'!$E19:$E33))</f>
        <v>28973.439999999999</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1110</v>
      </c>
      <c r="B4" s="144"/>
      <c r="C4" s="3669" t="s">
        <v>1111</v>
      </c>
      <c r="D4" s="3670"/>
      <c r="E4" s="3671" t="s">
        <v>1112</v>
      </c>
      <c r="F4" s="3672"/>
      <c r="G4" s="3669" t="s">
        <v>1113</v>
      </c>
      <c r="H4" s="3670"/>
      <c r="I4" s="3669" t="s">
        <v>1114</v>
      </c>
      <c r="J4" s="3670"/>
      <c r="K4" s="187" t="s">
        <v>1115</v>
      </c>
      <c r="L4" s="2294"/>
      <c r="M4" s="2295"/>
      <c r="N4" s="2295"/>
      <c r="O4" s="2295"/>
      <c r="P4" s="3673" t="s">
        <v>1110</v>
      </c>
      <c r="Q4" s="3674"/>
      <c r="R4" s="3679" t="s">
        <v>1112</v>
      </c>
      <c r="S4" s="3680"/>
      <c r="T4" s="3679" t="s">
        <v>1113</v>
      </c>
      <c r="U4" s="3680"/>
      <c r="V4" s="3685" t="s">
        <v>1114</v>
      </c>
      <c r="W4" s="3685"/>
      <c r="X4" s="1338"/>
      <c r="Y4" s="3679" t="s">
        <v>1110</v>
      </c>
      <c r="Z4" s="3680"/>
      <c r="AA4" s="3666" t="s">
        <v>1112</v>
      </c>
      <c r="AB4" s="3667" t="s">
        <v>1113</v>
      </c>
      <c r="AC4" s="3666" t="s">
        <v>1114</v>
      </c>
    </row>
    <row r="5" spans="1:29">
      <c r="A5" s="146"/>
      <c r="B5" s="147"/>
      <c r="C5" s="3688" t="s">
        <v>1116</v>
      </c>
      <c r="D5" s="3689"/>
      <c r="E5" s="3695" t="s">
        <v>1117</v>
      </c>
      <c r="F5" s="3696"/>
      <c r="G5" s="3688" t="s">
        <v>1118</v>
      </c>
      <c r="H5" s="3689"/>
      <c r="I5" s="3688" t="s">
        <v>1119</v>
      </c>
      <c r="J5" s="3689"/>
      <c r="K5" s="187"/>
      <c r="L5" s="2294"/>
      <c r="M5" s="2295"/>
      <c r="N5" s="2295"/>
      <c r="O5" s="2295"/>
      <c r="P5" s="3675"/>
      <c r="Q5" s="3676"/>
      <c r="R5" s="3681"/>
      <c r="S5" s="3682"/>
      <c r="T5" s="3681"/>
      <c r="U5" s="3682"/>
      <c r="V5" s="3685"/>
      <c r="W5" s="3685"/>
      <c r="X5" s="1338"/>
      <c r="Y5" s="3681"/>
      <c r="Z5" s="3682"/>
      <c r="AA5" s="3667"/>
      <c r="AB5" s="3667"/>
      <c r="AC5" s="3667"/>
    </row>
    <row r="6" spans="1:29" ht="14.25" thickBot="1">
      <c r="A6" s="148"/>
      <c r="B6" s="149"/>
      <c r="C6" s="3686" t="s">
        <v>1120</v>
      </c>
      <c r="D6" s="3687"/>
      <c r="E6" s="3693" t="s">
        <v>1120</v>
      </c>
      <c r="F6" s="3694"/>
      <c r="G6" s="3686" t="s">
        <v>1120</v>
      </c>
      <c r="H6" s="3687"/>
      <c r="I6" s="3686" t="s">
        <v>1120</v>
      </c>
      <c r="J6" s="3687"/>
      <c r="K6" s="187" t="s">
        <v>1121</v>
      </c>
      <c r="L6" s="2294"/>
      <c r="M6" s="2295"/>
      <c r="N6" s="2295"/>
      <c r="O6" s="2295"/>
      <c r="P6" s="3677"/>
      <c r="Q6" s="3678"/>
      <c r="R6" s="3681"/>
      <c r="S6" s="3682"/>
      <c r="T6" s="3683"/>
      <c r="U6" s="3684"/>
      <c r="V6" s="3685"/>
      <c r="W6" s="3685"/>
      <c r="X6" s="1338"/>
      <c r="Y6" s="3683"/>
      <c r="Z6" s="3684"/>
      <c r="AA6" s="3668"/>
      <c r="AB6" s="3668"/>
      <c r="AC6" s="3668"/>
    </row>
    <row r="7" spans="1:29" s="40" customFormat="1" ht="15" thickBot="1">
      <c r="A7" s="1012" t="s">
        <v>1122</v>
      </c>
      <c r="B7" s="1013"/>
      <c r="C7" s="752">
        <f>'数据-取费表'!B2</f>
        <v>42986</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90" t="s">
        <v>1122</v>
      </c>
      <c r="Q7" s="3692"/>
      <c r="R7" s="1340" t="s">
        <v>65</v>
      </c>
      <c r="S7" s="1341">
        <f t="shared" ref="S7:S15" si="0">F7</f>
        <v>0</v>
      </c>
      <c r="T7" s="1340" t="s">
        <v>65</v>
      </c>
      <c r="U7" s="1341">
        <f t="shared" ref="U7:U15" si="1">H7</f>
        <v>0</v>
      </c>
      <c r="V7" s="1340" t="s">
        <v>65</v>
      </c>
      <c r="W7" s="1341">
        <f t="shared" ref="W7:W15" si="2">J7</f>
        <v>0</v>
      </c>
      <c r="X7" s="287"/>
      <c r="Y7" s="3690" t="s">
        <v>1122</v>
      </c>
      <c r="Z7" s="3691"/>
      <c r="AA7" s="1342" t="e">
        <f>D7/F7</f>
        <v>#DIV/0!</v>
      </c>
      <c r="AB7" s="1342" t="e">
        <f>D7/H7</f>
        <v>#DIV/0!</v>
      </c>
      <c r="AC7" s="1342" t="e">
        <f>D7/J7</f>
        <v>#DIV/0!</v>
      </c>
    </row>
    <row r="8" spans="1:29" s="40" customFormat="1" ht="15" thickBot="1">
      <c r="A8" s="1012" t="s">
        <v>1123</v>
      </c>
      <c r="B8" s="1013"/>
      <c r="C8" s="1018" t="s">
        <v>155</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90" t="s">
        <v>1018</v>
      </c>
      <c r="Q8" s="3691"/>
      <c r="R8" s="1340" t="s">
        <v>65</v>
      </c>
      <c r="S8" s="1341">
        <f t="shared" si="0"/>
        <v>0</v>
      </c>
      <c r="T8" s="1340" t="s">
        <v>65</v>
      </c>
      <c r="U8" s="1341">
        <f t="shared" si="1"/>
        <v>0</v>
      </c>
      <c r="V8" s="1340" t="s">
        <v>65</v>
      </c>
      <c r="W8" s="1341">
        <f t="shared" si="2"/>
        <v>0</v>
      </c>
      <c r="X8" s="287"/>
      <c r="Y8" s="3690" t="s">
        <v>1018</v>
      </c>
      <c r="Z8" s="3691"/>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54"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7"/>
      <c r="M10" s="2298"/>
      <c r="N10" s="2298"/>
      <c r="O10" s="2338"/>
      <c r="P10" s="3654"/>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9"/>
      <c r="M11" s="2295"/>
      <c r="N11" s="2295"/>
      <c r="O11" s="2339"/>
      <c r="P11" s="3654"/>
      <c r="Q11" s="7" t="str">
        <f t="shared" si="6"/>
        <v>容积率</v>
      </c>
      <c r="R11" s="1340" t="s">
        <v>65</v>
      </c>
      <c r="S11" s="1341" t="e">
        <f t="shared" si="0"/>
        <v>#N/A</v>
      </c>
      <c r="T11" s="1340" t="s">
        <v>65</v>
      </c>
      <c r="U11" s="1341" t="e">
        <f t="shared" si="1"/>
        <v>#N/A</v>
      </c>
      <c r="V11" s="1340" t="s">
        <v>65</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54"/>
      <c r="Q12" s="7">
        <f t="shared" si="6"/>
        <v>111</v>
      </c>
      <c r="R12" s="1340" t="s">
        <v>65</v>
      </c>
      <c r="S12" s="1341">
        <f t="shared" si="0"/>
        <v>100</v>
      </c>
      <c r="T12" s="1340" t="s">
        <v>65</v>
      </c>
      <c r="U12" s="1341">
        <f t="shared" si="1"/>
        <v>100</v>
      </c>
      <c r="V12" s="1340" t="s">
        <v>65</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54"/>
      <c r="Q13" s="7">
        <f t="shared" si="6"/>
        <v>111</v>
      </c>
      <c r="R13" s="1340" t="s">
        <v>65</v>
      </c>
      <c r="S13" s="1341">
        <f t="shared" si="0"/>
        <v>100</v>
      </c>
      <c r="T13" s="1340" t="s">
        <v>65</v>
      </c>
      <c r="U13" s="1341">
        <f t="shared" si="1"/>
        <v>100</v>
      </c>
      <c r="V13" s="1340" t="s">
        <v>65</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54"/>
      <c r="Q14" s="7">
        <f t="shared" si="6"/>
        <v>111</v>
      </c>
      <c r="R14" s="1340" t="s">
        <v>65</v>
      </c>
      <c r="S14" s="1341">
        <f t="shared" si="0"/>
        <v>100</v>
      </c>
      <c r="T14" s="1340" t="s">
        <v>65</v>
      </c>
      <c r="U14" s="1341">
        <f t="shared" si="1"/>
        <v>100</v>
      </c>
      <c r="V14" s="1340" t="s">
        <v>65</v>
      </c>
      <c r="W14" s="1341">
        <f t="shared" si="2"/>
        <v>100</v>
      </c>
      <c r="X14" s="287"/>
      <c r="Y14" s="3470"/>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0"/>
      <c r="M15" s="2295"/>
      <c r="N15" s="2295"/>
      <c r="O15" s="2339"/>
      <c r="P15" s="3656" t="s">
        <v>69</v>
      </c>
      <c r="Q15" s="1349" t="str">
        <f t="shared" si="6"/>
        <v>产业集聚程度</v>
      </c>
      <c r="R15" s="1350" t="s">
        <v>65</v>
      </c>
      <c r="S15" s="1351">
        <f t="shared" si="0"/>
        <v>100</v>
      </c>
      <c r="T15" s="1350" t="s">
        <v>65</v>
      </c>
      <c r="U15" s="1351">
        <f t="shared" si="1"/>
        <v>100</v>
      </c>
      <c r="V15" s="1350" t="s">
        <v>65</v>
      </c>
      <c r="W15" s="1351">
        <f t="shared" si="2"/>
        <v>100</v>
      </c>
      <c r="X15" s="1338"/>
      <c r="Y15" s="3656"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57"/>
      <c r="Q16" s="1349"/>
      <c r="R16" s="1350"/>
      <c r="S16" s="1351"/>
      <c r="T16" s="1350"/>
      <c r="U16" s="1351"/>
      <c r="V16" s="1350"/>
      <c r="W16" s="1351"/>
      <c r="X16" s="1338"/>
      <c r="Y16" s="3657"/>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0"/>
      <c r="M17" s="2295"/>
      <c r="N17" s="2295"/>
      <c r="O17" s="2339"/>
      <c r="P17" s="3657"/>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57"/>
      <c r="Q18" s="1349"/>
      <c r="R18" s="1350"/>
      <c r="S18" s="1351"/>
      <c r="T18" s="1350"/>
      <c r="U18" s="1351"/>
      <c r="V18" s="1350"/>
      <c r="W18" s="1351"/>
      <c r="X18" s="1338"/>
      <c r="Y18" s="3657"/>
      <c r="Z18" s="1352"/>
      <c r="AA18" s="1353">
        <v>1</v>
      </c>
      <c r="AB18" s="1353">
        <v>1</v>
      </c>
      <c r="AC18" s="1353">
        <v>1</v>
      </c>
    </row>
    <row r="19" spans="1:29" ht="40.5">
      <c r="A19" s="151"/>
      <c r="B19" s="1354" t="s">
        <v>2658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0"/>
      <c r="M19" s="2295"/>
      <c r="N19" s="2295"/>
      <c r="O19" s="2339"/>
      <c r="P19" s="3657"/>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57"/>
      <c r="Q20" s="1349"/>
      <c r="R20" s="1350"/>
      <c r="S20" s="1351"/>
      <c r="T20" s="1350"/>
      <c r="U20" s="1351"/>
      <c r="V20" s="1350"/>
      <c r="W20" s="1351"/>
      <c r="X20" s="1338"/>
      <c r="Y20" s="3657"/>
      <c r="Z20" s="1352"/>
      <c r="AA20" s="1353">
        <v>1</v>
      </c>
      <c r="AB20" s="1353">
        <v>1</v>
      </c>
      <c r="AC20" s="1353">
        <v>1</v>
      </c>
    </row>
    <row r="21" spans="1:29" ht="40.5">
      <c r="A21" s="151"/>
      <c r="B21" s="1410" t="s">
        <v>2661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0"/>
      <c r="M21" s="2295"/>
      <c r="N21" s="2295"/>
      <c r="O21" s="2339"/>
      <c r="P21" s="3657"/>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57"/>
      <c r="Q22" s="2745"/>
      <c r="R22" s="1350"/>
      <c r="S22" s="1351"/>
      <c r="T22" s="1350"/>
      <c r="U22" s="1351"/>
      <c r="V22" s="1350"/>
      <c r="W22" s="1351"/>
      <c r="X22" s="2747"/>
      <c r="Y22" s="3657"/>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0"/>
      <c r="M23" s="2295"/>
      <c r="N23" s="2295"/>
      <c r="O23" s="2339"/>
      <c r="P23" s="3657"/>
      <c r="Q23" s="1349" t="str">
        <f>B23</f>
        <v>环境质量</v>
      </c>
      <c r="R23" s="1350" t="s">
        <v>65</v>
      </c>
      <c r="S23" s="1351">
        <f>F23</f>
        <v>100</v>
      </c>
      <c r="T23" s="1350" t="s">
        <v>65</v>
      </c>
      <c r="U23" s="1351">
        <f>H23</f>
        <v>100</v>
      </c>
      <c r="V23" s="1350" t="s">
        <v>65</v>
      </c>
      <c r="W23" s="1351">
        <f>J23</f>
        <v>100</v>
      </c>
      <c r="X23" s="1338"/>
      <c r="Y23" s="3657"/>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57"/>
      <c r="Q24" s="1349"/>
      <c r="R24" s="1350"/>
      <c r="S24" s="1351"/>
      <c r="T24" s="1350"/>
      <c r="U24" s="1351"/>
      <c r="V24" s="1350"/>
      <c r="W24" s="1351"/>
      <c r="X24" s="1338"/>
      <c r="Y24" s="3657"/>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57"/>
      <c r="Q25" s="1349">
        <f>B25</f>
        <v>111</v>
      </c>
      <c r="R25" s="1350" t="s">
        <v>65</v>
      </c>
      <c r="S25" s="1351">
        <f>F25</f>
        <v>100</v>
      </c>
      <c r="T25" s="1350" t="s">
        <v>65</v>
      </c>
      <c r="U25" s="1351">
        <f>H25</f>
        <v>100</v>
      </c>
      <c r="V25" s="1350" t="s">
        <v>65</v>
      </c>
      <c r="W25" s="1351">
        <f>J25</f>
        <v>100</v>
      </c>
      <c r="X25" s="1338"/>
      <c r="Y25" s="3657"/>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57"/>
      <c r="Q26" s="1349">
        <f t="shared" ref="Q26:Q40" si="11">B26</f>
        <v>111</v>
      </c>
      <c r="R26" s="1350" t="s">
        <v>65</v>
      </c>
      <c r="S26" s="1351">
        <f>F26</f>
        <v>100</v>
      </c>
      <c r="T26" s="1350" t="s">
        <v>65</v>
      </c>
      <c r="U26" s="1351">
        <f>H26</f>
        <v>100</v>
      </c>
      <c r="V26" s="1350" t="s">
        <v>65</v>
      </c>
      <c r="W26" s="1351">
        <f>J26</f>
        <v>100</v>
      </c>
      <c r="X26" s="1338"/>
      <c r="Y26" s="3657"/>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6"/>
      <c r="M27" s="2258"/>
      <c r="N27" s="2258"/>
      <c r="O27" s="2337"/>
      <c r="P27" s="3657"/>
      <c r="Q27" s="7">
        <f t="shared" si="11"/>
        <v>111</v>
      </c>
      <c r="R27" s="1340" t="s">
        <v>65</v>
      </c>
      <c r="S27" s="1341">
        <f>F27</f>
        <v>100</v>
      </c>
      <c r="T27" s="1340" t="s">
        <v>65</v>
      </c>
      <c r="U27" s="1341">
        <f>H27</f>
        <v>100</v>
      </c>
      <c r="V27" s="1340" t="s">
        <v>65</v>
      </c>
      <c r="W27" s="1341">
        <f>J27</f>
        <v>100</v>
      </c>
      <c r="X27" s="287"/>
      <c r="Y27" s="3657"/>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57"/>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7"/>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0"/>
      <c r="M29" s="2295"/>
      <c r="N29" s="2295"/>
      <c r="O29" s="2339"/>
      <c r="P29" s="3712" t="s">
        <v>1124</v>
      </c>
      <c r="Q29" s="1349" t="str">
        <f t="shared" si="11"/>
        <v>建筑类型</v>
      </c>
      <c r="R29" s="1350" t="s">
        <v>65</v>
      </c>
      <c r="S29" s="1351">
        <f t="shared" si="12"/>
        <v>100</v>
      </c>
      <c r="T29" s="1350" t="s">
        <v>65</v>
      </c>
      <c r="U29" s="1351">
        <f t="shared" si="13"/>
        <v>100</v>
      </c>
      <c r="V29" s="1350" t="s">
        <v>65</v>
      </c>
      <c r="W29" s="1351">
        <f t="shared" si="14"/>
        <v>100</v>
      </c>
      <c r="X29" s="1338"/>
      <c r="Y29" s="3661" t="s">
        <v>1124</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61"/>
      <c r="Q30" s="1357" t="str">
        <f t="shared" si="11"/>
        <v>项目建筑规模</v>
      </c>
      <c r="R30" s="1358" t="s">
        <v>65</v>
      </c>
      <c r="S30" s="1359" t="e">
        <f t="shared" si="12"/>
        <v>#N/A</v>
      </c>
      <c r="T30" s="1358" t="s">
        <v>65</v>
      </c>
      <c r="U30" s="1359" t="e">
        <f t="shared" si="13"/>
        <v>#N/A</v>
      </c>
      <c r="V30" s="1358" t="s">
        <v>65</v>
      </c>
      <c r="W30" s="1359" t="e">
        <f t="shared" si="14"/>
        <v>#N/A</v>
      </c>
      <c r="X30" s="1360"/>
      <c r="Y30" s="3661"/>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0"/>
      <c r="M31" s="2295"/>
      <c r="N31" s="2295"/>
      <c r="O31" s="2339"/>
      <c r="P31" s="3661"/>
      <c r="Q31" s="1349" t="str">
        <f t="shared" si="11"/>
        <v>建筑结构</v>
      </c>
      <c r="R31" s="1350" t="s">
        <v>65</v>
      </c>
      <c r="S31" s="1351">
        <f t="shared" si="12"/>
        <v>100</v>
      </c>
      <c r="T31" s="1350" t="s">
        <v>65</v>
      </c>
      <c r="U31" s="1351">
        <f t="shared" si="13"/>
        <v>100</v>
      </c>
      <c r="V31" s="1350" t="s">
        <v>65</v>
      </c>
      <c r="W31" s="1351">
        <f t="shared" si="14"/>
        <v>100</v>
      </c>
      <c r="X31" s="1338"/>
      <c r="Y31" s="3661"/>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3"/>
      <c r="L32" s="2300"/>
      <c r="M32" s="2295"/>
      <c r="N32" s="2295"/>
      <c r="O32" s="2339"/>
      <c r="P32" s="3661"/>
      <c r="Q32" s="1349" t="str">
        <f t="shared" si="11"/>
        <v>公共部分装修</v>
      </c>
      <c r="R32" s="1350" t="s">
        <v>65</v>
      </c>
      <c r="S32" s="1351">
        <f t="shared" si="12"/>
        <v>100</v>
      </c>
      <c r="T32" s="1350" t="s">
        <v>65</v>
      </c>
      <c r="U32" s="1351">
        <f t="shared" si="13"/>
        <v>100</v>
      </c>
      <c r="V32" s="1350" t="s">
        <v>65</v>
      </c>
      <c r="W32" s="1351">
        <f t="shared" si="14"/>
        <v>100</v>
      </c>
      <c r="X32" s="1338"/>
      <c r="Y32" s="3661"/>
      <c r="Z32" s="1352" t="str">
        <f t="shared" si="15"/>
        <v>公共部分装修</v>
      </c>
      <c r="AA32" s="1353">
        <f t="shared" si="3"/>
        <v>1</v>
      </c>
      <c r="AB32" s="1353">
        <f t="shared" si="4"/>
        <v>1</v>
      </c>
      <c r="AC32" s="1353">
        <f t="shared" si="5"/>
        <v>1</v>
      </c>
    </row>
    <row r="33" spans="1:29" ht="15">
      <c r="A33" s="161"/>
      <c r="B33" s="12" t="s">
        <v>1027</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0"/>
      <c r="M33" s="2295"/>
      <c r="N33" s="2295"/>
      <c r="O33" s="2339"/>
      <c r="P33" s="3661"/>
      <c r="Q33" s="1349" t="str">
        <f t="shared" si="11"/>
        <v>成新度</v>
      </c>
      <c r="R33" s="1350" t="s">
        <v>65</v>
      </c>
      <c r="S33" s="1351" t="e">
        <f t="shared" si="12"/>
        <v>#N/A</v>
      </c>
      <c r="T33" s="1350" t="s">
        <v>65</v>
      </c>
      <c r="U33" s="1351" t="e">
        <f t="shared" si="13"/>
        <v>#N/A</v>
      </c>
      <c r="V33" s="1350" t="s">
        <v>65</v>
      </c>
      <c r="W33" s="1351" t="e">
        <f t="shared" si="14"/>
        <v>#N/A</v>
      </c>
      <c r="X33" s="1338"/>
      <c r="Y33" s="3661"/>
      <c r="Z33" s="1352" t="str">
        <f t="shared" si="15"/>
        <v>成新度</v>
      </c>
      <c r="AA33" s="1353" t="e">
        <f t="shared" si="3"/>
        <v>#N/A</v>
      </c>
      <c r="AB33" s="1353" t="e">
        <f t="shared" si="4"/>
        <v>#N/A</v>
      </c>
      <c r="AC33" s="1353" t="e">
        <f t="shared" si="5"/>
        <v>#N/A</v>
      </c>
    </row>
    <row r="34" spans="1:29" s="40" customFormat="1" ht="15">
      <c r="A34" s="1039"/>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6"/>
      <c r="M34" s="2258"/>
      <c r="N34" s="2258"/>
      <c r="O34" s="2337"/>
      <c r="P34" s="3661"/>
      <c r="Q34" s="7" t="str">
        <f t="shared" si="11"/>
        <v>物业管理</v>
      </c>
      <c r="R34" s="1340" t="s">
        <v>65</v>
      </c>
      <c r="S34" s="1341">
        <f t="shared" si="12"/>
        <v>100</v>
      </c>
      <c r="T34" s="1340" t="s">
        <v>65</v>
      </c>
      <c r="U34" s="1341">
        <f t="shared" si="13"/>
        <v>100</v>
      </c>
      <c r="V34" s="1340" t="s">
        <v>65</v>
      </c>
      <c r="W34" s="1341">
        <f t="shared" si="14"/>
        <v>100</v>
      </c>
      <c r="X34" s="287"/>
      <c r="Y34" s="3661"/>
      <c r="Z34" s="288" t="str">
        <f t="shared" si="15"/>
        <v>物业管理</v>
      </c>
      <c r="AA34" s="1342">
        <f t="shared" si="3"/>
        <v>1</v>
      </c>
      <c r="AB34" s="1342">
        <f t="shared" si="4"/>
        <v>1</v>
      </c>
      <c r="AC34" s="1342">
        <f t="shared" si="5"/>
        <v>1</v>
      </c>
    </row>
    <row r="35" spans="1:29" ht="15">
      <c r="A35" s="161"/>
      <c r="B35" s="12" t="s">
        <v>2651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0"/>
      <c r="M35" s="2295"/>
      <c r="N35" s="2295"/>
      <c r="O35" s="2339"/>
      <c r="P35" s="3661" t="s">
        <v>70</v>
      </c>
      <c r="Q35" s="1349" t="str">
        <f t="shared" si="11"/>
        <v>市政基础设施</v>
      </c>
      <c r="R35" s="1350" t="s">
        <v>65</v>
      </c>
      <c r="S35" s="1351">
        <f t="shared" si="12"/>
        <v>100</v>
      </c>
      <c r="T35" s="1350" t="s">
        <v>65</v>
      </c>
      <c r="U35" s="1351">
        <f t="shared" si="13"/>
        <v>100</v>
      </c>
      <c r="V35" s="1350" t="s">
        <v>65</v>
      </c>
      <c r="W35" s="1351">
        <f t="shared" si="14"/>
        <v>100</v>
      </c>
      <c r="X35" s="1338"/>
      <c r="Y35" s="3661"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0"/>
      <c r="M36" s="2295"/>
      <c r="N36" s="2295"/>
      <c r="O36" s="2339"/>
      <c r="P36" s="3661"/>
      <c r="Q36" s="1349" t="str">
        <f t="shared" si="11"/>
        <v>内部装修</v>
      </c>
      <c r="R36" s="1350" t="s">
        <v>65</v>
      </c>
      <c r="S36" s="1351">
        <f t="shared" si="12"/>
        <v>100</v>
      </c>
      <c r="T36" s="1350" t="s">
        <v>65</v>
      </c>
      <c r="U36" s="1351">
        <f t="shared" si="13"/>
        <v>100</v>
      </c>
      <c r="V36" s="1350" t="s">
        <v>65</v>
      </c>
      <c r="W36" s="1351">
        <f t="shared" si="14"/>
        <v>100</v>
      </c>
      <c r="X36" s="1338"/>
      <c r="Y36" s="3661"/>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0"/>
      <c r="M37" s="2295"/>
      <c r="N37" s="2295"/>
      <c r="O37" s="2339"/>
      <c r="P37" s="3661"/>
      <c r="Q37" s="1349" t="str">
        <f t="shared" si="11"/>
        <v>内部装修状况</v>
      </c>
      <c r="R37" s="1350" t="s">
        <v>65</v>
      </c>
      <c r="S37" s="1351">
        <f t="shared" si="12"/>
        <v>100</v>
      </c>
      <c r="T37" s="1350" t="s">
        <v>65</v>
      </c>
      <c r="U37" s="1351">
        <f t="shared" si="13"/>
        <v>100</v>
      </c>
      <c r="V37" s="1350" t="s">
        <v>65</v>
      </c>
      <c r="W37" s="1351">
        <f t="shared" si="14"/>
        <v>100</v>
      </c>
      <c r="X37" s="1338"/>
      <c r="Y37" s="3661"/>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61"/>
      <c r="Q38" s="1357">
        <f t="shared" si="11"/>
        <v>111</v>
      </c>
      <c r="R38" s="1358" t="s">
        <v>65</v>
      </c>
      <c r="S38" s="1359">
        <f t="shared" si="12"/>
        <v>100</v>
      </c>
      <c r="T38" s="1358" t="s">
        <v>65</v>
      </c>
      <c r="U38" s="1359">
        <f t="shared" si="13"/>
        <v>100</v>
      </c>
      <c r="V38" s="1358" t="s">
        <v>65</v>
      </c>
      <c r="W38" s="1359">
        <f t="shared" si="14"/>
        <v>100</v>
      </c>
      <c r="X38" s="1360"/>
      <c r="Y38" s="3661"/>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61"/>
      <c r="Q39" s="1349">
        <f t="shared" si="11"/>
        <v>111</v>
      </c>
      <c r="R39" s="1350" t="s">
        <v>65</v>
      </c>
      <c r="S39" s="1351">
        <f t="shared" si="12"/>
        <v>100</v>
      </c>
      <c r="T39" s="1350" t="s">
        <v>65</v>
      </c>
      <c r="U39" s="1351">
        <f t="shared" si="13"/>
        <v>100</v>
      </c>
      <c r="V39" s="1350" t="s">
        <v>65</v>
      </c>
      <c r="W39" s="1351">
        <f t="shared" si="14"/>
        <v>100</v>
      </c>
      <c r="X39" s="1338"/>
      <c r="Y39" s="3661"/>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62"/>
      <c r="Q40" s="1349">
        <f t="shared" si="11"/>
        <v>111</v>
      </c>
      <c r="R40" s="1350" t="s">
        <v>65</v>
      </c>
      <c r="S40" s="1351">
        <f t="shared" si="12"/>
        <v>100</v>
      </c>
      <c r="T40" s="1350" t="s">
        <v>65</v>
      </c>
      <c r="U40" s="1351">
        <f t="shared" si="13"/>
        <v>100</v>
      </c>
      <c r="V40" s="1350" t="s">
        <v>65</v>
      </c>
      <c r="W40" s="1351">
        <f t="shared" si="14"/>
        <v>100</v>
      </c>
      <c r="X40" s="1338"/>
      <c r="Y40" s="3662"/>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54" t="str">
        <f>A41</f>
        <v>成交单价（元/平方米）</v>
      </c>
      <c r="Q41" s="3654"/>
      <c r="R41" s="3655">
        <f>E41</f>
        <v>0</v>
      </c>
      <c r="S41" s="3655"/>
      <c r="T41" s="3655">
        <f>G41</f>
        <v>0</v>
      </c>
      <c r="U41" s="3655"/>
      <c r="V41" s="3655">
        <f>I41</f>
        <v>0</v>
      </c>
      <c r="W41" s="3655"/>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363"/>
      <c r="Y42" s="1363"/>
      <c r="Z42" s="1363"/>
      <c r="AA42" s="1363"/>
      <c r="AB42" s="1363"/>
      <c r="AC42" s="1363"/>
    </row>
    <row r="43" spans="1:29" ht="15.75" thickBot="1">
      <c r="A43" s="115" t="s">
        <v>3013</v>
      </c>
      <c r="B43" s="116"/>
      <c r="C43" s="2842" t="e">
        <f>R43</f>
        <v>#DIV/0!</v>
      </c>
      <c r="D43" s="2842"/>
      <c r="E43" s="2842"/>
      <c r="F43" s="2842"/>
      <c r="G43" s="2842"/>
      <c r="H43" s="2842"/>
      <c r="I43" s="2842"/>
      <c r="J43" s="2842"/>
      <c r="K43" s="1393"/>
      <c r="L43" s="2302"/>
      <c r="M43" s="2303"/>
      <c r="N43" s="2303"/>
      <c r="O43" s="2303"/>
      <c r="P43" s="3651" t="str">
        <f>A43</f>
        <v>估价对象XX用房的比较价值（楼面单价，元/平方米）</v>
      </c>
      <c r="Q43" s="3652"/>
      <c r="R43" s="3653" t="e">
        <f>IF(F1="售价",ROUND(AVERAGE(R42:V42),0),ROUND(AVERAGE(R42:V42),1))</f>
        <v>#DIV/0!</v>
      </c>
      <c r="S43" s="3653"/>
      <c r="T43" s="3653"/>
      <c r="U43" s="3653"/>
      <c r="V43" s="3653"/>
      <c r="W43" s="3653"/>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1013</v>
      </c>
      <c r="D70" s="914" t="s">
        <v>1014</v>
      </c>
      <c r="E70" s="914" t="s">
        <v>1015</v>
      </c>
      <c r="F70" s="914" t="s">
        <v>1016</v>
      </c>
      <c r="G70" s="914" t="s">
        <v>1017</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2633</v>
      </c>
      <c r="C74" s="919" t="s">
        <v>1013</v>
      </c>
      <c r="D74" s="919" t="s">
        <v>1014</v>
      </c>
      <c r="E74" s="919" t="s">
        <v>1015</v>
      </c>
      <c r="F74" s="919" t="s">
        <v>1016</v>
      </c>
      <c r="G74" s="919" t="s">
        <v>1017</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2661</v>
      </c>
      <c r="C76" s="213" t="s">
        <v>2653</v>
      </c>
      <c r="D76" s="213" t="s">
        <v>2654</v>
      </c>
      <c r="E76" s="213" t="s">
        <v>2655</v>
      </c>
      <c r="F76" s="213" t="s">
        <v>2656</v>
      </c>
      <c r="G76" s="213" t="s">
        <v>2657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5" t="str">
        <f>项目基本情况!B5&amp;"："</f>
        <v>：</v>
      </c>
    </row>
    <row r="4" spans="1:1" ht="37.5">
      <c r="A4" s="1946" t="str">
        <f>"受贵公司委托，我公司对"&amp;项目基本情况!S1&amp;"进行了预评估。"</f>
        <v>受贵公司委托，我公司对北京市怀柔区杨宋镇凤翔二园1号1-7幢房地产抵押价值进行了预评估。</v>
      </c>
    </row>
    <row r="5" spans="1:1" ht="18.75">
      <c r="A5" s="1947" t="s">
        <v>2007</v>
      </c>
    </row>
    <row r="6" spans="1:1" ht="18.75">
      <c r="A6" s="3050" t="s">
        <v>2866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1" ht="56.25">
      <c r="A8" s="1990" t="s">
        <v>2860</v>
      </c>
    </row>
    <row r="9" spans="1:1" ht="18.75">
      <c r="A9" s="3050" t="s">
        <v>2867</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1" spans="1:1" ht="75">
      <c r="A11" s="1990" t="s">
        <v>2901</v>
      </c>
    </row>
    <row r="12" spans="1:1" ht="18.75">
      <c r="A12" s="1947" t="s">
        <v>2008</v>
      </c>
    </row>
    <row r="13" spans="1:1" ht="38.25" customHeight="1">
      <c r="A13" s="1948"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2017年9月8日（评估专业人员实地查勘之日）</v>
      </c>
    </row>
    <row r="16" spans="1:1" ht="18.75">
      <c r="A16" s="1949" t="s">
        <v>2011</v>
      </c>
    </row>
    <row r="17" spans="1:1" ht="75">
      <c r="A17" s="1946" t="s">
        <v>2861</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2106</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445</v>
      </c>
      <c r="B2" s="2843" t="e">
        <f ca="1">IF(C2="——",IF(B37="元/平方米",ROUND(C39*D3/10000,0),ROUND(F3*C39/10000,0)),IF(B37="元/平方米",ROUND(C39*D3/10000,0),ROUND(F3*C39/10000,0))-D2)</f>
        <v>#DIV/0!</v>
      </c>
      <c r="C2" s="3095"/>
      <c r="D2" s="2341" t="e">
        <f ca="1">SUMIF(INDIRECT("'"&amp;F2&amp;"'"&amp;"!A:A"),"承租人权益价值",INDIRECT("'"&amp;F2&amp;"'"&amp;"!c:c"))</f>
        <v>#REF!</v>
      </c>
      <c r="E2" s="3096" t="s">
        <v>865</v>
      </c>
      <c r="F2" s="3097"/>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3" t="s">
        <v>448</v>
      </c>
      <c r="B4" s="744"/>
      <c r="C4" s="3725" t="s">
        <v>449</v>
      </c>
      <c r="D4" s="3726"/>
      <c r="E4" s="3727" t="s">
        <v>450</v>
      </c>
      <c r="F4" s="3728"/>
      <c r="G4" s="3725" t="s">
        <v>451</v>
      </c>
      <c r="H4" s="3726"/>
      <c r="I4" s="3725" t="s">
        <v>452</v>
      </c>
      <c r="J4" s="3726"/>
      <c r="K4" s="951" t="s">
        <v>453</v>
      </c>
      <c r="L4" s="2347"/>
      <c r="M4" s="2348"/>
      <c r="N4" s="2348"/>
      <c r="O4" s="2348"/>
      <c r="P4" s="3729" t="s">
        <v>454</v>
      </c>
      <c r="Q4" s="3730"/>
      <c r="R4" s="3735" t="s">
        <v>450</v>
      </c>
      <c r="S4" s="3736"/>
      <c r="T4" s="3735" t="s">
        <v>451</v>
      </c>
      <c r="U4" s="3736"/>
      <c r="V4" s="3741" t="s">
        <v>452</v>
      </c>
      <c r="W4" s="3741"/>
      <c r="X4" s="2829"/>
      <c r="Y4" s="3735" t="s">
        <v>454</v>
      </c>
      <c r="Z4" s="3736"/>
      <c r="AA4" s="3722" t="s">
        <v>450</v>
      </c>
      <c r="AB4" s="3723" t="s">
        <v>451</v>
      </c>
      <c r="AC4" s="3722" t="s">
        <v>452</v>
      </c>
    </row>
    <row r="5" spans="1:29" ht="15">
      <c r="A5" s="746"/>
      <c r="B5" s="747"/>
      <c r="C5" s="3744" t="s">
        <v>3014</v>
      </c>
      <c r="D5" s="3745"/>
      <c r="E5" s="3751" t="s">
        <v>3015</v>
      </c>
      <c r="F5" s="3752"/>
      <c r="G5" s="3744" t="s">
        <v>3016</v>
      </c>
      <c r="H5" s="3745"/>
      <c r="I5" s="3744" t="s">
        <v>3017</v>
      </c>
      <c r="J5" s="3745"/>
      <c r="K5" s="951"/>
      <c r="L5" s="2347"/>
      <c r="M5" s="2348"/>
      <c r="N5" s="2348"/>
      <c r="O5" s="2348"/>
      <c r="P5" s="3731"/>
      <c r="Q5" s="3732"/>
      <c r="R5" s="3737"/>
      <c r="S5" s="3738"/>
      <c r="T5" s="3737"/>
      <c r="U5" s="3738"/>
      <c r="V5" s="3741"/>
      <c r="W5" s="3741"/>
      <c r="X5" s="2829"/>
      <c r="Y5" s="3737"/>
      <c r="Z5" s="3738"/>
      <c r="AA5" s="3723"/>
      <c r="AB5" s="3723"/>
      <c r="AC5" s="3723"/>
    </row>
    <row r="6" spans="1:29" ht="15.75" thickBot="1">
      <c r="A6" s="748"/>
      <c r="B6" s="749"/>
      <c r="C6" s="3742" t="s">
        <v>3018</v>
      </c>
      <c r="D6" s="3743"/>
      <c r="E6" s="3749" t="s">
        <v>3018</v>
      </c>
      <c r="F6" s="3750"/>
      <c r="G6" s="3742" t="s">
        <v>3018</v>
      </c>
      <c r="H6" s="3743"/>
      <c r="I6" s="3742" t="s">
        <v>3018</v>
      </c>
      <c r="J6" s="3743"/>
      <c r="K6" s="951" t="s">
        <v>396</v>
      </c>
      <c r="L6" s="2347"/>
      <c r="M6" s="2348"/>
      <c r="N6" s="2348"/>
      <c r="O6" s="2348"/>
      <c r="P6" s="3733"/>
      <c r="Q6" s="3734"/>
      <c r="R6" s="3737"/>
      <c r="S6" s="3738"/>
      <c r="T6" s="3739"/>
      <c r="U6" s="3740"/>
      <c r="V6" s="3741"/>
      <c r="W6" s="3741"/>
      <c r="X6" s="2829"/>
      <c r="Y6" s="3739"/>
      <c r="Z6" s="3740"/>
      <c r="AA6" s="3724"/>
      <c r="AB6" s="3724"/>
      <c r="AC6" s="3724"/>
    </row>
    <row r="7" spans="1:29" s="406" customFormat="1" ht="15.75" thickBot="1">
      <c r="A7" s="750" t="s">
        <v>397</v>
      </c>
      <c r="B7" s="751"/>
      <c r="C7" s="752">
        <f>'数据-取费表'!B2</f>
        <v>42986</v>
      </c>
      <c r="D7" s="753">
        <v>100</v>
      </c>
      <c r="E7" s="754"/>
      <c r="F7" s="755">
        <f>SUMIF(48:48,YEAR(E7)&amp;"-"&amp;MONTH(E7),49:49)</f>
        <v>0</v>
      </c>
      <c r="G7" s="754"/>
      <c r="H7" s="753">
        <f>SUMIF(48:48,YEAR(G7)&amp;"-"&amp;MONTH(G7),49:49)</f>
        <v>0</v>
      </c>
      <c r="I7" s="754"/>
      <c r="J7" s="753">
        <f>SUMIF(48:48,YEAR(I7)&amp;"-"&amp;MONTH(I7),49:49)</f>
        <v>0</v>
      </c>
      <c r="K7" s="952"/>
      <c r="L7" s="2349"/>
      <c r="M7" s="2350"/>
      <c r="N7" s="2350"/>
      <c r="O7" s="2350"/>
      <c r="P7" s="3746" t="s">
        <v>398</v>
      </c>
      <c r="Q7" s="3748"/>
      <c r="R7" s="1317" t="s">
        <v>65</v>
      </c>
      <c r="S7" s="1318">
        <f t="shared" ref="S7:S14" si="0">F7</f>
        <v>0</v>
      </c>
      <c r="T7" s="1317" t="s">
        <v>65</v>
      </c>
      <c r="U7" s="1318">
        <f t="shared" ref="U7:U14" si="1">H7</f>
        <v>0</v>
      </c>
      <c r="V7" s="1317" t="s">
        <v>65</v>
      </c>
      <c r="W7" s="1318">
        <f t="shared" ref="W7:W14" si="2">J7</f>
        <v>0</v>
      </c>
      <c r="X7" s="1319"/>
      <c r="Y7" s="3746" t="s">
        <v>398</v>
      </c>
      <c r="Z7" s="3747"/>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49"/>
      <c r="M9" s="2350"/>
      <c r="N9" s="2350"/>
      <c r="O9" s="2350"/>
      <c r="P9" s="3713" t="s">
        <v>401</v>
      </c>
      <c r="Q9" s="2828" t="str">
        <f t="shared" ref="Q9:Q14" si="6">B9</f>
        <v>用途</v>
      </c>
      <c r="R9" s="1317" t="s">
        <v>65</v>
      </c>
      <c r="S9" s="1318">
        <f t="shared" si="0"/>
        <v>100</v>
      </c>
      <c r="T9" s="1317" t="s">
        <v>65</v>
      </c>
      <c r="U9" s="1318">
        <f t="shared" si="1"/>
        <v>100</v>
      </c>
      <c r="V9" s="1317" t="s">
        <v>65</v>
      </c>
      <c r="W9" s="1318">
        <f t="shared" si="2"/>
        <v>100</v>
      </c>
      <c r="X9" s="1319"/>
      <c r="Y9" s="3519" t="s">
        <v>402</v>
      </c>
      <c r="Z9" s="343" t="str">
        <f t="shared" ref="Z9:Z14" si="7">Q9</f>
        <v>用途</v>
      </c>
      <c r="AA9" s="1320">
        <f t="shared" si="3"/>
        <v>1</v>
      </c>
      <c r="AB9" s="1320">
        <f t="shared" si="4"/>
        <v>1</v>
      </c>
      <c r="AC9" s="1320">
        <f t="shared" si="5"/>
        <v>1</v>
      </c>
    </row>
    <row r="10" spans="1:29" s="769" customFormat="1" ht="27">
      <c r="A10" s="982"/>
      <c r="B10" s="983" t="s">
        <v>403</v>
      </c>
      <c r="C10" s="765"/>
      <c r="D10" s="425">
        <v>100</v>
      </c>
      <c r="E10" s="765"/>
      <c r="F10" s="425">
        <f>SUMIF(55:55,E10,56:56)-SUMIF(55:55,C10,56:56)+100</f>
        <v>100</v>
      </c>
      <c r="G10" s="766"/>
      <c r="H10" s="425">
        <f>SUMIF(55:55,G10,56:56)-SUMIF(55:55,C10,56:56)+100</f>
        <v>100</v>
      </c>
      <c r="I10" s="765"/>
      <c r="J10" s="425">
        <f>SUMIF(55:55,I10,56:56)-SUMIF(55:55,C10,56:56)+100</f>
        <v>100</v>
      </c>
      <c r="K10" s="953"/>
      <c r="L10" s="2352"/>
      <c r="M10" s="2353"/>
      <c r="N10" s="2353"/>
      <c r="O10" s="2353"/>
      <c r="P10" s="3713"/>
      <c r="Q10" s="2828" t="str">
        <f t="shared" si="6"/>
        <v>土地使用年限（年）</v>
      </c>
      <c r="R10" s="1317" t="s">
        <v>65</v>
      </c>
      <c r="S10" s="1318">
        <f t="shared" si="0"/>
        <v>100</v>
      </c>
      <c r="T10" s="1317" t="s">
        <v>65</v>
      </c>
      <c r="U10" s="1318">
        <f t="shared" si="1"/>
        <v>100</v>
      </c>
      <c r="V10" s="1317" t="s">
        <v>65</v>
      </c>
      <c r="W10" s="1318">
        <f t="shared" si="2"/>
        <v>100</v>
      </c>
      <c r="X10" s="1319"/>
      <c r="Y10" s="3519"/>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5"/>
      <c r="M11" s="2348"/>
      <c r="N11" s="2348"/>
      <c r="O11" s="2348"/>
      <c r="P11" s="3713"/>
      <c r="Q11" s="2828">
        <f t="shared" si="6"/>
        <v>111</v>
      </c>
      <c r="R11" s="1317" t="s">
        <v>65</v>
      </c>
      <c r="S11" s="1318">
        <f t="shared" si="0"/>
        <v>100</v>
      </c>
      <c r="T11" s="1317" t="s">
        <v>65</v>
      </c>
      <c r="U11" s="1318">
        <f t="shared" si="1"/>
        <v>100</v>
      </c>
      <c r="V11" s="1317" t="s">
        <v>65</v>
      </c>
      <c r="W11" s="1318">
        <f t="shared" si="2"/>
        <v>100</v>
      </c>
      <c r="X11" s="1319"/>
      <c r="Y11" s="3519"/>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9"/>
      <c r="M12" s="2350"/>
      <c r="N12" s="2350"/>
      <c r="O12" s="2350"/>
      <c r="P12" s="3713"/>
      <c r="Q12" s="2828">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7"/>
      <c r="M13" s="2348"/>
      <c r="N13" s="2348"/>
      <c r="O13" s="2348"/>
      <c r="P13" s="3713"/>
      <c r="Q13" s="2828">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75.5">
      <c r="A14" s="743" t="s">
        <v>405</v>
      </c>
      <c r="B14" s="970"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784"/>
      <c r="F14" s="785">
        <f>SUMIF(63:63,E15,64:64)-SUMIF(63:63,C15,64:64)+100</f>
        <v>100</v>
      </c>
      <c r="G14" s="786"/>
      <c r="H14" s="783">
        <f>SUMIF(63:63,G15,64:64)-SUMIF(63:63,C15,64:64)+100</f>
        <v>100</v>
      </c>
      <c r="I14" s="784"/>
      <c r="J14" s="783">
        <f>SUMIF(63:63,I15,64:64)-SUMIF(63:63,C15,64:64)+100</f>
        <v>100</v>
      </c>
      <c r="K14" s="955"/>
      <c r="L14" s="2357"/>
      <c r="M14" s="2348"/>
      <c r="N14" s="2348"/>
      <c r="O14" s="2348"/>
      <c r="P14" s="3718" t="s">
        <v>406</v>
      </c>
      <c r="Q14" s="2830" t="str">
        <f t="shared" si="6"/>
        <v>交通便捷度</v>
      </c>
      <c r="R14" s="1322" t="s">
        <v>65</v>
      </c>
      <c r="S14" s="1323">
        <f t="shared" si="0"/>
        <v>100</v>
      </c>
      <c r="T14" s="1322" t="s">
        <v>65</v>
      </c>
      <c r="U14" s="1323">
        <f t="shared" si="1"/>
        <v>100</v>
      </c>
      <c r="V14" s="1322" t="s">
        <v>65</v>
      </c>
      <c r="W14" s="1323">
        <f t="shared" si="2"/>
        <v>100</v>
      </c>
      <c r="X14" s="2829"/>
      <c r="Y14" s="3718" t="s">
        <v>406</v>
      </c>
      <c r="Z14" s="2831"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7"/>
      <c r="M15" s="2348"/>
      <c r="N15" s="2348"/>
      <c r="O15" s="2348"/>
      <c r="P15" s="3719"/>
      <c r="Q15" s="2830"/>
      <c r="R15" s="1322"/>
      <c r="S15" s="1323"/>
      <c r="T15" s="1322"/>
      <c r="U15" s="1323"/>
      <c r="V15" s="1322"/>
      <c r="W15" s="1323"/>
      <c r="X15" s="2829"/>
      <c r="Y15" s="3719"/>
      <c r="Z15" s="2831"/>
      <c r="AA15" s="1325">
        <v>1</v>
      </c>
      <c r="AB15" s="1325">
        <v>1</v>
      </c>
      <c r="AC15" s="1325">
        <v>1</v>
      </c>
    </row>
    <row r="16" spans="1:29" ht="216">
      <c r="A16" s="746"/>
      <c r="B16" s="1032"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799"/>
      <c r="F16" s="800">
        <f>SUMIF(65:65,E17,66:66)-SUMIF(65:65,C17,66:66)+100</f>
        <v>100</v>
      </c>
      <c r="G16" s="801"/>
      <c r="H16" s="797">
        <f>SUMIF(65:65,G17,66:66)-SUMIF(65:65,C17,66:66)+100</f>
        <v>100</v>
      </c>
      <c r="I16" s="799"/>
      <c r="J16" s="797">
        <f>SUMIF(65:65,I17,66:66)-SUMIF(65:65,C17,66:66)+100</f>
        <v>100</v>
      </c>
      <c r="K16" s="955"/>
      <c r="L16" s="2357"/>
      <c r="M16" s="2348"/>
      <c r="N16" s="2348"/>
      <c r="O16" s="2348"/>
      <c r="P16" s="3719"/>
      <c r="Q16" s="2830" t="str">
        <f>B16</f>
        <v>公共配套设施</v>
      </c>
      <c r="R16" s="1322" t="s">
        <v>65</v>
      </c>
      <c r="S16" s="1323">
        <f>F16</f>
        <v>100</v>
      </c>
      <c r="T16" s="1322" t="s">
        <v>65</v>
      </c>
      <c r="U16" s="1323">
        <f>H16</f>
        <v>100</v>
      </c>
      <c r="V16" s="1322" t="s">
        <v>65</v>
      </c>
      <c r="W16" s="1323">
        <f>J16</f>
        <v>100</v>
      </c>
      <c r="X16" s="2829"/>
      <c r="Y16" s="3719"/>
      <c r="Z16" s="2831"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7"/>
      <c r="M17" s="2348"/>
      <c r="N17" s="2348"/>
      <c r="O17" s="2348"/>
      <c r="P17" s="3719"/>
      <c r="Q17" s="2830"/>
      <c r="R17" s="1322"/>
      <c r="S17" s="1323"/>
      <c r="T17" s="1322"/>
      <c r="U17" s="1323"/>
      <c r="V17" s="1322"/>
      <c r="W17" s="1323"/>
      <c r="X17" s="2829"/>
      <c r="Y17" s="3719"/>
      <c r="Z17" s="2831"/>
      <c r="AA17" s="1325">
        <v>1</v>
      </c>
      <c r="AB17" s="1325">
        <v>1</v>
      </c>
      <c r="AC17" s="1325">
        <v>1</v>
      </c>
    </row>
    <row r="18" spans="1:29" ht="40.5">
      <c r="A18" s="746"/>
      <c r="B18" s="1034" t="s">
        <v>2661</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5"/>
      <c r="L18" s="2357"/>
      <c r="M18" s="2348"/>
      <c r="N18" s="2348"/>
      <c r="O18" s="2348"/>
      <c r="P18" s="3719"/>
      <c r="Q18" s="2830" t="str">
        <f>B18</f>
        <v>基础设施水平</v>
      </c>
      <c r="R18" s="1322" t="s">
        <v>65</v>
      </c>
      <c r="S18" s="1323">
        <f>F18</f>
        <v>100</v>
      </c>
      <c r="T18" s="1322" t="s">
        <v>65</v>
      </c>
      <c r="U18" s="1323">
        <f>H18</f>
        <v>100</v>
      </c>
      <c r="V18" s="1322" t="s">
        <v>65</v>
      </c>
      <c r="W18" s="1323">
        <f>J18</f>
        <v>100</v>
      </c>
      <c r="X18" s="2829"/>
      <c r="Y18" s="3719"/>
      <c r="Z18" s="2831"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6"/>
      <c r="L19" s="2357"/>
      <c r="M19" s="2348"/>
      <c r="N19" s="2348"/>
      <c r="O19" s="2348"/>
      <c r="P19" s="3719"/>
      <c r="Q19" s="2830"/>
      <c r="R19" s="1322"/>
      <c r="S19" s="1323"/>
      <c r="T19" s="1322"/>
      <c r="U19" s="1323"/>
      <c r="V19" s="1322"/>
      <c r="W19" s="1323"/>
      <c r="X19" s="2829"/>
      <c r="Y19" s="3719"/>
      <c r="Z19" s="2831"/>
      <c r="AA19" s="1325">
        <v>1</v>
      </c>
      <c r="AB19" s="1325">
        <v>1</v>
      </c>
      <c r="AC19" s="1325">
        <v>1</v>
      </c>
    </row>
    <row r="20" spans="1:29" ht="175.5">
      <c r="A20" s="746"/>
      <c r="B20" s="972"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799"/>
      <c r="F20" s="800">
        <f>SUMIF(69:69,E21,70:70)-SUMIF(69:69,C21,70:70)+100</f>
        <v>100</v>
      </c>
      <c r="G20" s="801"/>
      <c r="H20" s="792">
        <f>SUMIF(69:69,G21,70:70)-SUMIF(69:69,C21,70:70)+100</f>
        <v>100</v>
      </c>
      <c r="I20" s="794"/>
      <c r="J20" s="792">
        <f>SUMIF(69:69,I21,70:70)-SUMIF(69:69,C21,70:70)+100</f>
        <v>100</v>
      </c>
      <c r="K20" s="955"/>
      <c r="L20" s="2357"/>
      <c r="M20" s="2348"/>
      <c r="N20" s="2348"/>
      <c r="O20" s="2348"/>
      <c r="P20" s="3719"/>
      <c r="Q20" s="2830" t="str">
        <f>B20</f>
        <v>自然及人文环境</v>
      </c>
      <c r="R20" s="1322" t="s">
        <v>65</v>
      </c>
      <c r="S20" s="1323">
        <f>F20</f>
        <v>100</v>
      </c>
      <c r="T20" s="1322" t="s">
        <v>65</v>
      </c>
      <c r="U20" s="1323">
        <f>H20</f>
        <v>100</v>
      </c>
      <c r="V20" s="1322" t="s">
        <v>65</v>
      </c>
      <c r="W20" s="1323">
        <f>J20</f>
        <v>100</v>
      </c>
      <c r="X20" s="2829"/>
      <c r="Y20" s="3719"/>
      <c r="Z20" s="2831"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7"/>
      <c r="M21" s="2348"/>
      <c r="N21" s="2348"/>
      <c r="O21" s="2348"/>
      <c r="P21" s="3719"/>
      <c r="Q21" s="2830"/>
      <c r="R21" s="1322"/>
      <c r="S21" s="1323"/>
      <c r="T21" s="1322"/>
      <c r="U21" s="1323"/>
      <c r="V21" s="1322"/>
      <c r="W21" s="1323"/>
      <c r="X21" s="2829"/>
      <c r="Y21" s="3719"/>
      <c r="Z21" s="2831"/>
      <c r="AA21" s="1325">
        <v>1</v>
      </c>
      <c r="AB21" s="1325">
        <v>1</v>
      </c>
      <c r="AC21" s="1325">
        <v>1</v>
      </c>
    </row>
    <row r="22" spans="1:29" ht="15">
      <c r="A22" s="746"/>
      <c r="B22" s="972" t="s">
        <v>457</v>
      </c>
      <c r="C22" s="957"/>
      <c r="D22" s="792">
        <v>100</v>
      </c>
      <c r="E22" s="957"/>
      <c r="F22" s="803">
        <f>SUMIF(71:71,E22,72:72)-SUMIF(71:71,C22,72:72)+100</f>
        <v>100</v>
      </c>
      <c r="G22" s="957"/>
      <c r="H22" s="777">
        <f>SUMIF(71:71,G22,72:72)-SUMIF(71:71,C22,72:72)+100</f>
        <v>100</v>
      </c>
      <c r="I22" s="957"/>
      <c r="J22" s="777">
        <f>SUMIF(71:71,I22,72:72)-SUMIF(71:71,C22,72:72)+100</f>
        <v>100</v>
      </c>
      <c r="K22" s="953"/>
      <c r="L22" s="2357"/>
      <c r="M22" s="2348"/>
      <c r="N22" s="2348"/>
      <c r="O22" s="2348"/>
      <c r="P22" s="3719"/>
      <c r="Q22" s="2830" t="str">
        <f>B22</f>
        <v>楼层</v>
      </c>
      <c r="R22" s="1322" t="s">
        <v>65</v>
      </c>
      <c r="S22" s="1323">
        <f>F22</f>
        <v>100</v>
      </c>
      <c r="T22" s="1322" t="s">
        <v>65</v>
      </c>
      <c r="U22" s="1323">
        <f>H22</f>
        <v>100</v>
      </c>
      <c r="V22" s="1322" t="s">
        <v>65</v>
      </c>
      <c r="W22" s="1323">
        <f>J22</f>
        <v>100</v>
      </c>
      <c r="X22" s="2829"/>
      <c r="Y22" s="3719"/>
      <c r="Z22" s="2831"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7"/>
      <c r="M23" s="2348"/>
      <c r="N23" s="2348"/>
      <c r="O23" s="2348"/>
      <c r="P23" s="3719"/>
      <c r="Q23" s="2830">
        <f>B23</f>
        <v>111</v>
      </c>
      <c r="R23" s="1322" t="s">
        <v>65</v>
      </c>
      <c r="S23" s="1323">
        <f>F23</f>
        <v>100</v>
      </c>
      <c r="T23" s="1322" t="s">
        <v>65</v>
      </c>
      <c r="U23" s="1323">
        <f>H23</f>
        <v>100</v>
      </c>
      <c r="V23" s="1322" t="s">
        <v>65</v>
      </c>
      <c r="W23" s="1323">
        <f>J23</f>
        <v>100</v>
      </c>
      <c r="X23" s="2829"/>
      <c r="Y23" s="3719"/>
      <c r="Z23" s="2831">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7"/>
      <c r="M24" s="2348"/>
      <c r="N24" s="2348"/>
      <c r="O24" s="2348"/>
      <c r="P24" s="3719"/>
      <c r="Q24" s="2830">
        <f t="shared" ref="Q24:Q36" si="11">B24</f>
        <v>111</v>
      </c>
      <c r="R24" s="1322" t="s">
        <v>65</v>
      </c>
      <c r="S24" s="1323">
        <f>F24</f>
        <v>100</v>
      </c>
      <c r="T24" s="1322" t="s">
        <v>65</v>
      </c>
      <c r="U24" s="1323">
        <f>H24</f>
        <v>100</v>
      </c>
      <c r="V24" s="1322" t="s">
        <v>65</v>
      </c>
      <c r="W24" s="1323">
        <f>J24</f>
        <v>100</v>
      </c>
      <c r="X24" s="2829"/>
      <c r="Y24" s="3719"/>
      <c r="Z24" s="2831">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19"/>
      <c r="Q25" s="2828">
        <f t="shared" si="11"/>
        <v>111</v>
      </c>
      <c r="R25" s="1317" t="s">
        <v>65</v>
      </c>
      <c r="S25" s="1318">
        <f>F25</f>
        <v>100</v>
      </c>
      <c r="T25" s="1317" t="s">
        <v>65</v>
      </c>
      <c r="U25" s="1318">
        <f>H25</f>
        <v>100</v>
      </c>
      <c r="V25" s="1317" t="s">
        <v>65</v>
      </c>
      <c r="W25" s="1318">
        <f>J25</f>
        <v>100</v>
      </c>
      <c r="X25" s="1319"/>
      <c r="Y25" s="3719"/>
      <c r="Z25" s="343">
        <f>Q25</f>
        <v>111</v>
      </c>
      <c r="AA25" s="1325">
        <f>D25/F25</f>
        <v>1</v>
      </c>
      <c r="AB25" s="1325">
        <f>D25/H25</f>
        <v>1</v>
      </c>
      <c r="AC25" s="1325">
        <f>D25/J25</f>
        <v>1</v>
      </c>
    </row>
    <row r="26" spans="1:29" ht="15">
      <c r="A26" s="993" t="s">
        <v>407</v>
      </c>
      <c r="B26" s="359" t="s">
        <v>458</v>
      </c>
      <c r="C26" s="2767">
        <f>B1</f>
        <v>0</v>
      </c>
      <c r="D26" s="790">
        <v>100</v>
      </c>
      <c r="E26" s="789"/>
      <c r="F26" s="791">
        <f>SUMIF(79:79,E26,80:80)-SUMIF(79:79,C26,80:80)+100</f>
        <v>100</v>
      </c>
      <c r="G26" s="789"/>
      <c r="H26" s="790">
        <f>SUMIF(79:79,G26,80:80)-SUMIF(79:79,C26,80:80)+100</f>
        <v>100</v>
      </c>
      <c r="I26" s="789"/>
      <c r="J26" s="790">
        <f>SUMIF(79:79,I26,80:80)-SUMIF(79:79,C26,80:80)+100</f>
        <v>100</v>
      </c>
      <c r="K26" s="953"/>
      <c r="L26" s="2357"/>
      <c r="M26" s="2348"/>
      <c r="N26" s="2348"/>
      <c r="O26" s="2348"/>
      <c r="P26" s="3720" t="s">
        <v>408</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21" t="s">
        <v>408</v>
      </c>
      <c r="Z26" s="2831"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3">
        <f>SUMIF(81:81,E27,82:82)-SUMIF(81:81,C27,82:82)+100</f>
        <v>100</v>
      </c>
      <c r="G27" s="996"/>
      <c r="H27" s="777">
        <f>SUMIF(81:81,G27,82:82)-SUMIF(81:81,C27,82:82)+100</f>
        <v>100</v>
      </c>
      <c r="I27" s="996"/>
      <c r="J27" s="777">
        <f>SUMIF(81:81,I27,82:82)-SUMIF(81:81,C27,82:82)+100</f>
        <v>100</v>
      </c>
      <c r="K27" s="954"/>
      <c r="L27" s="2355"/>
      <c r="M27" s="2358"/>
      <c r="N27" s="2358"/>
      <c r="O27" s="2358"/>
      <c r="P27" s="3721"/>
      <c r="Q27" s="1326" t="str">
        <f t="shared" si="11"/>
        <v>项目停车位配比</v>
      </c>
      <c r="R27" s="1327" t="s">
        <v>65</v>
      </c>
      <c r="S27" s="1328">
        <f t="shared" si="12"/>
        <v>100</v>
      </c>
      <c r="T27" s="1327" t="s">
        <v>65</v>
      </c>
      <c r="U27" s="1328">
        <f t="shared" si="13"/>
        <v>100</v>
      </c>
      <c r="V27" s="1327" t="s">
        <v>65</v>
      </c>
      <c r="W27" s="1328">
        <f t="shared" si="14"/>
        <v>100</v>
      </c>
      <c r="X27" s="1329"/>
      <c r="Y27" s="3721"/>
      <c r="Z27" s="1330" t="str">
        <f t="shared" si="15"/>
        <v>项目停车位配比</v>
      </c>
      <c r="AA27" s="1325">
        <f t="shared" si="3"/>
        <v>1</v>
      </c>
      <c r="AB27" s="1325">
        <f t="shared" si="4"/>
        <v>1</v>
      </c>
      <c r="AC27" s="1325">
        <f t="shared" si="5"/>
        <v>1</v>
      </c>
    </row>
    <row r="28" spans="1:29" ht="15">
      <c r="A28" s="997"/>
      <c r="B28" s="995" t="s">
        <v>460</v>
      </c>
      <c r="C28" s="802"/>
      <c r="D28" s="777">
        <v>100</v>
      </c>
      <c r="E28" s="802"/>
      <c r="F28" s="803">
        <f>SUMIF(83:83,E28,84:84)-SUMIF(83:83,C28,84:84)+100</f>
        <v>100</v>
      </c>
      <c r="G28" s="802"/>
      <c r="H28" s="777">
        <f>SUMIF(83:83,G28,84:84)-SUMIF(83:83,C28,84:84)+100</f>
        <v>100</v>
      </c>
      <c r="I28" s="802"/>
      <c r="J28" s="777">
        <f>SUMIF(83:83,I28,84:84)-SUMIF(83:83,C28,84:84)+100</f>
        <v>100</v>
      </c>
      <c r="K28" s="953"/>
      <c r="L28" s="2357"/>
      <c r="M28" s="2348"/>
      <c r="N28" s="2348"/>
      <c r="O28" s="2348"/>
      <c r="P28" s="3721"/>
      <c r="Q28" s="2830" t="str">
        <f t="shared" si="11"/>
        <v>公共部分装修</v>
      </c>
      <c r="R28" s="1322" t="s">
        <v>65</v>
      </c>
      <c r="S28" s="1323">
        <f t="shared" si="12"/>
        <v>100</v>
      </c>
      <c r="T28" s="1322" t="s">
        <v>65</v>
      </c>
      <c r="U28" s="1323">
        <f t="shared" si="13"/>
        <v>100</v>
      </c>
      <c r="V28" s="1322" t="s">
        <v>65</v>
      </c>
      <c r="W28" s="1323">
        <f t="shared" si="14"/>
        <v>100</v>
      </c>
      <c r="X28" s="2829"/>
      <c r="Y28" s="3721"/>
      <c r="Z28" s="2831" t="str">
        <f t="shared" si="15"/>
        <v>公共部分装修</v>
      </c>
      <c r="AA28" s="1325">
        <f t="shared" si="3"/>
        <v>1</v>
      </c>
      <c r="AB28" s="1325">
        <f t="shared" si="4"/>
        <v>1</v>
      </c>
      <c r="AC28" s="1325">
        <f t="shared" si="5"/>
        <v>1</v>
      </c>
    </row>
    <row r="29" spans="1:29" ht="15">
      <c r="A29" s="997"/>
      <c r="B29" s="995" t="s">
        <v>461</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7"/>
      <c r="M29" s="2348"/>
      <c r="N29" s="2348"/>
      <c r="O29" s="2348"/>
      <c r="P29" s="3721"/>
      <c r="Q29" s="2830" t="str">
        <f t="shared" si="11"/>
        <v>成新率</v>
      </c>
      <c r="R29" s="1322" t="s">
        <v>65</v>
      </c>
      <c r="S29" s="1323" t="e">
        <f t="shared" si="12"/>
        <v>#N/A</v>
      </c>
      <c r="T29" s="1322" t="s">
        <v>65</v>
      </c>
      <c r="U29" s="1323" t="e">
        <f t="shared" si="13"/>
        <v>#N/A</v>
      </c>
      <c r="V29" s="1322" t="s">
        <v>65</v>
      </c>
      <c r="W29" s="1323" t="e">
        <f t="shared" si="14"/>
        <v>#N/A</v>
      </c>
      <c r="X29" s="2829"/>
      <c r="Y29" s="3721"/>
      <c r="Z29" s="2831" t="str">
        <f t="shared" si="15"/>
        <v>成新率</v>
      </c>
      <c r="AA29" s="1325" t="e">
        <f t="shared" si="3"/>
        <v>#N/A</v>
      </c>
      <c r="AB29" s="1325" t="e">
        <f t="shared" si="4"/>
        <v>#N/A</v>
      </c>
      <c r="AC29" s="1325" t="e">
        <f t="shared" si="5"/>
        <v>#N/A</v>
      </c>
    </row>
    <row r="30" spans="1:29" ht="15">
      <c r="A30" s="997"/>
      <c r="B30" s="995" t="s">
        <v>462</v>
      </c>
      <c r="C30" s="998"/>
      <c r="D30" s="777">
        <v>100</v>
      </c>
      <c r="E30" s="998"/>
      <c r="F30" s="803">
        <f>SUMIF(88:88,E30,89:89)-SUMIF(88:88,C30,89:89)+100</f>
        <v>100</v>
      </c>
      <c r="G30" s="998"/>
      <c r="H30" s="777">
        <f>SUMIF(88:88,E30,89:89)-SUMIF(88:88,C30,89:89)+100</f>
        <v>100</v>
      </c>
      <c r="I30" s="998"/>
      <c r="J30" s="777">
        <f>SUMIF(88:88,E30,89:89)-SUMIF(88:88,C30,89:89)+100</f>
        <v>100</v>
      </c>
      <c r="K30" s="953"/>
      <c r="L30" s="2357"/>
      <c r="M30" s="2348"/>
      <c r="N30" s="2348"/>
      <c r="O30" s="2348"/>
      <c r="P30" s="3721"/>
      <c r="Q30" s="2830" t="str">
        <f t="shared" si="11"/>
        <v>物业等级</v>
      </c>
      <c r="R30" s="1322" t="s">
        <v>65</v>
      </c>
      <c r="S30" s="1323">
        <f t="shared" si="12"/>
        <v>100</v>
      </c>
      <c r="T30" s="1322" t="s">
        <v>65</v>
      </c>
      <c r="U30" s="1323">
        <f t="shared" si="13"/>
        <v>100</v>
      </c>
      <c r="V30" s="1322" t="s">
        <v>65</v>
      </c>
      <c r="W30" s="1323">
        <f t="shared" si="14"/>
        <v>100</v>
      </c>
      <c r="X30" s="2829"/>
      <c r="Y30" s="3721"/>
      <c r="Z30" s="2831" t="str">
        <f t="shared" si="15"/>
        <v>物业等级</v>
      </c>
      <c r="AA30" s="1325">
        <f t="shared" si="3"/>
        <v>1</v>
      </c>
      <c r="AB30" s="1325">
        <f t="shared" si="4"/>
        <v>1</v>
      </c>
      <c r="AC30" s="1325">
        <f t="shared" si="5"/>
        <v>1</v>
      </c>
    </row>
    <row r="31" spans="1:29" s="406" customFormat="1" ht="15">
      <c r="A31" s="999"/>
      <c r="B31" s="995" t="s">
        <v>463</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9"/>
      <c r="M31" s="2350"/>
      <c r="N31" s="2350"/>
      <c r="O31" s="2350"/>
      <c r="P31" s="3721"/>
      <c r="Q31" s="2828" t="str">
        <f t="shared" si="11"/>
        <v>停车位面积</v>
      </c>
      <c r="R31" s="1317" t="s">
        <v>65</v>
      </c>
      <c r="S31" s="1318" t="e">
        <f t="shared" si="12"/>
        <v>#N/A</v>
      </c>
      <c r="T31" s="1317" t="s">
        <v>65</v>
      </c>
      <c r="U31" s="1318" t="e">
        <f t="shared" si="13"/>
        <v>#N/A</v>
      </c>
      <c r="V31" s="1317" t="s">
        <v>65</v>
      </c>
      <c r="W31" s="1318" t="e">
        <f t="shared" si="14"/>
        <v>#N/A</v>
      </c>
      <c r="X31" s="1319"/>
      <c r="Y31" s="3721"/>
      <c r="Z31" s="343" t="str">
        <f t="shared" si="15"/>
        <v>停车位面积</v>
      </c>
      <c r="AA31" s="1320" t="e">
        <f t="shared" si="3"/>
        <v>#N/A</v>
      </c>
      <c r="AB31" s="1320" t="e">
        <f t="shared" si="4"/>
        <v>#N/A</v>
      </c>
      <c r="AC31" s="1320" t="e">
        <f t="shared" si="5"/>
        <v>#N/A</v>
      </c>
    </row>
    <row r="32" spans="1:29" ht="15">
      <c r="A32" s="997"/>
      <c r="B32" s="995" t="s">
        <v>464</v>
      </c>
      <c r="C32" s="802"/>
      <c r="D32" s="777">
        <v>100</v>
      </c>
      <c r="E32" s="802"/>
      <c r="F32" s="803">
        <f>SUMIF(93:93,E32,94:94)-SUMIF(93:93,C32,94:94)+100</f>
        <v>100</v>
      </c>
      <c r="G32" s="802"/>
      <c r="H32" s="777">
        <f>SUMIF(93:93,G32,94:94)-SUMIF(93:93,C32,94:94)+100</f>
        <v>100</v>
      </c>
      <c r="I32" s="802"/>
      <c r="J32" s="777">
        <f>SUMIF(93:93,I32,94:94)-SUMIF(93:93,C32,94:94)+100</f>
        <v>100</v>
      </c>
      <c r="K32" s="953"/>
      <c r="L32" s="2357"/>
      <c r="M32" s="2348"/>
      <c r="N32" s="2348"/>
      <c r="O32" s="2348"/>
      <c r="P32" s="3721" t="s">
        <v>408</v>
      </c>
      <c r="Q32" s="2830" t="str">
        <f t="shared" si="11"/>
        <v>车位类型</v>
      </c>
      <c r="R32" s="1322" t="s">
        <v>65</v>
      </c>
      <c r="S32" s="1323">
        <f t="shared" si="12"/>
        <v>100</v>
      </c>
      <c r="T32" s="1322" t="s">
        <v>65</v>
      </c>
      <c r="U32" s="1323">
        <f t="shared" si="13"/>
        <v>100</v>
      </c>
      <c r="V32" s="1322" t="s">
        <v>65</v>
      </c>
      <c r="W32" s="1323">
        <f t="shared" si="14"/>
        <v>100</v>
      </c>
      <c r="X32" s="2829"/>
      <c r="Y32" s="3721" t="s">
        <v>408</v>
      </c>
      <c r="Z32" s="2831" t="str">
        <f t="shared" si="15"/>
        <v>车位类型</v>
      </c>
      <c r="AA32" s="1325">
        <f t="shared" si="3"/>
        <v>1</v>
      </c>
      <c r="AB32" s="1325">
        <f t="shared" si="4"/>
        <v>1</v>
      </c>
      <c r="AC32" s="1325">
        <f t="shared" si="5"/>
        <v>1</v>
      </c>
    </row>
    <row r="33" spans="1:29" ht="15">
      <c r="A33" s="997"/>
      <c r="B33" s="995" t="s">
        <v>465</v>
      </c>
      <c r="C33" s="802"/>
      <c r="D33" s="777">
        <v>100</v>
      </c>
      <c r="E33" s="802"/>
      <c r="F33" s="803">
        <f>SUMIF(95:95,E33,96:96)-SUMIF(95:95,C33,96:96)+100</f>
        <v>100</v>
      </c>
      <c r="G33" s="802"/>
      <c r="H33" s="777">
        <f>SUMIF(95:95,G33,96:96)-SUMIF(95:95,C33,96:96)+100</f>
        <v>100</v>
      </c>
      <c r="I33" s="802"/>
      <c r="J33" s="777">
        <f>SUMIF(95:95,I33,96:96)-SUMIF(95:95,C33,96:96)+100</f>
        <v>100</v>
      </c>
      <c r="K33" s="953"/>
      <c r="L33" s="2357"/>
      <c r="M33" s="2348"/>
      <c r="N33" s="2348"/>
      <c r="O33" s="2348"/>
      <c r="P33" s="3721"/>
      <c r="Q33" s="2830" t="str">
        <f t="shared" si="11"/>
        <v>是否直接入户</v>
      </c>
      <c r="R33" s="1322" t="s">
        <v>65</v>
      </c>
      <c r="S33" s="1323">
        <f t="shared" si="12"/>
        <v>100</v>
      </c>
      <c r="T33" s="1322" t="s">
        <v>65</v>
      </c>
      <c r="U33" s="1323">
        <f t="shared" si="13"/>
        <v>100</v>
      </c>
      <c r="V33" s="1322" t="s">
        <v>65</v>
      </c>
      <c r="W33" s="1323">
        <f t="shared" si="14"/>
        <v>100</v>
      </c>
      <c r="X33" s="2829"/>
      <c r="Y33" s="3721"/>
      <c r="Z33" s="2831"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7"/>
      <c r="M34" s="2348"/>
      <c r="N34" s="2348"/>
      <c r="O34" s="2348"/>
      <c r="P34" s="3721"/>
      <c r="Q34" s="2830">
        <f t="shared" si="11"/>
        <v>111</v>
      </c>
      <c r="R34" s="1322" t="s">
        <v>65</v>
      </c>
      <c r="S34" s="1323">
        <f t="shared" si="12"/>
        <v>100</v>
      </c>
      <c r="T34" s="1322" t="s">
        <v>65</v>
      </c>
      <c r="U34" s="1323">
        <f t="shared" si="13"/>
        <v>100</v>
      </c>
      <c r="V34" s="1322" t="s">
        <v>65</v>
      </c>
      <c r="W34" s="1323">
        <f t="shared" si="14"/>
        <v>100</v>
      </c>
      <c r="X34" s="2829"/>
      <c r="Y34" s="3721"/>
      <c r="Z34" s="2831">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5"/>
      <c r="M35" s="2358"/>
      <c r="N35" s="2358"/>
      <c r="O35" s="2358"/>
      <c r="P35" s="3721"/>
      <c r="Q35" s="1326">
        <f t="shared" si="11"/>
        <v>111</v>
      </c>
      <c r="R35" s="1327" t="s">
        <v>65</v>
      </c>
      <c r="S35" s="1328">
        <f t="shared" si="12"/>
        <v>100</v>
      </c>
      <c r="T35" s="1327" t="s">
        <v>65</v>
      </c>
      <c r="U35" s="1328">
        <f t="shared" si="13"/>
        <v>100</v>
      </c>
      <c r="V35" s="1327" t="s">
        <v>65</v>
      </c>
      <c r="W35" s="1328">
        <f t="shared" si="14"/>
        <v>100</v>
      </c>
      <c r="X35" s="1329"/>
      <c r="Y35" s="3721"/>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7"/>
      <c r="M36" s="2348"/>
      <c r="N36" s="2348"/>
      <c r="O36" s="2348"/>
      <c r="P36" s="3721"/>
      <c r="Q36" s="2830">
        <f t="shared" si="11"/>
        <v>111</v>
      </c>
      <c r="R36" s="1322" t="s">
        <v>65</v>
      </c>
      <c r="S36" s="1323">
        <f t="shared" si="12"/>
        <v>100</v>
      </c>
      <c r="T36" s="1322" t="s">
        <v>65</v>
      </c>
      <c r="U36" s="1323">
        <f t="shared" si="13"/>
        <v>100</v>
      </c>
      <c r="V36" s="1322" t="s">
        <v>65</v>
      </c>
      <c r="W36" s="1323">
        <f t="shared" si="14"/>
        <v>100</v>
      </c>
      <c r="X36" s="2829"/>
      <c r="Y36" s="3721"/>
      <c r="Z36" s="2831">
        <f t="shared" si="15"/>
        <v>111</v>
      </c>
      <c r="AA36" s="1325">
        <f t="shared" si="3"/>
        <v>1</v>
      </c>
      <c r="AB36" s="1325">
        <f t="shared" si="4"/>
        <v>1</v>
      </c>
      <c r="AC36" s="1325">
        <f t="shared" si="5"/>
        <v>1</v>
      </c>
    </row>
    <row r="37" spans="1:29" ht="15">
      <c r="A37" s="163" t="s">
        <v>2130</v>
      </c>
      <c r="B37" s="2098" t="s">
        <v>2131</v>
      </c>
      <c r="C37" s="2832" t="s">
        <v>23</v>
      </c>
      <c r="D37" s="2833"/>
      <c r="E37" s="2834"/>
      <c r="F37" s="2835"/>
      <c r="G37" s="2836"/>
      <c r="H37" s="2837"/>
      <c r="I37" s="2834"/>
      <c r="J37" s="2837"/>
      <c r="K37" s="960"/>
      <c r="L37" s="2360"/>
      <c r="M37" s="2361"/>
      <c r="N37" s="2348"/>
      <c r="O37" s="2361"/>
      <c r="P37" s="3713" t="str">
        <f>A37</f>
        <v>成交单价</v>
      </c>
      <c r="Q37" s="3713"/>
      <c r="R37" s="3714">
        <f>E37</f>
        <v>0</v>
      </c>
      <c r="S37" s="3714"/>
      <c r="T37" s="3714">
        <f>G37</f>
        <v>0</v>
      </c>
      <c r="U37" s="3714"/>
      <c r="V37" s="3714">
        <f>I37</f>
        <v>0</v>
      </c>
      <c r="W37" s="3714"/>
      <c r="X37" s="1305"/>
      <c r="Y37" s="1331"/>
      <c r="Z37" s="1305"/>
      <c r="AA37" s="1305"/>
      <c r="AB37" s="1305"/>
      <c r="AC37" s="1305"/>
    </row>
    <row r="38" spans="1:29" ht="15.75" thickBot="1">
      <c r="A38" s="827" t="s">
        <v>410</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1305"/>
      <c r="Y38" s="1305"/>
      <c r="Z38" s="1305"/>
      <c r="AA38" s="1305"/>
      <c r="AB38" s="1305"/>
      <c r="AC38" s="1305"/>
    </row>
    <row r="39" spans="1:29" ht="15.75" thickBot="1">
      <c r="A39" s="833" t="s">
        <v>3019</v>
      </c>
      <c r="B39" s="834"/>
      <c r="C39" s="2842" t="e">
        <f>R39</f>
        <v>#DIV/0!</v>
      </c>
      <c r="D39" s="2842"/>
      <c r="E39" s="2842"/>
      <c r="F39" s="2842"/>
      <c r="G39" s="2842"/>
      <c r="H39" s="2842"/>
      <c r="I39" s="2842"/>
      <c r="J39" s="2842"/>
      <c r="K39" s="962"/>
      <c r="L39" s="2360"/>
      <c r="M39" s="2361"/>
      <c r="N39" s="2361"/>
      <c r="O39" s="2361"/>
      <c r="P39" s="3715" t="str">
        <f>A39</f>
        <v>估价对象XX用房的比较价值（楼面单价，元/平方米）</v>
      </c>
      <c r="Q39" s="3716"/>
      <c r="R39" s="3717" t="e">
        <f>IF(F1="售价",ROUND(AVERAGE(R38:V38),0),ROUND(AVERAGE(R38:V38),1))</f>
        <v>#DIV/0!</v>
      </c>
      <c r="S39" s="3717"/>
      <c r="T39" s="3717"/>
      <c r="U39" s="3717"/>
      <c r="V39" s="3717"/>
      <c r="W39" s="3717"/>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414</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6"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6" customFormat="1" ht="15.75" thickBot="1">
      <c r="A50" s="856" t="s">
        <v>415</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6" customFormat="1" ht="15">
      <c r="A51" s="862" t="s">
        <v>399</v>
      </c>
      <c r="B51" s="851"/>
      <c r="C51" s="863" t="s">
        <v>416</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6"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417</v>
      </c>
      <c r="B53" s="869" t="s">
        <v>418</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2633</v>
      </c>
      <c r="C65" s="919" t="s">
        <v>424</v>
      </c>
      <c r="D65" s="919" t="s">
        <v>425</v>
      </c>
      <c r="E65" s="919" t="s">
        <v>426</v>
      </c>
      <c r="F65" s="919" t="s">
        <v>427</v>
      </c>
      <c r="G65" s="919" t="s">
        <v>428</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2663</v>
      </c>
      <c r="C67" s="213" t="s">
        <v>2653</v>
      </c>
      <c r="D67" s="213" t="s">
        <v>2654</v>
      </c>
      <c r="E67" s="213" t="s">
        <v>2655</v>
      </c>
      <c r="F67" s="213" t="s">
        <v>2656</v>
      </c>
      <c r="G67" s="213" t="s">
        <v>2657</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6"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6"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6"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407</v>
      </c>
      <c r="B79" s="869" t="s">
        <v>466</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433</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471</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445</v>
      </c>
      <c r="B2" s="2843" t="e">
        <f ca="1">IF(C2="——",ROUND(C37*D3/10000,0),ROUND(C37*D3/10000,0)-D2)</f>
        <v>#DIV/0!</v>
      </c>
      <c r="C2" s="3095"/>
      <c r="D2" s="2341" t="e">
        <f ca="1">SUMIF(INDIRECT("'"&amp;F2&amp;"'"&amp;"!A:A"),"承租人权益价值",INDIRECT("'"&amp;F2&amp;"'"&amp;"!c:c"))</f>
        <v>#REF!</v>
      </c>
      <c r="E2" s="3096" t="s">
        <v>865</v>
      </c>
      <c r="F2" s="3097"/>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448</v>
      </c>
      <c r="B4" s="744"/>
      <c r="C4" s="3725" t="s">
        <v>449</v>
      </c>
      <c r="D4" s="3726"/>
      <c r="E4" s="3727" t="s">
        <v>450</v>
      </c>
      <c r="F4" s="3728"/>
      <c r="G4" s="3725" t="s">
        <v>451</v>
      </c>
      <c r="H4" s="3726"/>
      <c r="I4" s="3725" t="s">
        <v>452</v>
      </c>
      <c r="J4" s="3726"/>
      <c r="K4" s="951" t="s">
        <v>453</v>
      </c>
      <c r="L4" s="2347"/>
      <c r="M4" s="2348"/>
      <c r="N4" s="2348"/>
      <c r="O4" s="2348"/>
      <c r="P4" s="3729" t="s">
        <v>454</v>
      </c>
      <c r="Q4" s="3730"/>
      <c r="R4" s="3735" t="s">
        <v>450</v>
      </c>
      <c r="S4" s="3736"/>
      <c r="T4" s="3735" t="s">
        <v>451</v>
      </c>
      <c r="U4" s="3736"/>
      <c r="V4" s="3741" t="s">
        <v>452</v>
      </c>
      <c r="W4" s="3741"/>
      <c r="X4" s="1316"/>
      <c r="Y4" s="3735" t="s">
        <v>454</v>
      </c>
      <c r="Z4" s="3736"/>
      <c r="AA4" s="3722" t="s">
        <v>450</v>
      </c>
      <c r="AB4" s="3723" t="s">
        <v>451</v>
      </c>
      <c r="AC4" s="3722" t="s">
        <v>452</v>
      </c>
    </row>
    <row r="5" spans="1:29" ht="15">
      <c r="A5" s="746"/>
      <c r="B5" s="747"/>
      <c r="C5" s="3688" t="s">
        <v>1127</v>
      </c>
      <c r="D5" s="3689"/>
      <c r="E5" s="3695" t="s">
        <v>1128</v>
      </c>
      <c r="F5" s="3696"/>
      <c r="G5" s="3688" t="s">
        <v>61</v>
      </c>
      <c r="H5" s="3689"/>
      <c r="I5" s="3688" t="s">
        <v>1129</v>
      </c>
      <c r="J5" s="3689"/>
      <c r="K5" s="951"/>
      <c r="L5" s="2347"/>
      <c r="M5" s="2348"/>
      <c r="N5" s="2348"/>
      <c r="O5" s="2348"/>
      <c r="P5" s="3731"/>
      <c r="Q5" s="3732"/>
      <c r="R5" s="3737"/>
      <c r="S5" s="3738"/>
      <c r="T5" s="3737"/>
      <c r="U5" s="3738"/>
      <c r="V5" s="3741"/>
      <c r="W5" s="3741"/>
      <c r="X5" s="1316"/>
      <c r="Y5" s="3737"/>
      <c r="Z5" s="3738"/>
      <c r="AA5" s="3723"/>
      <c r="AB5" s="3723"/>
      <c r="AC5" s="3723"/>
    </row>
    <row r="6" spans="1:29" ht="15.75" thickBot="1">
      <c r="A6" s="748"/>
      <c r="B6" s="749"/>
      <c r="C6" s="3686" t="s">
        <v>1130</v>
      </c>
      <c r="D6" s="3687"/>
      <c r="E6" s="3693" t="s">
        <v>1130</v>
      </c>
      <c r="F6" s="3694"/>
      <c r="G6" s="3686" t="s">
        <v>1130</v>
      </c>
      <c r="H6" s="3687"/>
      <c r="I6" s="3686" t="s">
        <v>1130</v>
      </c>
      <c r="J6" s="3687"/>
      <c r="K6" s="951" t="s">
        <v>396</v>
      </c>
      <c r="L6" s="2347"/>
      <c r="M6" s="2348"/>
      <c r="N6" s="2348"/>
      <c r="O6" s="2348"/>
      <c r="P6" s="3733"/>
      <c r="Q6" s="3734"/>
      <c r="R6" s="3737"/>
      <c r="S6" s="3738"/>
      <c r="T6" s="3739"/>
      <c r="U6" s="3740"/>
      <c r="V6" s="3741"/>
      <c r="W6" s="3741"/>
      <c r="X6" s="1316"/>
      <c r="Y6" s="3739"/>
      <c r="Z6" s="3740"/>
      <c r="AA6" s="3724"/>
      <c r="AB6" s="3724"/>
      <c r="AC6" s="3724"/>
    </row>
    <row r="7" spans="1:29" s="406" customFormat="1" ht="15.75" thickBot="1">
      <c r="A7" s="750" t="s">
        <v>397</v>
      </c>
      <c r="B7" s="751"/>
      <c r="C7" s="752">
        <f>'数据-取费表'!B2</f>
        <v>42986</v>
      </c>
      <c r="D7" s="753">
        <v>100</v>
      </c>
      <c r="E7" s="1015"/>
      <c r="F7" s="755">
        <f>SUMIF(46:46,YEAR(E7)&amp;"-"&amp;MONTH(E7),47:47)</f>
        <v>0</v>
      </c>
      <c r="G7" s="1016"/>
      <c r="H7" s="753">
        <f>SUMIF(46:46,YEAR(G7)&amp;"-"&amp;MONTH(G7),47:47)</f>
        <v>0</v>
      </c>
      <c r="I7" s="1015"/>
      <c r="J7" s="753">
        <f>SUMIF(46:46,YEAR(I7)&amp;"-"&amp;MONTH(I7),47:47)</f>
        <v>0</v>
      </c>
      <c r="K7" s="952"/>
      <c r="L7" s="2349"/>
      <c r="M7" s="2350"/>
      <c r="N7" s="2350"/>
      <c r="O7" s="2350"/>
      <c r="P7" s="3746" t="s">
        <v>398</v>
      </c>
      <c r="Q7" s="3748"/>
      <c r="R7" s="1317" t="s">
        <v>65</v>
      </c>
      <c r="S7" s="1318">
        <f t="shared" ref="S7:S14" si="0">F7</f>
        <v>0</v>
      </c>
      <c r="T7" s="1317" t="s">
        <v>65</v>
      </c>
      <c r="U7" s="1318">
        <f t="shared" ref="U7:U14" si="1">H7</f>
        <v>0</v>
      </c>
      <c r="V7" s="1317" t="s">
        <v>65</v>
      </c>
      <c r="W7" s="1318">
        <f t="shared" ref="W7:W14" si="2">J7</f>
        <v>0</v>
      </c>
      <c r="X7" s="1319"/>
      <c r="Y7" s="3746" t="s">
        <v>398</v>
      </c>
      <c r="Z7" s="3747"/>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49"/>
      <c r="M9" s="2350"/>
      <c r="N9" s="2350"/>
      <c r="O9" s="2351"/>
      <c r="P9" s="3713" t="s">
        <v>401</v>
      </c>
      <c r="Q9" s="296" t="str">
        <f t="shared" ref="Q9:Q14" si="6">B9</f>
        <v>用途</v>
      </c>
      <c r="R9" s="1317" t="s">
        <v>65</v>
      </c>
      <c r="S9" s="1318">
        <f t="shared" si="0"/>
        <v>100</v>
      </c>
      <c r="T9" s="1317" t="s">
        <v>65</v>
      </c>
      <c r="U9" s="1318">
        <f t="shared" si="1"/>
        <v>100</v>
      </c>
      <c r="V9" s="1317" t="s">
        <v>65</v>
      </c>
      <c r="W9" s="1318">
        <f t="shared" si="2"/>
        <v>100</v>
      </c>
      <c r="X9" s="1319"/>
      <c r="Y9" s="3519" t="s">
        <v>402</v>
      </c>
      <c r="Z9" s="343" t="str">
        <f t="shared" ref="Z9:Z14" si="7">Q9</f>
        <v>用途</v>
      </c>
      <c r="AA9" s="1320">
        <f t="shared" si="3"/>
        <v>1</v>
      </c>
      <c r="AB9" s="1320">
        <f t="shared" si="4"/>
        <v>1</v>
      </c>
      <c r="AC9" s="1320">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3"/>
      <c r="L10" s="2352"/>
      <c r="M10" s="2353"/>
      <c r="N10" s="2353"/>
      <c r="O10" s="2354"/>
      <c r="P10" s="3713"/>
      <c r="Q10" s="296" t="str">
        <f t="shared" si="6"/>
        <v>土地使用年限（年）</v>
      </c>
      <c r="R10" s="1317" t="s">
        <v>65</v>
      </c>
      <c r="S10" s="1318">
        <f t="shared" si="0"/>
        <v>100</v>
      </c>
      <c r="T10" s="1317" t="s">
        <v>65</v>
      </c>
      <c r="U10" s="1318">
        <f t="shared" si="1"/>
        <v>100</v>
      </c>
      <c r="V10" s="1317" t="s">
        <v>65</v>
      </c>
      <c r="W10" s="1318">
        <f t="shared" si="2"/>
        <v>100</v>
      </c>
      <c r="X10" s="1319"/>
      <c r="Y10" s="3519"/>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5"/>
      <c r="M11" s="2348"/>
      <c r="N11" s="2348"/>
      <c r="O11" s="2356"/>
      <c r="P11" s="3713"/>
      <c r="Q11" s="296">
        <f t="shared" si="6"/>
        <v>111</v>
      </c>
      <c r="R11" s="1317" t="s">
        <v>65</v>
      </c>
      <c r="S11" s="1318">
        <f t="shared" si="0"/>
        <v>100</v>
      </c>
      <c r="T11" s="1317" t="s">
        <v>65</v>
      </c>
      <c r="U11" s="1318">
        <f t="shared" si="1"/>
        <v>100</v>
      </c>
      <c r="V11" s="1317" t="s">
        <v>65</v>
      </c>
      <c r="W11" s="1318">
        <f t="shared" si="2"/>
        <v>100</v>
      </c>
      <c r="X11" s="1319"/>
      <c r="Y11" s="3519"/>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9"/>
      <c r="M12" s="2350"/>
      <c r="N12" s="2350"/>
      <c r="O12" s="2351"/>
      <c r="P12" s="3713"/>
      <c r="Q12" s="296">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75.5">
      <c r="A14" s="782" t="s">
        <v>405</v>
      </c>
      <c r="B14" s="358"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95"/>
      <c r="F14" s="785">
        <f>SUMIF(61:61,E15,62:62)-SUMIF(61:61,C15,62:62)+100</f>
        <v>100</v>
      </c>
      <c r="G14" s="96"/>
      <c r="H14" s="783">
        <f>SUMIF(61:61,G15,62:62)-SUMIF(61:61,C15,62:62)+100</f>
        <v>100</v>
      </c>
      <c r="I14" s="95"/>
      <c r="J14" s="783">
        <f>SUMIF(61:61,I15,62:62)-SUMIF(61:61,C15,62:62)+100</f>
        <v>100</v>
      </c>
      <c r="K14" s="955"/>
      <c r="L14" s="2357"/>
      <c r="M14" s="2348"/>
      <c r="N14" s="2348"/>
      <c r="O14" s="2356"/>
      <c r="P14" s="3718" t="s">
        <v>406</v>
      </c>
      <c r="Q14" s="1321" t="str">
        <f t="shared" si="6"/>
        <v>交通便捷度</v>
      </c>
      <c r="R14" s="1322" t="s">
        <v>65</v>
      </c>
      <c r="S14" s="1323">
        <f t="shared" si="0"/>
        <v>100</v>
      </c>
      <c r="T14" s="1322" t="s">
        <v>65</v>
      </c>
      <c r="U14" s="1323">
        <f t="shared" si="1"/>
        <v>100</v>
      </c>
      <c r="V14" s="1322" t="s">
        <v>65</v>
      </c>
      <c r="W14" s="1323">
        <f t="shared" si="2"/>
        <v>100</v>
      </c>
      <c r="X14" s="1316"/>
      <c r="Y14" s="3718" t="s">
        <v>406</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7"/>
      <c r="M15" s="2348"/>
      <c r="N15" s="2348"/>
      <c r="O15" s="2356"/>
      <c r="P15" s="3719"/>
      <c r="Q15" s="1321"/>
      <c r="R15" s="1322"/>
      <c r="S15" s="1323"/>
      <c r="T15" s="1322"/>
      <c r="U15" s="1323"/>
      <c r="V15" s="1322"/>
      <c r="W15" s="1323"/>
      <c r="X15" s="1316"/>
      <c r="Y15" s="3719"/>
      <c r="Z15" s="1324"/>
      <c r="AA15" s="1325">
        <v>1</v>
      </c>
      <c r="AB15" s="1325">
        <v>1</v>
      </c>
      <c r="AC15" s="1325">
        <v>1</v>
      </c>
    </row>
    <row r="16" spans="1:29" ht="216">
      <c r="A16" s="770"/>
      <c r="B16" s="1354"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105"/>
      <c r="F16" s="800">
        <f>SUMIF(63:63,E17,64:64)-SUMIF(63:63,C17,64:64)+100</f>
        <v>100</v>
      </c>
      <c r="G16" s="106"/>
      <c r="H16" s="797">
        <f>SUMIF(63:63,G17,64:64)-SUMIF(63:63,C17,64:64)+100</f>
        <v>100</v>
      </c>
      <c r="I16" s="105"/>
      <c r="J16" s="797">
        <f>SUMIF(63:63,I17,64:64)-SUMIF(63:63,C17,64:64)+100</f>
        <v>100</v>
      </c>
      <c r="K16" s="955"/>
      <c r="L16" s="2357"/>
      <c r="M16" s="2348"/>
      <c r="N16" s="2348"/>
      <c r="O16" s="2356"/>
      <c r="P16" s="3719"/>
      <c r="Q16" s="1321" t="str">
        <f>B16</f>
        <v>公共配套设施</v>
      </c>
      <c r="R16" s="1322" t="s">
        <v>65</v>
      </c>
      <c r="S16" s="1323">
        <f>F16</f>
        <v>100</v>
      </c>
      <c r="T16" s="1322" t="s">
        <v>65</v>
      </c>
      <c r="U16" s="1323">
        <f>H16</f>
        <v>100</v>
      </c>
      <c r="V16" s="1322" t="s">
        <v>65</v>
      </c>
      <c r="W16" s="1323">
        <f>J16</f>
        <v>100</v>
      </c>
      <c r="X16" s="1316"/>
      <c r="Y16" s="3719"/>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7"/>
      <c r="M17" s="2348"/>
      <c r="N17" s="2348"/>
      <c r="O17" s="2356"/>
      <c r="P17" s="3719"/>
      <c r="Q17" s="1321"/>
      <c r="R17" s="1322"/>
      <c r="S17" s="1323"/>
      <c r="T17" s="1322"/>
      <c r="U17" s="1323"/>
      <c r="V17" s="1322"/>
      <c r="W17" s="1323"/>
      <c r="X17" s="1316"/>
      <c r="Y17" s="3719"/>
      <c r="Z17" s="1324"/>
      <c r="AA17" s="1325">
        <v>1</v>
      </c>
      <c r="AB17" s="1325">
        <v>1</v>
      </c>
      <c r="AC17" s="1325">
        <v>1</v>
      </c>
    </row>
    <row r="18" spans="1:29" ht="40.5">
      <c r="A18" s="770"/>
      <c r="B18" s="1410" t="s">
        <v>2664</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5"/>
      <c r="L18" s="2357"/>
      <c r="M18" s="2348"/>
      <c r="N18" s="2348"/>
      <c r="O18" s="2356"/>
      <c r="P18" s="3719"/>
      <c r="Q18" s="2748" t="str">
        <f>B18</f>
        <v>基础设施水平</v>
      </c>
      <c r="R18" s="1322" t="s">
        <v>65</v>
      </c>
      <c r="S18" s="1323">
        <f>F18</f>
        <v>100</v>
      </c>
      <c r="T18" s="1322" t="s">
        <v>65</v>
      </c>
      <c r="U18" s="1323">
        <f>H18</f>
        <v>100</v>
      </c>
      <c r="V18" s="1322" t="s">
        <v>65</v>
      </c>
      <c r="W18" s="1323">
        <f>J18</f>
        <v>100</v>
      </c>
      <c r="X18" s="2750"/>
      <c r="Y18" s="3719"/>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719"/>
      <c r="Q19" s="2748"/>
      <c r="R19" s="1322"/>
      <c r="S19" s="1323"/>
      <c r="T19" s="1322"/>
      <c r="U19" s="1323"/>
      <c r="V19" s="1322"/>
      <c r="W19" s="1323"/>
      <c r="X19" s="2750"/>
      <c r="Y19" s="3719"/>
      <c r="Z19" s="2749"/>
      <c r="AA19" s="1325">
        <v>1</v>
      </c>
      <c r="AB19" s="1325">
        <v>1</v>
      </c>
      <c r="AC19" s="1325">
        <v>1</v>
      </c>
    </row>
    <row r="20" spans="1:29" ht="175.5">
      <c r="A20" s="770"/>
      <c r="B20" s="79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105"/>
      <c r="F20" s="800">
        <f>SUMIF(67:67,E21,68:68)-SUMIF(67:67,C21,68:68)+100</f>
        <v>100</v>
      </c>
      <c r="G20" s="106"/>
      <c r="H20" s="792">
        <f>SUMIF(67:67,G21,68:68)-SUMIF(67:67,C21,68:68)+100</f>
        <v>100</v>
      </c>
      <c r="I20" s="100"/>
      <c r="J20" s="792">
        <f>SUMIF(67:67,I21,68:68)-SUMIF(67:67,C21,68:68)+100</f>
        <v>100</v>
      </c>
      <c r="K20" s="955"/>
      <c r="L20" s="2357"/>
      <c r="M20" s="2348"/>
      <c r="N20" s="2348"/>
      <c r="O20" s="2356"/>
      <c r="P20" s="3719"/>
      <c r="Q20" s="1321" t="str">
        <f>B20</f>
        <v>自然及人文环境</v>
      </c>
      <c r="R20" s="1322" t="s">
        <v>65</v>
      </c>
      <c r="S20" s="1323">
        <f>F20</f>
        <v>100</v>
      </c>
      <c r="T20" s="1322" t="s">
        <v>65</v>
      </c>
      <c r="U20" s="1323">
        <f>H20</f>
        <v>100</v>
      </c>
      <c r="V20" s="1322" t="s">
        <v>65</v>
      </c>
      <c r="W20" s="1323">
        <f>J20</f>
        <v>100</v>
      </c>
      <c r="X20" s="1316"/>
      <c r="Y20" s="3719"/>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7"/>
      <c r="M21" s="2348"/>
      <c r="N21" s="2348"/>
      <c r="O21" s="2356"/>
      <c r="P21" s="3719"/>
      <c r="Q21" s="1321"/>
      <c r="R21" s="1322"/>
      <c r="S21" s="1323"/>
      <c r="T21" s="1322"/>
      <c r="U21" s="1323"/>
      <c r="V21" s="1322"/>
      <c r="W21" s="1323"/>
      <c r="X21" s="1316"/>
      <c r="Y21" s="3719"/>
      <c r="Z21" s="1324"/>
      <c r="AA21" s="1325">
        <v>1</v>
      </c>
      <c r="AB21" s="1325">
        <v>1</v>
      </c>
      <c r="AC21" s="1325">
        <v>1</v>
      </c>
    </row>
    <row r="22" spans="1:29" ht="15">
      <c r="A22" s="770"/>
      <c r="B22" s="793" t="s">
        <v>457</v>
      </c>
      <c r="C22" s="957"/>
      <c r="D22" s="792">
        <v>100</v>
      </c>
      <c r="E22" s="957"/>
      <c r="F22" s="803">
        <f>SUMIF(69:69,E22,70:70)-SUMIF(69:69,C22,70:70)+100</f>
        <v>100</v>
      </c>
      <c r="G22" s="957"/>
      <c r="H22" s="777">
        <f>SUMIF(69:69,G22,70:70)-SUMIF(69:69,C22,70:70)+100</f>
        <v>100</v>
      </c>
      <c r="I22" s="957"/>
      <c r="J22" s="777">
        <f>SUMIF(69:69,I22,70:70)-SUMIF(69:69,C22,70:70)+100</f>
        <v>100</v>
      </c>
      <c r="K22" s="953"/>
      <c r="L22" s="2357"/>
      <c r="M22" s="2348"/>
      <c r="N22" s="2348"/>
      <c r="O22" s="2356"/>
      <c r="P22" s="3719"/>
      <c r="Q22" s="1321" t="str">
        <f>B22</f>
        <v>楼层</v>
      </c>
      <c r="R22" s="1322" t="s">
        <v>65</v>
      </c>
      <c r="S22" s="1323">
        <f>F22</f>
        <v>100</v>
      </c>
      <c r="T22" s="1322" t="s">
        <v>65</v>
      </c>
      <c r="U22" s="1323">
        <f>H22</f>
        <v>100</v>
      </c>
      <c r="V22" s="1322" t="s">
        <v>65</v>
      </c>
      <c r="W22" s="1323">
        <f>J22</f>
        <v>100</v>
      </c>
      <c r="X22" s="1316"/>
      <c r="Y22" s="3719"/>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7"/>
      <c r="M23" s="2348"/>
      <c r="N23" s="2348"/>
      <c r="O23" s="2356"/>
      <c r="P23" s="3719"/>
      <c r="Q23" s="1321">
        <f>B23</f>
        <v>111</v>
      </c>
      <c r="R23" s="1322" t="s">
        <v>65</v>
      </c>
      <c r="S23" s="1323">
        <f>F23</f>
        <v>100</v>
      </c>
      <c r="T23" s="1322" t="s">
        <v>65</v>
      </c>
      <c r="U23" s="1323">
        <f>H23</f>
        <v>100</v>
      </c>
      <c r="V23" s="1322" t="s">
        <v>65</v>
      </c>
      <c r="W23" s="1323">
        <f>J23</f>
        <v>100</v>
      </c>
      <c r="X23" s="1316"/>
      <c r="Y23" s="3719"/>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7"/>
      <c r="M24" s="2348"/>
      <c r="N24" s="2348"/>
      <c r="O24" s="2356"/>
      <c r="P24" s="3719"/>
      <c r="Q24" s="1321">
        <f t="shared" ref="Q24:Q34" si="11">B24</f>
        <v>111</v>
      </c>
      <c r="R24" s="1322" t="s">
        <v>65</v>
      </c>
      <c r="S24" s="1323">
        <f>F24</f>
        <v>100</v>
      </c>
      <c r="T24" s="1322" t="s">
        <v>65</v>
      </c>
      <c r="U24" s="1323">
        <f>H24</f>
        <v>100</v>
      </c>
      <c r="V24" s="1322" t="s">
        <v>65</v>
      </c>
      <c r="W24" s="1323">
        <f>J24</f>
        <v>100</v>
      </c>
      <c r="X24" s="1316"/>
      <c r="Y24" s="3719"/>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19"/>
      <c r="Q25" s="296">
        <f t="shared" si="11"/>
        <v>111</v>
      </c>
      <c r="R25" s="1317" t="s">
        <v>65</v>
      </c>
      <c r="S25" s="1318">
        <f>F25</f>
        <v>100</v>
      </c>
      <c r="T25" s="1317" t="s">
        <v>65</v>
      </c>
      <c r="U25" s="1318">
        <f>H25</f>
        <v>100</v>
      </c>
      <c r="V25" s="1317" t="s">
        <v>65</v>
      </c>
      <c r="W25" s="1318">
        <f>J25</f>
        <v>100</v>
      </c>
      <c r="X25" s="1319"/>
      <c r="Y25" s="3719"/>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20"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21" t="s">
        <v>473</v>
      </c>
      <c r="Z26" s="1324" t="str">
        <f t="shared" ref="Z26:Z34" si="15">Q26</f>
        <v>公共部分装修</v>
      </c>
      <c r="AA26" s="1325">
        <f t="shared" si="3"/>
        <v>1</v>
      </c>
      <c r="AB26" s="1325">
        <f t="shared" si="4"/>
        <v>1</v>
      </c>
      <c r="AC26" s="1325">
        <f t="shared" si="5"/>
        <v>1</v>
      </c>
    </row>
    <row r="27" spans="1:29" s="812" customFormat="1" ht="15">
      <c r="A27" s="809"/>
      <c r="B27" s="764" t="s">
        <v>461</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5"/>
      <c r="M27" s="2358"/>
      <c r="N27" s="2358"/>
      <c r="O27" s="2359"/>
      <c r="P27" s="3721"/>
      <c r="Q27" s="1326" t="str">
        <f t="shared" si="11"/>
        <v>成新率</v>
      </c>
      <c r="R27" s="1327" t="s">
        <v>65</v>
      </c>
      <c r="S27" s="1328" t="e">
        <f t="shared" si="12"/>
        <v>#N/A</v>
      </c>
      <c r="T27" s="1327" t="s">
        <v>65</v>
      </c>
      <c r="U27" s="1328" t="e">
        <f t="shared" si="13"/>
        <v>#N/A</v>
      </c>
      <c r="V27" s="1327" t="s">
        <v>65</v>
      </c>
      <c r="W27" s="1328" t="e">
        <f t="shared" si="14"/>
        <v>#N/A</v>
      </c>
      <c r="X27" s="1329"/>
      <c r="Y27" s="3721"/>
      <c r="Z27" s="1330" t="str">
        <f t="shared" si="15"/>
        <v>成新率</v>
      </c>
      <c r="AA27" s="1325" t="e">
        <f t="shared" si="3"/>
        <v>#N/A</v>
      </c>
      <c r="AB27" s="1325" t="e">
        <f t="shared" si="4"/>
        <v>#N/A</v>
      </c>
      <c r="AC27" s="1325" t="e">
        <f t="shared" si="5"/>
        <v>#N/A</v>
      </c>
    </row>
    <row r="28" spans="1:29" ht="15">
      <c r="A28" s="813"/>
      <c r="B28" s="764" t="s">
        <v>462</v>
      </c>
      <c r="C28" s="107"/>
      <c r="D28" s="777">
        <v>100</v>
      </c>
      <c r="E28" s="107"/>
      <c r="F28" s="803">
        <f>SUMIF(82:82,E28,83:83)-SUMIF(82:82,C28,83:83)+100</f>
        <v>100</v>
      </c>
      <c r="G28" s="107"/>
      <c r="H28" s="777">
        <f>SUMIF(82:82,G28,83:83)-SUMIF(82:82,C28,83:83)+100</f>
        <v>100</v>
      </c>
      <c r="I28" s="107"/>
      <c r="J28" s="777">
        <f>SUMIF(82:82,I28,83:83)-SUMIF(82:82,C28,83:83)+100</f>
        <v>100</v>
      </c>
      <c r="K28" s="953"/>
      <c r="L28" s="2357"/>
      <c r="M28" s="2348"/>
      <c r="N28" s="2348"/>
      <c r="O28" s="2356"/>
      <c r="P28" s="3721"/>
      <c r="Q28" s="1321" t="str">
        <f t="shared" si="11"/>
        <v>物业等级</v>
      </c>
      <c r="R28" s="1322" t="s">
        <v>65</v>
      </c>
      <c r="S28" s="1323">
        <f t="shared" si="12"/>
        <v>100</v>
      </c>
      <c r="T28" s="1322" t="s">
        <v>65</v>
      </c>
      <c r="U28" s="1323">
        <f t="shared" si="13"/>
        <v>100</v>
      </c>
      <c r="V28" s="1322" t="s">
        <v>65</v>
      </c>
      <c r="W28" s="1323">
        <f t="shared" si="14"/>
        <v>100</v>
      </c>
      <c r="X28" s="1316"/>
      <c r="Y28" s="3721"/>
      <c r="Z28" s="1324" t="str">
        <f t="shared" si="15"/>
        <v>物业等级</v>
      </c>
      <c r="AA28" s="1325">
        <f t="shared" si="3"/>
        <v>1</v>
      </c>
      <c r="AB28" s="1325">
        <f t="shared" si="4"/>
        <v>1</v>
      </c>
      <c r="AC28" s="1325">
        <f t="shared" si="5"/>
        <v>1</v>
      </c>
    </row>
    <row r="29" spans="1:29" ht="15">
      <c r="A29" s="813"/>
      <c r="B29" s="764" t="s">
        <v>474</v>
      </c>
      <c r="C29" s="1411"/>
      <c r="D29" s="777">
        <v>100</v>
      </c>
      <c r="E29" s="1411"/>
      <c r="F29" s="803">
        <f>SUMIF(84:84,E29,85:85)-SUMIF(84:84,C29,85:85)+100</f>
        <v>100</v>
      </c>
      <c r="G29" s="1411"/>
      <c r="H29" s="777">
        <f>SUMIF(84:84,G29,85:85)-SUMIF(84:84,C29,85:85)+100</f>
        <v>100</v>
      </c>
      <c r="I29" s="1411"/>
      <c r="J29" s="777">
        <f>SUMIF(84:84,I29,85:85)-SUMIF(84:84,C29,85:85)+100</f>
        <v>100</v>
      </c>
      <c r="K29" s="953"/>
      <c r="L29" s="2357"/>
      <c r="M29" s="2348"/>
      <c r="N29" s="2348"/>
      <c r="O29" s="2356"/>
      <c r="P29" s="3721"/>
      <c r="Q29" s="1321" t="str">
        <f t="shared" si="11"/>
        <v>有无电梯</v>
      </c>
      <c r="R29" s="1322" t="s">
        <v>65</v>
      </c>
      <c r="S29" s="1323">
        <f t="shared" si="12"/>
        <v>100</v>
      </c>
      <c r="T29" s="1322" t="s">
        <v>65</v>
      </c>
      <c r="U29" s="1323">
        <f t="shared" si="13"/>
        <v>100</v>
      </c>
      <c r="V29" s="1322" t="s">
        <v>65</v>
      </c>
      <c r="W29" s="1323">
        <f t="shared" si="14"/>
        <v>100</v>
      </c>
      <c r="X29" s="1316"/>
      <c r="Y29" s="3721"/>
      <c r="Z29" s="1324" t="str">
        <f t="shared" si="15"/>
        <v>有无电梯</v>
      </c>
      <c r="AA29" s="1325">
        <f t="shared" si="3"/>
        <v>1</v>
      </c>
      <c r="AB29" s="1325">
        <f t="shared" si="4"/>
        <v>1</v>
      </c>
      <c r="AC29" s="1325">
        <f t="shared" si="5"/>
        <v>1</v>
      </c>
    </row>
    <row r="30" spans="1:29" ht="15">
      <c r="A30" s="813"/>
      <c r="B30" s="764" t="s">
        <v>475</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7"/>
      <c r="M30" s="2348"/>
      <c r="N30" s="2348"/>
      <c r="O30" s="2356"/>
      <c r="P30" s="3721"/>
      <c r="Q30" s="1321" t="str">
        <f t="shared" si="11"/>
        <v>建筑面积</v>
      </c>
      <c r="R30" s="1322" t="s">
        <v>65</v>
      </c>
      <c r="S30" s="1323" t="e">
        <f t="shared" si="12"/>
        <v>#N/A</v>
      </c>
      <c r="T30" s="1322" t="s">
        <v>65</v>
      </c>
      <c r="U30" s="1323" t="e">
        <f t="shared" si="13"/>
        <v>#N/A</v>
      </c>
      <c r="V30" s="1322" t="s">
        <v>65</v>
      </c>
      <c r="W30" s="1323" t="e">
        <f t="shared" si="14"/>
        <v>#N/A</v>
      </c>
      <c r="X30" s="1316"/>
      <c r="Y30" s="3721"/>
      <c r="Z30" s="1324" t="str">
        <f t="shared" si="15"/>
        <v>建筑面积</v>
      </c>
      <c r="AA30" s="1325" t="e">
        <f t="shared" si="3"/>
        <v>#N/A</v>
      </c>
      <c r="AB30" s="1325" t="e">
        <f t="shared" si="4"/>
        <v>#N/A</v>
      </c>
      <c r="AC30" s="1325" t="e">
        <f t="shared" si="5"/>
        <v>#N/A</v>
      </c>
    </row>
    <row r="31" spans="1:29" s="406" customFormat="1" ht="15">
      <c r="A31" s="814"/>
      <c r="B31" s="764" t="s">
        <v>476</v>
      </c>
      <c r="C31" s="1411"/>
      <c r="D31" s="425">
        <v>100</v>
      </c>
      <c r="E31" s="1411"/>
      <c r="F31" s="803">
        <f>SUMIF(89:89,E31,90:90)-SUMIF(89:89,C31,90:90)+100</f>
        <v>100</v>
      </c>
      <c r="G31" s="1411"/>
      <c r="H31" s="777">
        <f>SUMIF(89:89,G31,90:90)-SUMIF(89:89,C31,90:90)+100</f>
        <v>100</v>
      </c>
      <c r="I31" s="1411"/>
      <c r="J31" s="777">
        <f>SUMIF(89:89,I31,90:90)-SUMIF(89:89,C31,90:90)+100</f>
        <v>100</v>
      </c>
      <c r="K31" s="953"/>
      <c r="L31" s="2349"/>
      <c r="M31" s="2350"/>
      <c r="N31" s="2350"/>
      <c r="O31" s="2351"/>
      <c r="P31" s="3721"/>
      <c r="Q31" s="296" t="str">
        <f t="shared" si="11"/>
        <v>是否封闭</v>
      </c>
      <c r="R31" s="1317" t="s">
        <v>65</v>
      </c>
      <c r="S31" s="1318">
        <f t="shared" si="12"/>
        <v>100</v>
      </c>
      <c r="T31" s="1317" t="s">
        <v>65</v>
      </c>
      <c r="U31" s="1318">
        <f t="shared" si="13"/>
        <v>100</v>
      </c>
      <c r="V31" s="1317" t="s">
        <v>65</v>
      </c>
      <c r="W31" s="1318">
        <f t="shared" si="14"/>
        <v>100</v>
      </c>
      <c r="X31" s="1319"/>
      <c r="Y31" s="3721"/>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7"/>
      <c r="M32" s="2348"/>
      <c r="N32" s="2348"/>
      <c r="O32" s="2356"/>
      <c r="P32" s="3721" t="s">
        <v>408</v>
      </c>
      <c r="Q32" s="1321">
        <f t="shared" si="11"/>
        <v>111</v>
      </c>
      <c r="R32" s="1322" t="s">
        <v>65</v>
      </c>
      <c r="S32" s="1323">
        <f t="shared" si="12"/>
        <v>100</v>
      </c>
      <c r="T32" s="1322" t="s">
        <v>65</v>
      </c>
      <c r="U32" s="1323">
        <f t="shared" si="13"/>
        <v>100</v>
      </c>
      <c r="V32" s="1322" t="s">
        <v>65</v>
      </c>
      <c r="W32" s="1323">
        <f t="shared" si="14"/>
        <v>100</v>
      </c>
      <c r="X32" s="1316"/>
      <c r="Y32" s="3721" t="s">
        <v>408</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7"/>
      <c r="M33" s="2348"/>
      <c r="N33" s="2348"/>
      <c r="O33" s="2356"/>
      <c r="P33" s="3721"/>
      <c r="Q33" s="1321">
        <f t="shared" si="11"/>
        <v>111</v>
      </c>
      <c r="R33" s="1322" t="s">
        <v>65</v>
      </c>
      <c r="S33" s="1323">
        <f t="shared" si="12"/>
        <v>100</v>
      </c>
      <c r="T33" s="1322" t="s">
        <v>65</v>
      </c>
      <c r="U33" s="1323">
        <f t="shared" si="13"/>
        <v>100</v>
      </c>
      <c r="V33" s="1322" t="s">
        <v>65</v>
      </c>
      <c r="W33" s="1323">
        <f t="shared" si="14"/>
        <v>100</v>
      </c>
      <c r="X33" s="1316"/>
      <c r="Y33" s="3721"/>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7"/>
      <c r="M34" s="2348"/>
      <c r="N34" s="2348"/>
      <c r="O34" s="2356"/>
      <c r="P34" s="3721"/>
      <c r="Q34" s="1321">
        <f t="shared" si="11"/>
        <v>111</v>
      </c>
      <c r="R34" s="1322" t="s">
        <v>65</v>
      </c>
      <c r="S34" s="1323">
        <f t="shared" si="12"/>
        <v>100</v>
      </c>
      <c r="T34" s="1322" t="s">
        <v>65</v>
      </c>
      <c r="U34" s="1323">
        <f t="shared" si="13"/>
        <v>100</v>
      </c>
      <c r="V34" s="1322" t="s">
        <v>65</v>
      </c>
      <c r="W34" s="1323">
        <f t="shared" si="14"/>
        <v>100</v>
      </c>
      <c r="X34" s="1316"/>
      <c r="Y34" s="3721"/>
      <c r="Z34" s="1324">
        <f t="shared" si="15"/>
        <v>111</v>
      </c>
      <c r="AA34" s="1325">
        <f t="shared" si="3"/>
        <v>1</v>
      </c>
      <c r="AB34" s="1325">
        <f t="shared" si="4"/>
        <v>1</v>
      </c>
      <c r="AC34" s="1325">
        <f t="shared" si="5"/>
        <v>1</v>
      </c>
    </row>
    <row r="35" spans="1:29" ht="15">
      <c r="A35" s="820" t="s">
        <v>409</v>
      </c>
      <c r="B35" s="821"/>
      <c r="C35" s="2832" t="s">
        <v>23</v>
      </c>
      <c r="D35" s="2833"/>
      <c r="E35" s="2834"/>
      <c r="F35" s="2835"/>
      <c r="G35" s="2836"/>
      <c r="H35" s="2837"/>
      <c r="I35" s="2834"/>
      <c r="J35" s="2837"/>
      <c r="K35" s="1398"/>
      <c r="L35" s="2360"/>
      <c r="M35" s="2361"/>
      <c r="N35" s="2348"/>
      <c r="O35" s="2361"/>
      <c r="P35" s="3713" t="str">
        <f>A35</f>
        <v>成交单价（元/平方米）</v>
      </c>
      <c r="Q35" s="3713"/>
      <c r="R35" s="3714">
        <f>E35</f>
        <v>0</v>
      </c>
      <c r="S35" s="3714"/>
      <c r="T35" s="3714">
        <f>G35</f>
        <v>0</v>
      </c>
      <c r="U35" s="3714"/>
      <c r="V35" s="3714">
        <f>I35</f>
        <v>0</v>
      </c>
      <c r="W35" s="3714"/>
      <c r="X35" s="1305"/>
      <c r="Y35" s="1331"/>
      <c r="Z35" s="1305"/>
      <c r="AA35" s="1305"/>
      <c r="AB35" s="1305"/>
      <c r="AC35" s="1305"/>
    </row>
    <row r="36" spans="1:29" ht="15.75" thickBot="1">
      <c r="A36" s="827" t="s">
        <v>410</v>
      </c>
      <c r="B36" s="828"/>
      <c r="C36" s="2838" t="e">
        <f>R37</f>
        <v>#DIV/0!</v>
      </c>
      <c r="D36" s="2839"/>
      <c r="E36" s="2840" t="e">
        <f>R36</f>
        <v>#DIV/0!</v>
      </c>
      <c r="F36" s="2840"/>
      <c r="G36" s="2838" t="e">
        <f>T36</f>
        <v>#DIV/0!</v>
      </c>
      <c r="H36" s="2839"/>
      <c r="I36" s="2840" t="e">
        <f>V36</f>
        <v>#DIV/0!</v>
      </c>
      <c r="J36" s="2839"/>
      <c r="K36" s="1399"/>
      <c r="L36" s="2360"/>
      <c r="M36" s="2361"/>
      <c r="N36" s="2348"/>
      <c r="O36" s="2361"/>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1305"/>
      <c r="Y36" s="1305"/>
      <c r="Z36" s="1305"/>
      <c r="AA36" s="1305"/>
      <c r="AB36" s="1305"/>
      <c r="AC36" s="1305"/>
    </row>
    <row r="37" spans="1:29" ht="15.75" thickBot="1">
      <c r="A37" s="115" t="s">
        <v>3013</v>
      </c>
      <c r="B37" s="834"/>
      <c r="C37" s="2842" t="e">
        <f>R37</f>
        <v>#DIV/0!</v>
      </c>
      <c r="D37" s="2842"/>
      <c r="E37" s="2842"/>
      <c r="F37" s="2842"/>
      <c r="G37" s="2842"/>
      <c r="H37" s="2842"/>
      <c r="I37" s="2842"/>
      <c r="J37" s="2842"/>
      <c r="K37" s="1400"/>
      <c r="L37" s="2360"/>
      <c r="M37" s="2361"/>
      <c r="N37" s="2361"/>
      <c r="O37" s="2361"/>
      <c r="P37" s="3715" t="str">
        <f>A37</f>
        <v>估价对象XX用房的比较价值（楼面单价，元/平方米）</v>
      </c>
      <c r="Q37" s="3716"/>
      <c r="R37" s="3717" t="e">
        <f>IF(F1="售价",ROUND(AVERAGE(R36:V36),0),ROUND(AVERAGE(R36:V36),1))</f>
        <v>#DIV/0!</v>
      </c>
      <c r="S37" s="3717"/>
      <c r="T37" s="3717"/>
      <c r="U37" s="3717"/>
      <c r="V37" s="3717"/>
      <c r="W37" s="3717"/>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3">
        <f>B11</f>
        <v>111</v>
      </c>
      <c r="C55" s="126"/>
      <c r="D55" s="126"/>
      <c r="E55" s="126"/>
      <c r="F55" s="126"/>
      <c r="G55" s="126"/>
      <c r="H55" s="126"/>
      <c r="I55" s="126"/>
      <c r="J55" s="126"/>
      <c r="K55" s="127"/>
      <c r="L55" s="128"/>
      <c r="M55" s="129"/>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2663</v>
      </c>
      <c r="C65" s="213" t="s">
        <v>2653</v>
      </c>
      <c r="D65" s="213" t="s">
        <v>2654</v>
      </c>
      <c r="E65" s="213" t="s">
        <v>2655</v>
      </c>
      <c r="F65" s="213" t="s">
        <v>2656</v>
      </c>
      <c r="G65" s="213" t="s">
        <v>2657</v>
      </c>
      <c r="H65" s="880"/>
      <c r="I65" s="880"/>
      <c r="J65" s="880"/>
      <c r="K65" s="880"/>
      <c r="L65" s="880"/>
      <c r="M65" s="2764"/>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0"/>
      <c r="O66" s="2370"/>
      <c r="P66" s="333"/>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432</v>
      </c>
      <c r="C69" s="139"/>
      <c r="D69" s="139"/>
      <c r="E69" s="139"/>
      <c r="F69" s="139"/>
      <c r="G69" s="139"/>
      <c r="H69" s="131"/>
      <c r="I69" s="131"/>
      <c r="J69" s="131"/>
      <c r="K69" s="132"/>
      <c r="L69" s="133"/>
      <c r="M69" s="134"/>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6" customFormat="1" ht="15.75" thickTop="1">
      <c r="A71" s="920"/>
      <c r="B71" s="1052">
        <f>B23</f>
        <v>111</v>
      </c>
      <c r="C71" s="126"/>
      <c r="D71" s="126"/>
      <c r="E71" s="126"/>
      <c r="F71" s="126"/>
      <c r="G71" s="139"/>
      <c r="H71" s="139"/>
      <c r="I71" s="139"/>
      <c r="J71" s="139"/>
      <c r="K71" s="139"/>
      <c r="L71" s="1382"/>
      <c r="M71" s="1383"/>
      <c r="N71" s="2368"/>
      <c r="O71" s="2368"/>
      <c r="P71" s="333"/>
      <c r="Q71" s="845"/>
    </row>
    <row r="72" spans="1:17" s="406" customFormat="1" ht="15.75" thickBot="1">
      <c r="A72" s="920"/>
      <c r="B72" s="1053"/>
      <c r="C72" s="901"/>
      <c r="D72" s="877"/>
      <c r="E72" s="877"/>
      <c r="F72" s="877"/>
      <c r="G72" s="877"/>
      <c r="H72" s="877"/>
      <c r="I72" s="877"/>
      <c r="J72" s="877"/>
      <c r="K72" s="877"/>
      <c r="L72" s="877"/>
      <c r="M72" s="878"/>
      <c r="N72" s="2370"/>
      <c r="O72" s="2370"/>
      <c r="P72" s="333"/>
      <c r="Q72" s="845"/>
    </row>
    <row r="73" spans="1:17" s="406" customFormat="1" ht="15.75" thickTop="1">
      <c r="A73" s="920"/>
      <c r="B73" s="1052">
        <f>B24</f>
        <v>111</v>
      </c>
      <c r="C73" s="126"/>
      <c r="D73" s="126"/>
      <c r="E73" s="126"/>
      <c r="F73" s="126"/>
      <c r="G73" s="139"/>
      <c r="H73" s="139"/>
      <c r="I73" s="139"/>
      <c r="J73" s="139"/>
      <c r="K73" s="139"/>
      <c r="L73" s="139"/>
      <c r="M73" s="1383"/>
      <c r="N73" s="2368"/>
      <c r="O73" s="2368"/>
      <c r="P73" s="333"/>
      <c r="Q73" s="845"/>
    </row>
    <row r="74" spans="1:17" s="406"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477</v>
      </c>
      <c r="C84" s="139"/>
      <c r="D84" s="139"/>
      <c r="E84" s="139"/>
      <c r="F84" s="139"/>
      <c r="G84" s="139"/>
      <c r="H84" s="139"/>
      <c r="I84" s="131"/>
      <c r="J84" s="131"/>
      <c r="K84" s="132"/>
      <c r="L84" s="133"/>
      <c r="M84" s="134"/>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6"/>
      <c r="D93" s="126"/>
      <c r="E93" s="126"/>
      <c r="F93" s="126"/>
      <c r="G93" s="139"/>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46" sqref="E4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40496</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13977</v>
      </c>
      <c r="C3" s="578" t="s">
        <v>2883</v>
      </c>
      <c r="D3" s="3051">
        <f>'数据-汇总表'!F27</f>
        <v>28973.439999999999</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389</v>
      </c>
      <c r="B4" s="744"/>
      <c r="C4" s="3725" t="s">
        <v>390</v>
      </c>
      <c r="D4" s="3726"/>
      <c r="E4" s="3727" t="s">
        <v>391</v>
      </c>
      <c r="F4" s="3728"/>
      <c r="G4" s="3725" t="s">
        <v>392</v>
      </c>
      <c r="H4" s="3726"/>
      <c r="I4" s="3725" t="s">
        <v>393</v>
      </c>
      <c r="J4" s="3726"/>
      <c r="K4" s="951" t="s">
        <v>394</v>
      </c>
      <c r="L4" s="2347"/>
      <c r="M4" s="2348"/>
      <c r="N4" s="2348"/>
      <c r="O4" s="2348"/>
      <c r="P4" s="3729" t="s">
        <v>395</v>
      </c>
      <c r="Q4" s="3730"/>
      <c r="R4" s="3735" t="s">
        <v>391</v>
      </c>
      <c r="S4" s="3736"/>
      <c r="T4" s="3735" t="s">
        <v>392</v>
      </c>
      <c r="U4" s="3736"/>
      <c r="V4" s="3741" t="s">
        <v>393</v>
      </c>
      <c r="W4" s="3741"/>
      <c r="X4" s="1316"/>
      <c r="Y4" s="3735" t="s">
        <v>395</v>
      </c>
      <c r="Z4" s="3736"/>
      <c r="AA4" s="3722" t="s">
        <v>391</v>
      </c>
      <c r="AB4" s="3723" t="s">
        <v>392</v>
      </c>
      <c r="AC4" s="3722" t="s">
        <v>393</v>
      </c>
    </row>
    <row r="5" spans="1:30" ht="66.75" customHeight="1">
      <c r="A5" s="746"/>
      <c r="B5" s="747"/>
      <c r="C5" s="3688" t="s">
        <v>1127</v>
      </c>
      <c r="D5" s="3689"/>
      <c r="E5" s="3695" t="str">
        <f>土地案例!A14</f>
        <v>北京市门头沟区龙泉镇MC00-0010-6004地块B2商务用地</v>
      </c>
      <c r="F5" s="3696"/>
      <c r="G5" s="3688" t="str">
        <f>土地案例!A15</f>
        <v>门头沟区门头沟新城MC00-0017-6002地块(S1线区域组团02地块西北侧地块)</v>
      </c>
      <c r="H5" s="3689"/>
      <c r="I5" s="3688" t="str">
        <f>土地案例!A8</f>
        <v>顺义区李桥镇SY00-0029-6012地块</v>
      </c>
      <c r="J5" s="3689"/>
      <c r="K5" s="951"/>
      <c r="L5" s="2347"/>
      <c r="M5" s="2348"/>
      <c r="N5" s="2348"/>
      <c r="O5" s="2348"/>
      <c r="P5" s="3731"/>
      <c r="Q5" s="3732"/>
      <c r="R5" s="3737"/>
      <c r="S5" s="3738"/>
      <c r="T5" s="3737"/>
      <c r="U5" s="3738"/>
      <c r="V5" s="3741"/>
      <c r="W5" s="3741"/>
      <c r="X5" s="1316"/>
      <c r="Y5" s="3737"/>
      <c r="Z5" s="3738"/>
      <c r="AA5" s="3723"/>
      <c r="AB5" s="3723"/>
      <c r="AC5" s="3723"/>
    </row>
    <row r="6" spans="1:30" ht="21" customHeight="1" thickBot="1">
      <c r="A6" s="748"/>
      <c r="B6" s="749"/>
      <c r="C6" s="3686" t="s">
        <v>1130</v>
      </c>
      <c r="D6" s="3687"/>
      <c r="E6" s="3693" t="s">
        <v>1130</v>
      </c>
      <c r="F6" s="3694"/>
      <c r="G6" s="3686" t="s">
        <v>1130</v>
      </c>
      <c r="H6" s="3687"/>
      <c r="I6" s="3686" t="s">
        <v>1130</v>
      </c>
      <c r="J6" s="3687"/>
      <c r="K6" s="951" t="s">
        <v>396</v>
      </c>
      <c r="L6" s="2347"/>
      <c r="M6" s="2348"/>
      <c r="N6" s="2348"/>
      <c r="O6" s="2348"/>
      <c r="P6" s="3733"/>
      <c r="Q6" s="3734"/>
      <c r="R6" s="3737"/>
      <c r="S6" s="3738"/>
      <c r="T6" s="3739"/>
      <c r="U6" s="3740"/>
      <c r="V6" s="3741"/>
      <c r="W6" s="3741"/>
      <c r="X6" s="1316"/>
      <c r="Y6" s="3739"/>
      <c r="Z6" s="3740"/>
      <c r="AA6" s="3724"/>
      <c r="AB6" s="3724"/>
      <c r="AC6" s="3724"/>
    </row>
    <row r="7" spans="1:30" s="406" customFormat="1" ht="15.75" thickBot="1">
      <c r="A7" s="750" t="s">
        <v>397</v>
      </c>
      <c r="B7" s="751"/>
      <c r="C7" s="752">
        <f>'数据-取费表'!B2</f>
        <v>42986</v>
      </c>
      <c r="D7" s="753">
        <v>100</v>
      </c>
      <c r="E7" s="1015" t="str">
        <f>土地案例!H14</f>
        <v>2017-09-07</v>
      </c>
      <c r="F7" s="755">
        <f>SUMIF(70:70,YEAR(E7)&amp;"-"&amp;INT((MONTH(E7)+2)/3),71:71)</f>
        <v>100</v>
      </c>
      <c r="G7" s="1016" t="str">
        <f>土地案例!H15</f>
        <v>2015-02-10</v>
      </c>
      <c r="H7" s="753">
        <f>SUMIF(70:70,YEAR(G7)&amp;"-"&amp;INT((MONTH(G7)+2)/3),71:71)</f>
        <v>85</v>
      </c>
      <c r="I7" s="1016" t="str">
        <f>土地案例!H8</f>
        <v>2016-01-27</v>
      </c>
      <c r="J7" s="753">
        <f>SUMIF(70:70,YEAR(I7)&amp;"-"&amp;INT((MONTH(I7)+2)/3),71:71)</f>
        <v>91</v>
      </c>
      <c r="K7" s="952"/>
      <c r="L7" s="2349"/>
      <c r="M7" s="2350"/>
      <c r="N7" s="2350"/>
      <c r="O7" s="2350"/>
      <c r="P7" s="3746" t="s">
        <v>398</v>
      </c>
      <c r="Q7" s="3748"/>
      <c r="R7" s="1317" t="s">
        <v>65</v>
      </c>
      <c r="S7" s="1318">
        <f t="shared" ref="S7:S15" si="0">F7</f>
        <v>100</v>
      </c>
      <c r="T7" s="1317" t="s">
        <v>65</v>
      </c>
      <c r="U7" s="1318">
        <f t="shared" ref="U7:U15" si="1">H7</f>
        <v>85</v>
      </c>
      <c r="V7" s="1317" t="s">
        <v>65</v>
      </c>
      <c r="W7" s="1318">
        <f t="shared" ref="W7:W15" si="2">J7</f>
        <v>91</v>
      </c>
      <c r="X7" s="1319"/>
      <c r="Y7" s="3746" t="s">
        <v>398</v>
      </c>
      <c r="Z7" s="3747"/>
      <c r="AA7" s="1320">
        <f>D7/F7</f>
        <v>1</v>
      </c>
      <c r="AB7" s="1320">
        <f>D7/H7</f>
        <v>1.1764705882352942</v>
      </c>
      <c r="AC7" s="1320">
        <f>D7/J7</f>
        <v>1.098901098901099</v>
      </c>
    </row>
    <row r="8" spans="1:30" s="406" customFormat="1" ht="15.75" thickBot="1">
      <c r="A8" s="750" t="s">
        <v>399</v>
      </c>
      <c r="B8" s="751"/>
      <c r="C8" s="1018" t="s">
        <v>155</v>
      </c>
      <c r="D8" s="753">
        <v>100</v>
      </c>
      <c r="E8" s="1018" t="s">
        <v>3274</v>
      </c>
      <c r="F8" s="755">
        <f>SUMIF(73:73,E8,74:74)-SUMIF(73:73,C8,74:74)+100</f>
        <v>100</v>
      </c>
      <c r="G8" s="1018" t="s">
        <v>3274</v>
      </c>
      <c r="H8" s="753">
        <f>SUMIF(73:73,G8,74:74)-SUMIF(73:73,C8,74:74)+100</f>
        <v>100</v>
      </c>
      <c r="I8" s="1018" t="s">
        <v>3274</v>
      </c>
      <c r="J8" s="753">
        <f>SUMIF(73:73,I8,74:74)-SUMIF(73:73,C8,74:74)+100</f>
        <v>100</v>
      </c>
      <c r="K8" s="952"/>
      <c r="L8" s="2349"/>
      <c r="M8" s="2350"/>
      <c r="N8" s="2350"/>
      <c r="O8" s="2350"/>
      <c r="P8" s="3746" t="s">
        <v>434</v>
      </c>
      <c r="Q8" s="3747"/>
      <c r="R8" s="1317" t="s">
        <v>65</v>
      </c>
      <c r="S8" s="1318">
        <f t="shared" si="0"/>
        <v>100</v>
      </c>
      <c r="T8" s="1317" t="s">
        <v>65</v>
      </c>
      <c r="U8" s="1318">
        <f t="shared" si="1"/>
        <v>100</v>
      </c>
      <c r="V8" s="1317" t="s">
        <v>65</v>
      </c>
      <c r="W8" s="1318">
        <f t="shared" si="2"/>
        <v>100</v>
      </c>
      <c r="X8" s="1319"/>
      <c r="Y8" s="3746" t="s">
        <v>434</v>
      </c>
      <c r="Z8" s="3747"/>
      <c r="AA8" s="1320">
        <f t="shared" ref="AA8:AA45" si="3">D8/F8</f>
        <v>1</v>
      </c>
      <c r="AB8" s="1320">
        <f t="shared" ref="AB8:AB45" si="4">D8/H8</f>
        <v>1</v>
      </c>
      <c r="AC8" s="1320">
        <f t="shared" ref="AC8:AC45" si="5">D8/J8</f>
        <v>1</v>
      </c>
    </row>
    <row r="9" spans="1:30" s="406" customFormat="1">
      <c r="A9" s="757" t="s">
        <v>400</v>
      </c>
      <c r="B9" s="360" t="s">
        <v>418</v>
      </c>
      <c r="C9" s="1020" t="s">
        <v>3224</v>
      </c>
      <c r="D9" s="424">
        <v>100</v>
      </c>
      <c r="E9" s="1020" t="s">
        <v>3275</v>
      </c>
      <c r="F9" s="424">
        <f>SUMIF(75:75,E9,76:76)-SUMIF(75:75,C9,76:76)+100</f>
        <v>105</v>
      </c>
      <c r="G9" s="1020" t="s">
        <v>3276</v>
      </c>
      <c r="H9" s="424">
        <f>SUMIF(75:75,G9,76:76)-SUMIF(75:75,C9,76:76)+100</f>
        <v>105</v>
      </c>
      <c r="I9" s="1020" t="s">
        <v>3277</v>
      </c>
      <c r="J9" s="424">
        <f>SUMIF(75:75,I9,76:76)-SUMIF(75:75,C9,76:76)+100</f>
        <v>105</v>
      </c>
      <c r="K9" s="952"/>
      <c r="L9" s="2349"/>
      <c r="M9" s="2350"/>
      <c r="N9" s="2350"/>
      <c r="O9" s="2351"/>
      <c r="P9" s="3713" t="s">
        <v>401</v>
      </c>
      <c r="Q9" s="296" t="str">
        <f t="shared" ref="Q9:Q15" si="6">B9</f>
        <v>用途</v>
      </c>
      <c r="R9" s="1317" t="s">
        <v>65</v>
      </c>
      <c r="S9" s="1318">
        <f t="shared" si="0"/>
        <v>105</v>
      </c>
      <c r="T9" s="1317" t="s">
        <v>65</v>
      </c>
      <c r="U9" s="1318">
        <f t="shared" si="1"/>
        <v>105</v>
      </c>
      <c r="V9" s="1317" t="s">
        <v>65</v>
      </c>
      <c r="W9" s="1318">
        <f t="shared" si="2"/>
        <v>105</v>
      </c>
      <c r="X9" s="1319"/>
      <c r="Y9" s="3519" t="s">
        <v>402</v>
      </c>
      <c r="Z9" s="343" t="str">
        <f t="shared" ref="Z9:Z15" si="7">Q9</f>
        <v>用途</v>
      </c>
      <c r="AA9" s="1320">
        <f t="shared" si="3"/>
        <v>0.95238095238095233</v>
      </c>
      <c r="AB9" s="1320">
        <f t="shared" si="4"/>
        <v>0.95238095238095233</v>
      </c>
      <c r="AC9" s="1320">
        <f t="shared" si="5"/>
        <v>0.95238095238095233</v>
      </c>
    </row>
    <row r="10" spans="1:30" s="769" customFormat="1" ht="27">
      <c r="A10" s="763"/>
      <c r="B10" s="764" t="s">
        <v>403</v>
      </c>
      <c r="C10" s="774" t="str">
        <f>项目基本情况!F16</f>
        <v>34.31年</v>
      </c>
      <c r="D10" s="425">
        <v>100</v>
      </c>
      <c r="E10" s="806" t="s">
        <v>3280</v>
      </c>
      <c r="F10" s="425">
        <f>ROUND(100/'数据-取费表'!G16,0)</f>
        <v>114</v>
      </c>
      <c r="G10" s="806" t="s">
        <v>3280</v>
      </c>
      <c r="H10" s="425">
        <f>ROUND(100/'数据-取费表'!G16,0)</f>
        <v>114</v>
      </c>
      <c r="I10" s="806" t="s">
        <v>3280</v>
      </c>
      <c r="J10" s="425">
        <f>ROUND(100/'数据-取费表'!G16,0)</f>
        <v>114</v>
      </c>
      <c r="K10" s="1079"/>
      <c r="L10" s="2352"/>
      <c r="M10" s="2353"/>
      <c r="N10" s="2353"/>
      <c r="O10" s="2354"/>
      <c r="P10" s="3713"/>
      <c r="Q10" s="296" t="str">
        <f t="shared" si="6"/>
        <v>土地使用年限（年）</v>
      </c>
      <c r="R10" s="1317" t="s">
        <v>65</v>
      </c>
      <c r="S10" s="1318">
        <f t="shared" si="0"/>
        <v>114</v>
      </c>
      <c r="T10" s="1317" t="s">
        <v>65</v>
      </c>
      <c r="U10" s="1318">
        <f t="shared" si="1"/>
        <v>114</v>
      </c>
      <c r="V10" s="1317" t="s">
        <v>65</v>
      </c>
      <c r="W10" s="1318">
        <f t="shared" si="2"/>
        <v>114</v>
      </c>
      <c r="X10" s="1319"/>
      <c r="Y10" s="3519"/>
      <c r="Z10" s="343" t="str">
        <f t="shared" si="7"/>
        <v>土地使用年限（年）</v>
      </c>
      <c r="AA10" s="1320">
        <f t="shared" si="3"/>
        <v>0.8771929824561403</v>
      </c>
      <c r="AB10" s="1320">
        <f t="shared" si="4"/>
        <v>0.8771929824561403</v>
      </c>
      <c r="AC10" s="1320">
        <f t="shared" si="5"/>
        <v>0.8771929824561403</v>
      </c>
    </row>
    <row r="11" spans="1:30" ht="15">
      <c r="A11" s="770"/>
      <c r="B11" s="764" t="s">
        <v>404</v>
      </c>
      <c r="C11" s="771">
        <v>0.15</v>
      </c>
      <c r="D11" s="425">
        <v>100</v>
      </c>
      <c r="E11" s="771">
        <f>土地案例!F14</f>
        <v>2</v>
      </c>
      <c r="F11" s="425">
        <f>LOOKUP(E11,80:80,81:81)-LOOKUP(C11,80:80,81:81)+100</f>
        <v>91</v>
      </c>
      <c r="G11" s="772">
        <f>土地案例!F15</f>
        <v>3.5</v>
      </c>
      <c r="H11" s="425">
        <f>LOOKUP(G11,80:80,81:81)-LOOKUP(C11,80:80,81:81)+100</f>
        <v>86.5</v>
      </c>
      <c r="I11" s="771">
        <f>土地案例!F8</f>
        <v>2.5</v>
      </c>
      <c r="J11" s="425">
        <f>LOOKUP(I11,80:80,81:81)-LOOKUP(C11,80:80,81:81)+100</f>
        <v>91</v>
      </c>
      <c r="K11" s="1080">
        <v>4.5</v>
      </c>
      <c r="L11" s="2355"/>
      <c r="M11" s="2348"/>
      <c r="N11" s="2348"/>
      <c r="O11" s="2356"/>
      <c r="P11" s="3713"/>
      <c r="Q11" s="296" t="str">
        <f t="shared" si="6"/>
        <v>容积率</v>
      </c>
      <c r="R11" s="1317" t="s">
        <v>65</v>
      </c>
      <c r="S11" s="1318">
        <f t="shared" si="0"/>
        <v>91</v>
      </c>
      <c r="T11" s="1317" t="s">
        <v>65</v>
      </c>
      <c r="U11" s="1318">
        <f t="shared" si="1"/>
        <v>86.5</v>
      </c>
      <c r="V11" s="1317" t="s">
        <v>65</v>
      </c>
      <c r="W11" s="1318">
        <f t="shared" si="2"/>
        <v>91</v>
      </c>
      <c r="X11" s="1319"/>
      <c r="Y11" s="3519"/>
      <c r="Z11" s="343" t="str">
        <f t="shared" si="7"/>
        <v>容积率</v>
      </c>
      <c r="AA11" s="1320">
        <f t="shared" si="3"/>
        <v>1.098901098901099</v>
      </c>
      <c r="AB11" s="1320">
        <f t="shared" si="4"/>
        <v>1.1560693641618498</v>
      </c>
      <c r="AC11" s="1320">
        <f t="shared" si="5"/>
        <v>1.098901098901099</v>
      </c>
    </row>
    <row r="12" spans="1:30" s="406" customFormat="1" ht="15">
      <c r="A12" s="773"/>
      <c r="B12" s="1029" t="s">
        <v>159</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713"/>
      <c r="Q12" s="296" t="str">
        <f t="shared" si="6"/>
        <v>配建</v>
      </c>
      <c r="R12" s="1317" t="s">
        <v>65</v>
      </c>
      <c r="S12" s="1318">
        <f t="shared" si="0"/>
        <v>100</v>
      </c>
      <c r="T12" s="1317" t="s">
        <v>65</v>
      </c>
      <c r="U12" s="1318">
        <f t="shared" si="1"/>
        <v>100</v>
      </c>
      <c r="V12" s="1317" t="s">
        <v>65</v>
      </c>
      <c r="W12" s="1318">
        <f t="shared" si="2"/>
        <v>100</v>
      </c>
      <c r="X12" s="1319"/>
      <c r="Y12" s="3519"/>
      <c r="Z12" s="343"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713"/>
      <c r="Q14" s="296">
        <f t="shared" si="6"/>
        <v>111</v>
      </c>
      <c r="R14" s="1317" t="s">
        <v>65</v>
      </c>
      <c r="S14" s="1318">
        <f t="shared" si="0"/>
        <v>100</v>
      </c>
      <c r="T14" s="1317" t="s">
        <v>65</v>
      </c>
      <c r="U14" s="1318">
        <f t="shared" si="1"/>
        <v>100</v>
      </c>
      <c r="V14" s="1317" t="s">
        <v>65</v>
      </c>
      <c r="W14" s="1318">
        <f t="shared" si="2"/>
        <v>100</v>
      </c>
      <c r="X14" s="1319"/>
      <c r="Y14" s="3519"/>
      <c r="Z14" s="343">
        <f t="shared" si="7"/>
        <v>111</v>
      </c>
      <c r="AA14" s="1320">
        <f>D14/F14</f>
        <v>1</v>
      </c>
      <c r="AB14" s="1320">
        <f>D14/H14</f>
        <v>1</v>
      </c>
      <c r="AC14" s="1320">
        <f>D14/J14</f>
        <v>1</v>
      </c>
    </row>
    <row r="15" spans="1:30" ht="15">
      <c r="A15" s="782" t="s">
        <v>405</v>
      </c>
      <c r="B15" s="358" t="s">
        <v>285</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18" t="s">
        <v>406</v>
      </c>
      <c r="Q15" s="1321" t="str">
        <f t="shared" si="6"/>
        <v>居住社区成熟度</v>
      </c>
      <c r="R15" s="1322" t="s">
        <v>65</v>
      </c>
      <c r="S15" s="1323">
        <f t="shared" si="0"/>
        <v>100</v>
      </c>
      <c r="T15" s="1322" t="s">
        <v>65</v>
      </c>
      <c r="U15" s="1323">
        <f t="shared" si="1"/>
        <v>100</v>
      </c>
      <c r="V15" s="1322" t="s">
        <v>65</v>
      </c>
      <c r="W15" s="1323">
        <f t="shared" si="2"/>
        <v>100</v>
      </c>
      <c r="X15" s="1316"/>
      <c r="Y15" s="3718" t="s">
        <v>406</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19"/>
      <c r="Q16" s="1321"/>
      <c r="R16" s="1322"/>
      <c r="S16" s="1323"/>
      <c r="T16" s="1322"/>
      <c r="U16" s="1323"/>
      <c r="V16" s="1322"/>
      <c r="W16" s="1323"/>
      <c r="X16" s="1316"/>
      <c r="Y16" s="3719"/>
      <c r="Z16" s="1324"/>
      <c r="AA16" s="1325">
        <v>1</v>
      </c>
      <c r="AB16" s="1325">
        <v>1</v>
      </c>
      <c r="AC16" s="1325">
        <v>1</v>
      </c>
    </row>
    <row r="17" spans="1:29" ht="15">
      <c r="A17" s="770"/>
      <c r="B17" s="793" t="s">
        <v>435</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19"/>
      <c r="Q17" s="1321" t="str">
        <f>B17</f>
        <v>商业繁华度</v>
      </c>
      <c r="R17" s="1322" t="s">
        <v>65</v>
      </c>
      <c r="S17" s="1323">
        <f>F17</f>
        <v>100</v>
      </c>
      <c r="T17" s="1322" t="s">
        <v>65</v>
      </c>
      <c r="U17" s="1323">
        <f>H17</f>
        <v>100</v>
      </c>
      <c r="V17" s="1322" t="s">
        <v>65</v>
      </c>
      <c r="W17" s="1323">
        <f>J17</f>
        <v>100</v>
      </c>
      <c r="X17" s="1316"/>
      <c r="Y17" s="3719"/>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19"/>
      <c r="Q18" s="1321"/>
      <c r="R18" s="1322"/>
      <c r="S18" s="1323"/>
      <c r="T18" s="1322"/>
      <c r="U18" s="1323"/>
      <c r="V18" s="1322"/>
      <c r="W18" s="1323"/>
      <c r="X18" s="1316"/>
      <c r="Y18" s="3719"/>
      <c r="Z18" s="1324"/>
      <c r="AA18" s="1325">
        <v>1</v>
      </c>
      <c r="AB18" s="1325">
        <v>1</v>
      </c>
      <c r="AC18" s="1325">
        <v>1</v>
      </c>
    </row>
    <row r="19" spans="1:29" ht="148.5">
      <c r="A19" s="770"/>
      <c r="B19" s="793" t="s">
        <v>440</v>
      </c>
      <c r="C19" s="190" t="str">
        <f>估价对象房地状况!C17</f>
        <v>估价对象位于怀柔区杨宋镇，目前投用项目有中影基地、星美影视城、百汇演艺学校等类似用房以及相关行业酒店等配套设施，产业聚集度较好</v>
      </c>
      <c r="D19" s="797">
        <v>100</v>
      </c>
      <c r="E19" s="799"/>
      <c r="F19" s="797">
        <f>SUMIF(92:92,E20,93:93)-SUMIF(92:92,C20,93:93)+100</f>
        <v>98</v>
      </c>
      <c r="G19" s="799"/>
      <c r="H19" s="792">
        <f>SUMIF(92:92,G20,93:93)-SUMIF(92:92,C20,93:93)+100</f>
        <v>98</v>
      </c>
      <c r="I19" s="801"/>
      <c r="J19" s="792">
        <f>SUMIF(92:92,I20,93:93)-SUMIF(92:92,C20,93:93)+100</f>
        <v>100</v>
      </c>
      <c r="K19" s="1080">
        <v>2</v>
      </c>
      <c r="L19" s="2357"/>
      <c r="M19" s="2348"/>
      <c r="N19" s="2348"/>
      <c r="O19" s="2356"/>
      <c r="P19" s="3719"/>
      <c r="Q19" s="1321" t="str">
        <f>B19</f>
        <v>办公集聚程度</v>
      </c>
      <c r="R19" s="1322" t="s">
        <v>65</v>
      </c>
      <c r="S19" s="1323">
        <f>F19</f>
        <v>98</v>
      </c>
      <c r="T19" s="1322" t="s">
        <v>65</v>
      </c>
      <c r="U19" s="1323">
        <f>H19</f>
        <v>98</v>
      </c>
      <c r="V19" s="1322" t="s">
        <v>65</v>
      </c>
      <c r="W19" s="1323">
        <f>J19</f>
        <v>100</v>
      </c>
      <c r="X19" s="1316"/>
      <c r="Y19" s="3719"/>
      <c r="Z19" s="1324" t="str">
        <f>Q19</f>
        <v>办公集聚程度</v>
      </c>
      <c r="AA19" s="1325">
        <f t="shared" si="3"/>
        <v>1.0204081632653061</v>
      </c>
      <c r="AB19" s="1325">
        <f t="shared" si="4"/>
        <v>1.0204081632653061</v>
      </c>
      <c r="AC19" s="1325">
        <f t="shared" si="5"/>
        <v>1</v>
      </c>
    </row>
    <row r="20" spans="1:29" ht="15">
      <c r="A20" s="770"/>
      <c r="B20" s="798"/>
      <c r="C20" s="97" t="s">
        <v>3175</v>
      </c>
      <c r="D20" s="790"/>
      <c r="E20" s="98" t="s">
        <v>3171</v>
      </c>
      <c r="F20" s="790"/>
      <c r="G20" s="98" t="s">
        <v>3171</v>
      </c>
      <c r="H20" s="790"/>
      <c r="I20" s="99" t="s">
        <v>3175</v>
      </c>
      <c r="J20" s="790"/>
      <c r="K20" s="1079"/>
      <c r="L20" s="2357"/>
      <c r="M20" s="2348"/>
      <c r="N20" s="2348"/>
      <c r="O20" s="2356"/>
      <c r="P20" s="3719"/>
      <c r="Q20" s="1321"/>
      <c r="R20" s="1322"/>
      <c r="S20" s="1323"/>
      <c r="T20" s="1322"/>
      <c r="U20" s="1323"/>
      <c r="V20" s="1322"/>
      <c r="W20" s="1323"/>
      <c r="X20" s="1316"/>
      <c r="Y20" s="3719"/>
      <c r="Z20" s="1324"/>
      <c r="AA20" s="1325">
        <v>1</v>
      </c>
      <c r="AB20" s="1325">
        <v>1</v>
      </c>
      <c r="AC20" s="1325">
        <v>1</v>
      </c>
    </row>
    <row r="21" spans="1:29" ht="175.5">
      <c r="A21" s="770"/>
      <c r="B21" s="793" t="s">
        <v>455</v>
      </c>
      <c r="C21" s="158" t="str">
        <f>估价对象房地状况!C18</f>
        <v>估价对象紧邻城市次干道——怀耿路，半径1公里内有866、H07、H09、H44路等公交线路，周边有怀耿路、杨雁路两条城市次干道，西北距离怀柔火车站4公里，交通便捷度较差</v>
      </c>
      <c r="D21" s="792">
        <v>100</v>
      </c>
      <c r="E21" s="794"/>
      <c r="F21" s="797">
        <f>SUMIF(94:94,E22,95:95)-SUMIF(94:94,C22,95:95)+100</f>
        <v>102</v>
      </c>
      <c r="G21" s="794"/>
      <c r="H21" s="792">
        <f>SUMIF(94:94,G22,95:95)-SUMIF(94:94,C22,95:95)+100</f>
        <v>101</v>
      </c>
      <c r="I21" s="796"/>
      <c r="J21" s="792">
        <f>SUMIF(94:94,I22,95:95)-SUMIF(94:94,C22,95:95)+100</f>
        <v>101</v>
      </c>
      <c r="K21" s="1080">
        <v>1</v>
      </c>
      <c r="L21" s="2357"/>
      <c r="M21" s="2348"/>
      <c r="N21" s="2348"/>
      <c r="O21" s="2356"/>
      <c r="P21" s="3719"/>
      <c r="Q21" s="1321" t="str">
        <f>B21</f>
        <v>交通便捷度</v>
      </c>
      <c r="R21" s="1322" t="s">
        <v>65</v>
      </c>
      <c r="S21" s="1323">
        <f>F21</f>
        <v>102</v>
      </c>
      <c r="T21" s="1322" t="s">
        <v>65</v>
      </c>
      <c r="U21" s="1323">
        <f>H21</f>
        <v>101</v>
      </c>
      <c r="V21" s="1322" t="s">
        <v>65</v>
      </c>
      <c r="W21" s="1323">
        <f>J21</f>
        <v>101</v>
      </c>
      <c r="X21" s="1316"/>
      <c r="Y21" s="3719"/>
      <c r="Z21" s="1324" t="str">
        <f>Q21</f>
        <v>交通便捷度</v>
      </c>
      <c r="AA21" s="1325">
        <f t="shared" si="3"/>
        <v>0.98039215686274506</v>
      </c>
      <c r="AB21" s="1325">
        <f t="shared" si="4"/>
        <v>0.99009900990099009</v>
      </c>
      <c r="AC21" s="1325">
        <f t="shared" si="5"/>
        <v>0.99009900990099009</v>
      </c>
    </row>
    <row r="22" spans="1:29" ht="15">
      <c r="A22" s="770"/>
      <c r="B22" s="2768"/>
      <c r="C22" s="97" t="s">
        <v>3176</v>
      </c>
      <c r="D22" s="792"/>
      <c r="E22" s="98" t="s">
        <v>3175</v>
      </c>
      <c r="F22" s="790"/>
      <c r="G22" s="98" t="s">
        <v>3171</v>
      </c>
      <c r="H22" s="790"/>
      <c r="I22" s="99" t="s">
        <v>3171</v>
      </c>
      <c r="J22" s="790"/>
      <c r="K22" s="1079"/>
      <c r="L22" s="2357"/>
      <c r="M22" s="2348"/>
      <c r="N22" s="2348"/>
      <c r="O22" s="2356"/>
      <c r="P22" s="3719"/>
      <c r="Q22" s="1321"/>
      <c r="R22" s="1322"/>
      <c r="S22" s="1323"/>
      <c r="T22" s="1322"/>
      <c r="U22" s="1323"/>
      <c r="V22" s="1322"/>
      <c r="W22" s="1323"/>
      <c r="X22" s="1316"/>
      <c r="Y22" s="3719"/>
      <c r="Z22" s="1324"/>
      <c r="AA22" s="1325">
        <v>1</v>
      </c>
      <c r="AB22" s="1325">
        <v>1</v>
      </c>
      <c r="AC22" s="1325">
        <v>1</v>
      </c>
    </row>
    <row r="23" spans="1:29" ht="27">
      <c r="A23" s="746"/>
      <c r="B23" s="793" t="s">
        <v>482</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0">
        <v>2</v>
      </c>
      <c r="L23" s="2357"/>
      <c r="M23" s="2348"/>
      <c r="N23" s="2348"/>
      <c r="O23" s="2356"/>
      <c r="P23" s="3719"/>
      <c r="Q23" s="1321" t="str">
        <f t="shared" ref="Q23:Q37" si="8">B23</f>
        <v>区域土地利用方向</v>
      </c>
      <c r="R23" s="1322" t="s">
        <v>65</v>
      </c>
      <c r="S23" s="1323">
        <f>F23</f>
        <v>100</v>
      </c>
      <c r="T23" s="1322" t="s">
        <v>65</v>
      </c>
      <c r="U23" s="1323">
        <f>H23</f>
        <v>100</v>
      </c>
      <c r="V23" s="1322" t="s">
        <v>65</v>
      </c>
      <c r="W23" s="1323">
        <f>J23</f>
        <v>100</v>
      </c>
      <c r="X23" s="1316"/>
      <c r="Y23" s="3719"/>
      <c r="Z23" s="1324" t="str">
        <f>Q23</f>
        <v>区域土地利用方向</v>
      </c>
      <c r="AA23" s="1325">
        <f t="shared" si="3"/>
        <v>1</v>
      </c>
      <c r="AB23" s="1325">
        <f t="shared" si="4"/>
        <v>1</v>
      </c>
      <c r="AC23" s="1325">
        <f t="shared" si="5"/>
        <v>1</v>
      </c>
    </row>
    <row r="24" spans="1:29" ht="15">
      <c r="A24" s="746"/>
      <c r="B24" s="798"/>
      <c r="C24" s="182" t="s">
        <v>3171</v>
      </c>
      <c r="D24" s="790"/>
      <c r="E24" s="98" t="s">
        <v>3171</v>
      </c>
      <c r="F24" s="790"/>
      <c r="G24" s="99" t="s">
        <v>3171</v>
      </c>
      <c r="H24" s="790"/>
      <c r="I24" s="99" t="s">
        <v>3171</v>
      </c>
      <c r="J24" s="790"/>
      <c r="K24" s="1484"/>
      <c r="L24" s="2357"/>
      <c r="M24" s="2348"/>
      <c r="N24" s="2348"/>
      <c r="O24" s="2356"/>
      <c r="P24" s="3719"/>
      <c r="Q24" s="1468"/>
      <c r="R24" s="1322"/>
      <c r="S24" s="1323"/>
      <c r="T24" s="1322"/>
      <c r="U24" s="1323"/>
      <c r="V24" s="1322"/>
      <c r="W24" s="1323"/>
      <c r="X24" s="1467"/>
      <c r="Y24" s="3719"/>
      <c r="Z24" s="1469"/>
      <c r="AA24" s="1325"/>
      <c r="AB24" s="1325"/>
      <c r="AC24" s="1325"/>
    </row>
    <row r="25" spans="1:29" ht="175.5">
      <c r="A25" s="746"/>
      <c r="B25" s="2768"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2">
        <v>100</v>
      </c>
      <c r="E25" s="794"/>
      <c r="F25" s="792">
        <f>SUMIF(98:98,E26,99:99)-SUMIF(98:98,C26,99:99)+100</f>
        <v>100</v>
      </c>
      <c r="G25" s="794"/>
      <c r="H25" s="792">
        <f>SUMIF(98:98,G26,99:99)-SUMIF(98:98,C26,99:99)+100</f>
        <v>100</v>
      </c>
      <c r="I25" s="796"/>
      <c r="J25" s="792">
        <f>SUMIF(98:98,I26,99:99)-SUMIF(98:98,C26,99:99)+100</f>
        <v>100</v>
      </c>
      <c r="K25" s="1080">
        <v>2</v>
      </c>
      <c r="L25" s="2357"/>
      <c r="M25" s="2348"/>
      <c r="N25" s="2348"/>
      <c r="O25" s="2356"/>
      <c r="P25" s="3719"/>
      <c r="Q25" s="1321" t="str">
        <f t="shared" si="8"/>
        <v>自然及人文环境状况</v>
      </c>
      <c r="R25" s="1322" t="s">
        <v>65</v>
      </c>
      <c r="S25" s="1323">
        <f>F25</f>
        <v>100</v>
      </c>
      <c r="T25" s="1322" t="s">
        <v>65</v>
      </c>
      <c r="U25" s="1323">
        <f>H25</f>
        <v>100</v>
      </c>
      <c r="V25" s="1322" t="s">
        <v>65</v>
      </c>
      <c r="W25" s="1323">
        <f>J25</f>
        <v>100</v>
      </c>
      <c r="X25" s="1316"/>
      <c r="Y25" s="3719"/>
      <c r="Z25" s="1324" t="str">
        <f>Q25</f>
        <v>自然及人文环境状况</v>
      </c>
      <c r="AA25" s="1325">
        <f t="shared" si="3"/>
        <v>1</v>
      </c>
      <c r="AB25" s="1325">
        <f t="shared" si="4"/>
        <v>1</v>
      </c>
      <c r="AC25" s="1325">
        <f t="shared" si="5"/>
        <v>1</v>
      </c>
    </row>
    <row r="26" spans="1:29" ht="15">
      <c r="A26" s="746"/>
      <c r="B26" s="798"/>
      <c r="C26" s="97" t="s">
        <v>3171</v>
      </c>
      <c r="D26" s="790"/>
      <c r="E26" s="192" t="s">
        <v>3171</v>
      </c>
      <c r="F26" s="790"/>
      <c r="G26" s="192" t="s">
        <v>3171</v>
      </c>
      <c r="H26" s="790"/>
      <c r="I26" s="97" t="s">
        <v>3171</v>
      </c>
      <c r="J26" s="790"/>
      <c r="K26" s="1079"/>
      <c r="L26" s="2357"/>
      <c r="M26" s="2348"/>
      <c r="N26" s="2348"/>
      <c r="O26" s="2356"/>
      <c r="P26" s="3719"/>
      <c r="Q26" s="1321"/>
      <c r="R26" s="1322"/>
      <c r="S26" s="1323"/>
      <c r="T26" s="1322"/>
      <c r="U26" s="1323"/>
      <c r="V26" s="1322"/>
      <c r="W26" s="1323"/>
      <c r="X26" s="1316"/>
      <c r="Y26" s="3719"/>
      <c r="Z26" s="1324"/>
      <c r="AA26" s="1325">
        <v>1</v>
      </c>
      <c r="AB26" s="1325">
        <v>1</v>
      </c>
      <c r="AC26" s="1325">
        <v>1</v>
      </c>
    </row>
    <row r="27" spans="1:29" s="406" customFormat="1" ht="198.75" customHeight="1">
      <c r="A27" s="990"/>
      <c r="B27" s="1410"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2">
        <v>100</v>
      </c>
      <c r="E27" s="794"/>
      <c r="F27" s="792">
        <f>SUMIF(100:100,E28,101:101)-SUMIF(100:100,C28,101:101)+100</f>
        <v>101</v>
      </c>
      <c r="G27" s="794"/>
      <c r="H27" s="792">
        <f>SUMIF(100:100,G28,101:101)-SUMIF(100:100,C28,101:101)+100</f>
        <v>101</v>
      </c>
      <c r="I27" s="796"/>
      <c r="J27" s="792">
        <f>SUMIF(100:100,I28,101:101)-SUMIF(100:100,C28,101:101)+100</f>
        <v>100</v>
      </c>
      <c r="K27" s="1080">
        <v>1</v>
      </c>
      <c r="L27" s="2349"/>
      <c r="M27" s="2350"/>
      <c r="N27" s="2350"/>
      <c r="O27" s="2351"/>
      <c r="P27" s="3719"/>
      <c r="Q27" s="296" t="str">
        <f t="shared" si="8"/>
        <v>公共配套设施</v>
      </c>
      <c r="R27" s="1317" t="s">
        <v>65</v>
      </c>
      <c r="S27" s="1318">
        <f>F27</f>
        <v>101</v>
      </c>
      <c r="T27" s="1317" t="s">
        <v>65</v>
      </c>
      <c r="U27" s="1318">
        <f>H27</f>
        <v>101</v>
      </c>
      <c r="V27" s="1317" t="s">
        <v>65</v>
      </c>
      <c r="W27" s="1318">
        <f>J27</f>
        <v>100</v>
      </c>
      <c r="X27" s="1319"/>
      <c r="Y27" s="3719"/>
      <c r="Z27" s="343" t="str">
        <f>Q27</f>
        <v>公共配套设施</v>
      </c>
      <c r="AA27" s="1325">
        <f>D27/F27</f>
        <v>0.99009900990099009</v>
      </c>
      <c r="AB27" s="1325">
        <f>D27/H27</f>
        <v>0.99009900990099009</v>
      </c>
      <c r="AC27" s="1325">
        <f>D27/J27</f>
        <v>1</v>
      </c>
    </row>
    <row r="28" spans="1:29" s="406" customFormat="1" ht="15">
      <c r="A28" s="990"/>
      <c r="B28" s="798"/>
      <c r="C28" s="2774" t="s">
        <v>3171</v>
      </c>
      <c r="D28" s="790"/>
      <c r="E28" s="192" t="s">
        <v>3175</v>
      </c>
      <c r="F28" s="790"/>
      <c r="G28" s="192" t="s">
        <v>3175</v>
      </c>
      <c r="H28" s="790"/>
      <c r="I28" s="97" t="s">
        <v>3171</v>
      </c>
      <c r="J28" s="790"/>
      <c r="K28" s="1079"/>
      <c r="L28" s="2349"/>
      <c r="M28" s="2350"/>
      <c r="N28" s="2350"/>
      <c r="O28" s="2351"/>
      <c r="P28" s="3719"/>
      <c r="Q28" s="296"/>
      <c r="R28" s="1317"/>
      <c r="S28" s="1318"/>
      <c r="T28" s="1317"/>
      <c r="U28" s="1318"/>
      <c r="V28" s="1317"/>
      <c r="W28" s="1318"/>
      <c r="X28" s="1319"/>
      <c r="Y28" s="3719"/>
      <c r="Z28" s="343"/>
      <c r="AA28" s="1325">
        <v>1</v>
      </c>
      <c r="AB28" s="1325">
        <v>1</v>
      </c>
      <c r="AC28" s="1325">
        <v>1</v>
      </c>
    </row>
    <row r="29" spans="1:29" s="406" customFormat="1" ht="40.5">
      <c r="A29" s="990"/>
      <c r="B29" s="1410" t="s">
        <v>2666</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19"/>
      <c r="Q29" s="2743" t="str">
        <f t="shared" ref="Q29" si="9">B29</f>
        <v>基础设施水平</v>
      </c>
      <c r="R29" s="1317" t="s">
        <v>65</v>
      </c>
      <c r="S29" s="1318">
        <f>F29</f>
        <v>100</v>
      </c>
      <c r="T29" s="1317" t="s">
        <v>65</v>
      </c>
      <c r="U29" s="1318">
        <f>H29</f>
        <v>100</v>
      </c>
      <c r="V29" s="1317" t="s">
        <v>65</v>
      </c>
      <c r="W29" s="1318">
        <f>J29</f>
        <v>100</v>
      </c>
      <c r="X29" s="1319"/>
      <c r="Y29" s="3719"/>
      <c r="Z29" s="343" t="str">
        <f>Q29</f>
        <v>基础设施水平</v>
      </c>
      <c r="AA29" s="1325">
        <f>D29/F29</f>
        <v>1</v>
      </c>
      <c r="AB29" s="1325">
        <f>D29/H29</f>
        <v>1</v>
      </c>
      <c r="AC29" s="1325">
        <f>D29/J29</f>
        <v>1</v>
      </c>
    </row>
    <row r="30" spans="1:29" s="406" customFormat="1" ht="15">
      <c r="A30" s="990"/>
      <c r="B30" s="798"/>
      <c r="C30" s="2774" t="s">
        <v>3281</v>
      </c>
      <c r="D30" s="790"/>
      <c r="E30" s="1035" t="s">
        <v>3281</v>
      </c>
      <c r="F30" s="790"/>
      <c r="G30" s="1035" t="s">
        <v>3281</v>
      </c>
      <c r="H30" s="790"/>
      <c r="I30" s="1035" t="s">
        <v>3281</v>
      </c>
      <c r="J30" s="790"/>
      <c r="K30" s="1079"/>
      <c r="L30" s="2349"/>
      <c r="M30" s="2350"/>
      <c r="N30" s="2350"/>
      <c r="O30" s="2351"/>
      <c r="P30" s="3719"/>
      <c r="Q30" s="2743"/>
      <c r="R30" s="1317"/>
      <c r="S30" s="1318"/>
      <c r="T30" s="1317"/>
      <c r="U30" s="1318"/>
      <c r="V30" s="1317"/>
      <c r="W30" s="1318"/>
      <c r="X30" s="1319"/>
      <c r="Y30" s="3719"/>
      <c r="Z30" s="343"/>
      <c r="AA30" s="1325">
        <v>1</v>
      </c>
      <c r="AB30" s="1325">
        <v>1</v>
      </c>
      <c r="AC30" s="1325">
        <v>1</v>
      </c>
    </row>
    <row r="31" spans="1:29" ht="15">
      <c r="A31" s="770"/>
      <c r="B31" s="798" t="s">
        <v>436</v>
      </c>
      <c r="C31" s="182" t="s">
        <v>3282</v>
      </c>
      <c r="D31" s="777">
        <v>100</v>
      </c>
      <c r="E31" s="195" t="s">
        <v>3173</v>
      </c>
      <c r="F31" s="777">
        <f>SUMIF(104:104,E31,105:105)-SUMIF(104:104,C31,105:105)+100</f>
        <v>101</v>
      </c>
      <c r="G31" s="195" t="s">
        <v>3299</v>
      </c>
      <c r="H31" s="777">
        <f>SUMIF(104:104,G31,105:105)-SUMIF(104:104,C31,105:105)+100</f>
        <v>100</v>
      </c>
      <c r="I31" s="195" t="s">
        <v>3300</v>
      </c>
      <c r="J31" s="777">
        <f>SUMIF(104:104,I31,105:105)-SUMIF(104:104,C31,105:105)+100</f>
        <v>102</v>
      </c>
      <c r="K31" s="1080">
        <v>1</v>
      </c>
      <c r="L31" s="2357"/>
      <c r="M31" s="2348"/>
      <c r="N31" s="2348"/>
      <c r="O31" s="2356"/>
      <c r="P31" s="3719"/>
      <c r="Q31" s="1321" t="str">
        <f t="shared" si="8"/>
        <v>临街状况</v>
      </c>
      <c r="R31" s="1322" t="s">
        <v>65</v>
      </c>
      <c r="S31" s="1323">
        <f t="shared" ref="S31:S45" si="10">F31</f>
        <v>101</v>
      </c>
      <c r="T31" s="1322" t="s">
        <v>65</v>
      </c>
      <c r="U31" s="1323">
        <f t="shared" ref="U31:U45" si="11">H31</f>
        <v>100</v>
      </c>
      <c r="V31" s="1322" t="s">
        <v>65</v>
      </c>
      <c r="W31" s="1323">
        <f t="shared" ref="W31:W45" si="12">J31</f>
        <v>102</v>
      </c>
      <c r="X31" s="1316"/>
      <c r="Y31" s="3719"/>
      <c r="Z31" s="1324" t="str">
        <f t="shared" ref="Z31:Z45" si="13">Q31</f>
        <v>临街状况</v>
      </c>
      <c r="AA31" s="1325">
        <f t="shared" si="3"/>
        <v>0.99009900990099009</v>
      </c>
      <c r="AB31" s="1325">
        <f t="shared" si="4"/>
        <v>1</v>
      </c>
      <c r="AC31" s="1325">
        <f t="shared" si="5"/>
        <v>0.98039215686274506</v>
      </c>
    </row>
    <row r="32" spans="1:29" ht="27.75">
      <c r="A32" s="770"/>
      <c r="B32" s="2768" t="s">
        <v>441</v>
      </c>
      <c r="C32" s="796" t="s">
        <v>3283</v>
      </c>
      <c r="D32" s="792">
        <v>100</v>
      </c>
      <c r="E32" s="3407" t="s">
        <v>3315</v>
      </c>
      <c r="F32" s="792">
        <f>SUMIF(106:106,E33,107:107)-SUMIF(106:106,C33,107:107)+100</f>
        <v>100</v>
      </c>
      <c r="G32" s="3407" t="s">
        <v>3297</v>
      </c>
      <c r="H32" s="792">
        <f>SUMIF(106:106,G33,107:107)-SUMIF(106:106,C33,107:107)+100</f>
        <v>98</v>
      </c>
      <c r="I32" s="3408" t="s">
        <v>3316</v>
      </c>
      <c r="J32" s="792">
        <f>SUMIF(106:106,I33,107:107)-SUMIF(106:106,C33,107:107)+100</f>
        <v>99</v>
      </c>
      <c r="K32" s="1080">
        <v>1</v>
      </c>
      <c r="L32" s="2357"/>
      <c r="M32" s="2348"/>
      <c r="N32" s="2348"/>
      <c r="O32" s="2356"/>
      <c r="P32" s="3719"/>
      <c r="Q32" s="1321" t="str">
        <f t="shared" si="8"/>
        <v>毗邻道路的类型与等级</v>
      </c>
      <c r="R32" s="1322" t="s">
        <v>65</v>
      </c>
      <c r="S32" s="1323">
        <f t="shared" si="10"/>
        <v>100</v>
      </c>
      <c r="T32" s="1322" t="s">
        <v>65</v>
      </c>
      <c r="U32" s="1323">
        <f t="shared" si="11"/>
        <v>98</v>
      </c>
      <c r="V32" s="1322" t="s">
        <v>65</v>
      </c>
      <c r="W32" s="1323">
        <f t="shared" si="12"/>
        <v>99</v>
      </c>
      <c r="X32" s="1316"/>
      <c r="Y32" s="3719"/>
      <c r="Z32" s="1324" t="str">
        <f t="shared" si="13"/>
        <v>毗邻道路的类型与等级</v>
      </c>
      <c r="AA32" s="1325">
        <f t="shared" si="3"/>
        <v>1</v>
      </c>
      <c r="AB32" s="1325">
        <f t="shared" si="4"/>
        <v>1.0204081632653061</v>
      </c>
      <c r="AC32" s="1325">
        <f t="shared" si="5"/>
        <v>1.0101010101010102</v>
      </c>
    </row>
    <row r="33" spans="1:29" ht="15">
      <c r="A33" s="770"/>
      <c r="B33" s="798"/>
      <c r="C33" s="97" t="s">
        <v>3285</v>
      </c>
      <c r="D33" s="790"/>
      <c r="E33" s="192" t="s">
        <v>3285</v>
      </c>
      <c r="F33" s="790"/>
      <c r="G33" s="192" t="s">
        <v>3289</v>
      </c>
      <c r="H33" s="790"/>
      <c r="I33" s="97" t="s">
        <v>3287</v>
      </c>
      <c r="J33" s="790"/>
      <c r="K33" s="954"/>
      <c r="L33" s="2357"/>
      <c r="M33" s="2348"/>
      <c r="N33" s="2348"/>
      <c r="O33" s="2356"/>
      <c r="P33" s="3719"/>
      <c r="Q33" s="1321"/>
      <c r="R33" s="1322"/>
      <c r="S33" s="1323"/>
      <c r="T33" s="1322"/>
      <c r="U33" s="1323"/>
      <c r="V33" s="1322"/>
      <c r="W33" s="1323"/>
      <c r="X33" s="1316"/>
      <c r="Y33" s="3719"/>
      <c r="Z33" s="1324"/>
      <c r="AA33" s="1325">
        <v>1</v>
      </c>
      <c r="AB33" s="1325">
        <v>1</v>
      </c>
      <c r="AC33" s="1325">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7"/>
      <c r="M34" s="2348"/>
      <c r="N34" s="2348"/>
      <c r="O34" s="2356"/>
      <c r="P34" s="3719"/>
      <c r="Q34" s="1321" t="str">
        <f t="shared" si="8"/>
        <v>土地级别</v>
      </c>
      <c r="R34" s="1322" t="s">
        <v>65</v>
      </c>
      <c r="S34" s="1323">
        <f t="shared" si="10"/>
        <v>100</v>
      </c>
      <c r="T34" s="1322" t="s">
        <v>65</v>
      </c>
      <c r="U34" s="1323">
        <f t="shared" si="11"/>
        <v>100</v>
      </c>
      <c r="V34" s="1322" t="s">
        <v>65</v>
      </c>
      <c r="W34" s="1323">
        <f t="shared" si="12"/>
        <v>100</v>
      </c>
      <c r="X34" s="1316"/>
      <c r="Y34" s="3719"/>
      <c r="Z34" s="1324" t="str">
        <f t="shared" si="13"/>
        <v>土地级别</v>
      </c>
      <c r="AA34" s="1325">
        <f t="shared" si="3"/>
        <v>1</v>
      </c>
      <c r="AB34" s="1325">
        <f t="shared" si="4"/>
        <v>1</v>
      </c>
      <c r="AC34" s="1325">
        <f t="shared" si="5"/>
        <v>1</v>
      </c>
    </row>
    <row r="35" spans="1:29" ht="15">
      <c r="A35" s="746"/>
      <c r="B35" s="2770">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7"/>
      <c r="M35" s="2348"/>
      <c r="N35" s="2348"/>
      <c r="O35" s="2356"/>
      <c r="P35" s="3719"/>
      <c r="Q35" s="1321">
        <f t="shared" si="8"/>
        <v>111</v>
      </c>
      <c r="R35" s="1322" t="s">
        <v>65</v>
      </c>
      <c r="S35" s="1323">
        <f t="shared" si="10"/>
        <v>100</v>
      </c>
      <c r="T35" s="1322" t="s">
        <v>65</v>
      </c>
      <c r="U35" s="1323">
        <f t="shared" si="11"/>
        <v>100</v>
      </c>
      <c r="V35" s="1322" t="s">
        <v>65</v>
      </c>
      <c r="W35" s="1323">
        <f t="shared" si="12"/>
        <v>100</v>
      </c>
      <c r="X35" s="1316"/>
      <c r="Y35" s="3719"/>
      <c r="Z35" s="1324">
        <f t="shared" si="13"/>
        <v>111</v>
      </c>
      <c r="AA35" s="1325">
        <f t="shared" si="3"/>
        <v>1</v>
      </c>
      <c r="AB35" s="1325">
        <f t="shared" si="4"/>
        <v>1</v>
      </c>
      <c r="AC35" s="1325">
        <f t="shared" si="5"/>
        <v>1</v>
      </c>
    </row>
    <row r="36" spans="1:29" ht="15">
      <c r="A36" s="1082"/>
      <c r="B36" s="2771">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7"/>
      <c r="M36" s="2348"/>
      <c r="N36" s="2348"/>
      <c r="O36" s="2356"/>
      <c r="P36" s="3720" t="s">
        <v>408</v>
      </c>
      <c r="Q36" s="1321">
        <f t="shared" si="8"/>
        <v>111</v>
      </c>
      <c r="R36" s="1322" t="s">
        <v>65</v>
      </c>
      <c r="S36" s="1323">
        <f t="shared" si="10"/>
        <v>100</v>
      </c>
      <c r="T36" s="1322" t="s">
        <v>65</v>
      </c>
      <c r="U36" s="1323">
        <f t="shared" si="11"/>
        <v>100</v>
      </c>
      <c r="V36" s="1322" t="s">
        <v>65</v>
      </c>
      <c r="W36" s="1323">
        <f t="shared" si="12"/>
        <v>100</v>
      </c>
      <c r="X36" s="1316"/>
      <c r="Y36" s="3721" t="s">
        <v>408</v>
      </c>
      <c r="Z36" s="1324">
        <f t="shared" si="13"/>
        <v>111</v>
      </c>
      <c r="AA36" s="1325">
        <f t="shared" si="3"/>
        <v>1</v>
      </c>
      <c r="AB36" s="1325">
        <f t="shared" si="4"/>
        <v>1</v>
      </c>
      <c r="AC36" s="1325">
        <f t="shared" si="5"/>
        <v>1</v>
      </c>
    </row>
    <row r="37" spans="1:29" s="812" customFormat="1" ht="15.75" thickBot="1">
      <c r="A37" s="1083"/>
      <c r="B37" s="2772">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5"/>
      <c r="M37" s="2358"/>
      <c r="N37" s="2358"/>
      <c r="O37" s="2359"/>
      <c r="P37" s="3721"/>
      <c r="Q37" s="1321">
        <f t="shared" si="8"/>
        <v>111</v>
      </c>
      <c r="R37" s="1327" t="s">
        <v>65</v>
      </c>
      <c r="S37" s="1328">
        <f t="shared" si="10"/>
        <v>100</v>
      </c>
      <c r="T37" s="1327" t="s">
        <v>65</v>
      </c>
      <c r="U37" s="1328">
        <f t="shared" si="11"/>
        <v>100</v>
      </c>
      <c r="V37" s="1327" t="s">
        <v>65</v>
      </c>
      <c r="W37" s="1328">
        <f t="shared" si="12"/>
        <v>100</v>
      </c>
      <c r="X37" s="1329"/>
      <c r="Y37" s="3721"/>
      <c r="Z37" s="1330">
        <f t="shared" si="13"/>
        <v>111</v>
      </c>
      <c r="AA37" s="1325">
        <f t="shared" si="3"/>
        <v>1</v>
      </c>
      <c r="AB37" s="1325">
        <f t="shared" si="4"/>
        <v>1</v>
      </c>
      <c r="AC37" s="1325">
        <f t="shared" si="5"/>
        <v>1</v>
      </c>
    </row>
    <row r="38" spans="1:29" ht="15">
      <c r="A38" s="813" t="s">
        <v>407</v>
      </c>
      <c r="B38" s="798" t="s">
        <v>485</v>
      </c>
      <c r="C38" s="1086">
        <f>'数据-基础表'!A3</f>
        <v>92783.56</v>
      </c>
      <c r="D38" s="808">
        <v>100</v>
      </c>
      <c r="E38" s="1086">
        <f>土地案例!D15</f>
        <v>27641.17</v>
      </c>
      <c r="F38" s="808">
        <f>LOOKUP(E38,117:117,118:118)-LOOKUP(C38,117:117,118:118)+100</f>
        <v>98</v>
      </c>
      <c r="G38" s="1086">
        <f>土地案例!D15</f>
        <v>27641.17</v>
      </c>
      <c r="H38" s="808">
        <f>LOOKUP(G38,117:117,118:118)-LOOKUP(C38,117:117,118:118)+100</f>
        <v>98</v>
      </c>
      <c r="I38" s="871">
        <f>土地案例!D8</f>
        <v>49477.2</v>
      </c>
      <c r="J38" s="808">
        <f>LOOKUP(I38,117:117,118:118)-LOOKUP(C38,117:117,118:118)+100</f>
        <v>98</v>
      </c>
      <c r="K38" s="954"/>
      <c r="L38" s="2357"/>
      <c r="M38" s="2348"/>
      <c r="N38" s="2348"/>
      <c r="O38" s="2356"/>
      <c r="P38" s="3721"/>
      <c r="Q38" s="1321" t="str">
        <f>B38</f>
        <v>宗地面积</v>
      </c>
      <c r="R38" s="1322" t="s">
        <v>65</v>
      </c>
      <c r="S38" s="1323">
        <f t="shared" si="10"/>
        <v>98</v>
      </c>
      <c r="T38" s="1322" t="s">
        <v>65</v>
      </c>
      <c r="U38" s="1323">
        <f t="shared" si="11"/>
        <v>98</v>
      </c>
      <c r="V38" s="1322" t="s">
        <v>65</v>
      </c>
      <c r="W38" s="1323">
        <f t="shared" si="12"/>
        <v>98</v>
      </c>
      <c r="X38" s="1316"/>
      <c r="Y38" s="3721"/>
      <c r="Z38" s="1324" t="str">
        <f t="shared" si="13"/>
        <v>宗地面积</v>
      </c>
      <c r="AA38" s="1325">
        <f t="shared" si="3"/>
        <v>1.0204081632653061</v>
      </c>
      <c r="AB38" s="1325">
        <f t="shared" si="4"/>
        <v>1.0204081632653061</v>
      </c>
      <c r="AC38" s="1325">
        <f t="shared" si="5"/>
        <v>1.0204081632653061</v>
      </c>
    </row>
    <row r="39" spans="1:29" ht="15">
      <c r="A39" s="813"/>
      <c r="B39" s="764" t="s">
        <v>486</v>
      </c>
      <c r="C39" s="109" t="s">
        <v>3293</v>
      </c>
      <c r="D39" s="777">
        <v>100</v>
      </c>
      <c r="E39" s="109" t="s">
        <v>3293</v>
      </c>
      <c r="F39" s="777">
        <f>SUMIF(119:119,E39,120:120)-SUMIF(119:119,C39,120:120)+100</f>
        <v>100</v>
      </c>
      <c r="G39" s="109" t="s">
        <v>3294</v>
      </c>
      <c r="H39" s="777">
        <f>SUMIF(119:119,G39,120:120)-SUMIF(119:119,C39,120:120)+100</f>
        <v>100</v>
      </c>
      <c r="I39" s="109" t="s">
        <v>3291</v>
      </c>
      <c r="J39" s="777">
        <f>SUMIF(119:119,I39,120:120)-SUMIF(119:119,C39,120:120)+100</f>
        <v>104</v>
      </c>
      <c r="K39" s="953">
        <v>2</v>
      </c>
      <c r="L39" s="2357"/>
      <c r="M39" s="2348"/>
      <c r="N39" s="2348"/>
      <c r="O39" s="2356"/>
      <c r="P39" s="3721"/>
      <c r="Q39" s="1321" t="str">
        <f t="shared" ref="Q39:Q45" si="14">B39</f>
        <v>宗地形状</v>
      </c>
      <c r="R39" s="1322" t="s">
        <v>65</v>
      </c>
      <c r="S39" s="1323">
        <f t="shared" si="10"/>
        <v>100</v>
      </c>
      <c r="T39" s="1322" t="s">
        <v>65</v>
      </c>
      <c r="U39" s="1323">
        <f t="shared" si="11"/>
        <v>100</v>
      </c>
      <c r="V39" s="1322" t="s">
        <v>65</v>
      </c>
      <c r="W39" s="1323">
        <f t="shared" si="12"/>
        <v>104</v>
      </c>
      <c r="X39" s="1316"/>
      <c r="Y39" s="3721"/>
      <c r="Z39" s="1324" t="str">
        <f t="shared" si="13"/>
        <v>宗地形状</v>
      </c>
      <c r="AA39" s="1325">
        <f t="shared" si="3"/>
        <v>1</v>
      </c>
      <c r="AB39" s="1325">
        <f t="shared" si="4"/>
        <v>1</v>
      </c>
      <c r="AC39" s="1325">
        <f t="shared" si="5"/>
        <v>0.96153846153846156</v>
      </c>
    </row>
    <row r="40" spans="1:29" ht="15">
      <c r="A40" s="813"/>
      <c r="B40" s="764" t="s">
        <v>487</v>
      </c>
      <c r="C40" s="109" t="s">
        <v>3295</v>
      </c>
      <c r="D40" s="777">
        <v>100</v>
      </c>
      <c r="E40" s="109" t="s">
        <v>3295</v>
      </c>
      <c r="F40" s="777">
        <f>SUMIF(121:121,E40,122:122)-SUMIF(121:121,C40,122:122)+100</f>
        <v>100</v>
      </c>
      <c r="G40" s="109" t="s">
        <v>3295</v>
      </c>
      <c r="H40" s="777">
        <f>SUMIF(121:121,G40,122:122)-SUMIF(121:121,C40,122:122)+100</f>
        <v>100</v>
      </c>
      <c r="I40" s="109" t="s">
        <v>3295</v>
      </c>
      <c r="J40" s="777">
        <f>SUMIF(121:121,I40,122:122)-SUMIF(121:121,C40,122:122)+100</f>
        <v>100</v>
      </c>
      <c r="K40" s="953">
        <v>1</v>
      </c>
      <c r="L40" s="2357"/>
      <c r="M40" s="2348"/>
      <c r="N40" s="2348"/>
      <c r="O40" s="2356"/>
      <c r="P40" s="3721"/>
      <c r="Q40" s="1321" t="str">
        <f t="shared" si="14"/>
        <v>临街宽度及深度</v>
      </c>
      <c r="R40" s="1322" t="s">
        <v>65</v>
      </c>
      <c r="S40" s="1323">
        <f t="shared" si="10"/>
        <v>100</v>
      </c>
      <c r="T40" s="1322" t="s">
        <v>65</v>
      </c>
      <c r="U40" s="1323">
        <f t="shared" si="11"/>
        <v>100</v>
      </c>
      <c r="V40" s="1322" t="s">
        <v>65</v>
      </c>
      <c r="W40" s="1323">
        <f t="shared" si="12"/>
        <v>100</v>
      </c>
      <c r="X40" s="1316"/>
      <c r="Y40" s="3721"/>
      <c r="Z40" s="1324" t="str">
        <f t="shared" si="13"/>
        <v>临街宽度及深度</v>
      </c>
      <c r="AA40" s="1325">
        <f t="shared" si="3"/>
        <v>1</v>
      </c>
      <c r="AB40" s="1325">
        <f t="shared" si="4"/>
        <v>1</v>
      </c>
      <c r="AC40" s="1325">
        <f t="shared" si="5"/>
        <v>1</v>
      </c>
    </row>
    <row r="41" spans="1:29" s="406" customFormat="1" ht="15">
      <c r="A41" s="814"/>
      <c r="B41" s="2609" t="s">
        <v>2497</v>
      </c>
      <c r="C41" s="1040" t="s">
        <v>3296</v>
      </c>
      <c r="D41" s="425">
        <v>100</v>
      </c>
      <c r="E41" s="1040" t="s">
        <v>2657</v>
      </c>
      <c r="F41" s="777">
        <f>SUMIF(123:123,E41,124:124)-SUMIF(123:123,C41,124:124)+100</f>
        <v>97</v>
      </c>
      <c r="G41" s="1040" t="s">
        <v>3298</v>
      </c>
      <c r="H41" s="777">
        <f>SUMIF(123:123,G41,124:124)-SUMIF(123:123,C41,124:124)+100</f>
        <v>97</v>
      </c>
      <c r="I41" s="1040" t="s">
        <v>3296</v>
      </c>
      <c r="J41" s="777">
        <f>SUMIF(123:123,I41,124:124)-SUMIF(123:123,C41,124:124)+100</f>
        <v>100</v>
      </c>
      <c r="K41" s="953">
        <v>1</v>
      </c>
      <c r="L41" s="2349"/>
      <c r="M41" s="2350"/>
      <c r="N41" s="2350"/>
      <c r="O41" s="2351"/>
      <c r="P41" s="3721"/>
      <c r="Q41" s="1321" t="str">
        <f t="shared" si="14"/>
        <v>宗地开发程度</v>
      </c>
      <c r="R41" s="1317" t="s">
        <v>65</v>
      </c>
      <c r="S41" s="1318">
        <f t="shared" si="10"/>
        <v>97</v>
      </c>
      <c r="T41" s="1317" t="s">
        <v>65</v>
      </c>
      <c r="U41" s="1318">
        <f t="shared" si="11"/>
        <v>97</v>
      </c>
      <c r="V41" s="1317" t="s">
        <v>65</v>
      </c>
      <c r="W41" s="1318">
        <f t="shared" si="12"/>
        <v>100</v>
      </c>
      <c r="X41" s="1319"/>
      <c r="Y41" s="3721"/>
      <c r="Z41" s="343" t="str">
        <f t="shared" si="13"/>
        <v>宗地开发程度</v>
      </c>
      <c r="AA41" s="1320">
        <f t="shared" si="3"/>
        <v>1.0309278350515463</v>
      </c>
      <c r="AB41" s="1320">
        <f t="shared" si="4"/>
        <v>1.0309278350515463</v>
      </c>
      <c r="AC41" s="1320">
        <f t="shared" si="5"/>
        <v>1</v>
      </c>
    </row>
    <row r="42" spans="1:29" ht="15">
      <c r="A42" s="813"/>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3"/>
      <c r="L42" s="2357"/>
      <c r="M42" s="2348"/>
      <c r="N42" s="2348"/>
      <c r="O42" s="2356"/>
      <c r="P42" s="3721" t="s">
        <v>408</v>
      </c>
      <c r="Q42" s="1321" t="str">
        <f t="shared" si="14"/>
        <v>工程地质条件</v>
      </c>
      <c r="R42" s="1322" t="s">
        <v>65</v>
      </c>
      <c r="S42" s="1323">
        <f t="shared" si="10"/>
        <v>100</v>
      </c>
      <c r="T42" s="1322" t="s">
        <v>65</v>
      </c>
      <c r="U42" s="1323">
        <f t="shared" si="11"/>
        <v>100</v>
      </c>
      <c r="V42" s="1322" t="s">
        <v>65</v>
      </c>
      <c r="W42" s="1323">
        <f t="shared" si="12"/>
        <v>100</v>
      </c>
      <c r="X42" s="1316"/>
      <c r="Y42" s="3721" t="s">
        <v>408</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7"/>
      <c r="M43" s="2348"/>
      <c r="N43" s="2348"/>
      <c r="O43" s="2356"/>
      <c r="P43" s="3721"/>
      <c r="Q43" s="1321">
        <f t="shared" si="14"/>
        <v>111</v>
      </c>
      <c r="R43" s="1322" t="s">
        <v>65</v>
      </c>
      <c r="S43" s="1323">
        <f t="shared" si="10"/>
        <v>100</v>
      </c>
      <c r="T43" s="1322" t="s">
        <v>65</v>
      </c>
      <c r="U43" s="1323">
        <f t="shared" si="11"/>
        <v>100</v>
      </c>
      <c r="V43" s="1322" t="s">
        <v>65</v>
      </c>
      <c r="W43" s="1323">
        <f t="shared" si="12"/>
        <v>100</v>
      </c>
      <c r="X43" s="1316"/>
      <c r="Y43" s="3721"/>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7"/>
      <c r="M44" s="2348"/>
      <c r="N44" s="2348"/>
      <c r="O44" s="2356"/>
      <c r="P44" s="3721"/>
      <c r="Q44" s="1321">
        <f t="shared" si="14"/>
        <v>111</v>
      </c>
      <c r="R44" s="1322" t="s">
        <v>65</v>
      </c>
      <c r="S44" s="1323">
        <f t="shared" si="10"/>
        <v>100</v>
      </c>
      <c r="T44" s="1322" t="s">
        <v>65</v>
      </c>
      <c r="U44" s="1323">
        <f t="shared" si="11"/>
        <v>100</v>
      </c>
      <c r="V44" s="1322" t="s">
        <v>65</v>
      </c>
      <c r="W44" s="1323">
        <f t="shared" si="12"/>
        <v>100</v>
      </c>
      <c r="X44" s="1316"/>
      <c r="Y44" s="3721"/>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21"/>
      <c r="Q45" s="1321">
        <f t="shared" si="14"/>
        <v>111</v>
      </c>
      <c r="R45" s="1327" t="s">
        <v>65</v>
      </c>
      <c r="S45" s="1328">
        <f t="shared" si="10"/>
        <v>100</v>
      </c>
      <c r="T45" s="1327" t="s">
        <v>65</v>
      </c>
      <c r="U45" s="1328">
        <f t="shared" si="11"/>
        <v>100</v>
      </c>
      <c r="V45" s="1327" t="s">
        <v>65</v>
      </c>
      <c r="W45" s="1328">
        <f t="shared" si="12"/>
        <v>100</v>
      </c>
      <c r="X45" s="1329"/>
      <c r="Y45" s="3721"/>
      <c r="Z45" s="1330">
        <f t="shared" si="13"/>
        <v>111</v>
      </c>
      <c r="AA45" s="1325">
        <f t="shared" si="3"/>
        <v>1</v>
      </c>
      <c r="AB45" s="1325">
        <f t="shared" si="4"/>
        <v>1</v>
      </c>
      <c r="AC45" s="1325">
        <f t="shared" si="5"/>
        <v>1</v>
      </c>
    </row>
    <row r="46" spans="1:29" ht="15">
      <c r="A46" s="820" t="s">
        <v>489</v>
      </c>
      <c r="B46" s="207" t="s">
        <v>3307</v>
      </c>
      <c r="C46" s="1089" t="s">
        <v>23</v>
      </c>
      <c r="D46" s="822"/>
      <c r="E46" s="823">
        <v>13080</v>
      </c>
      <c r="F46" s="824"/>
      <c r="G46" s="825">
        <v>12156</v>
      </c>
      <c r="H46" s="826"/>
      <c r="I46" s="823">
        <v>15159</v>
      </c>
      <c r="J46" s="826"/>
      <c r="K46" s="1398"/>
      <c r="L46" s="2360"/>
      <c r="M46" s="2361"/>
      <c r="N46" s="2348"/>
      <c r="O46" s="2361"/>
      <c r="P46" s="3713" t="str">
        <f>A46</f>
        <v>成交单价</v>
      </c>
      <c r="Q46" s="3713"/>
      <c r="R46" s="3741">
        <f>E46</f>
        <v>13080</v>
      </c>
      <c r="S46" s="3741"/>
      <c r="T46" s="3741">
        <f>G46</f>
        <v>12156</v>
      </c>
      <c r="U46" s="3741"/>
      <c r="V46" s="3741">
        <f>I46</f>
        <v>15159</v>
      </c>
      <c r="W46" s="3741"/>
      <c r="X46" s="1305"/>
      <c r="Y46" s="1331"/>
      <c r="Z46" s="1305"/>
      <c r="AA46" s="1305"/>
      <c r="AB46" s="1305"/>
      <c r="AC46" s="1305"/>
    </row>
    <row r="47" spans="1:29" ht="15.75" thickBot="1">
      <c r="A47" s="827" t="s">
        <v>410</v>
      </c>
      <c r="B47" s="1090"/>
      <c r="C47" s="831">
        <f>R48</f>
        <v>13977</v>
      </c>
      <c r="D47" s="830"/>
      <c r="E47" s="831">
        <f>R47</f>
        <v>12388</v>
      </c>
      <c r="F47" s="832"/>
      <c r="G47" s="829">
        <f>T47</f>
        <v>14831</v>
      </c>
      <c r="H47" s="830"/>
      <c r="I47" s="831">
        <f>V47</f>
        <v>14712</v>
      </c>
      <c r="J47" s="830"/>
      <c r="K47" s="1399"/>
      <c r="L47" s="2360"/>
      <c r="M47" s="2361"/>
      <c r="N47" s="2361"/>
      <c r="O47" s="2361"/>
      <c r="P47" s="3713" t="str">
        <f>A47</f>
        <v>比较价值（元/平方米）</v>
      </c>
      <c r="Q47" s="3713"/>
      <c r="R47" s="3753">
        <f>ROUND(PRODUCT(R46,AA7:AA45),0)</f>
        <v>12388</v>
      </c>
      <c r="S47" s="3753"/>
      <c r="T47" s="3753">
        <f>ROUND(PRODUCT(T46,AB7:AB45),0)</f>
        <v>14831</v>
      </c>
      <c r="U47" s="3753"/>
      <c r="V47" s="3753">
        <f>ROUND(PRODUCT(V46,AC7:AC45),0)</f>
        <v>14712</v>
      </c>
      <c r="W47" s="3753"/>
      <c r="X47" s="1305"/>
      <c r="Y47" s="1305"/>
      <c r="Z47" s="1305"/>
      <c r="AA47" s="1305"/>
      <c r="AB47" s="1305"/>
      <c r="AC47" s="1305"/>
    </row>
    <row r="48" spans="1:29" ht="15.75" thickBot="1">
      <c r="A48" s="115" t="s">
        <v>515</v>
      </c>
      <c r="B48" s="834"/>
      <c r="C48" s="835">
        <f>R48</f>
        <v>13977</v>
      </c>
      <c r="D48" s="835"/>
      <c r="E48" s="835"/>
      <c r="F48" s="835"/>
      <c r="G48" s="835"/>
      <c r="H48" s="835"/>
      <c r="I48" s="835"/>
      <c r="J48" s="835"/>
      <c r="K48" s="1400"/>
      <c r="L48" s="2360"/>
      <c r="M48" s="2361"/>
      <c r="N48" s="2361"/>
      <c r="O48" s="2361"/>
      <c r="P48" s="3715" t="str">
        <f>A48</f>
        <v>估价对象XX用房的比较价值（楼面单价，元/平方米）</v>
      </c>
      <c r="Q48" s="3716"/>
      <c r="R48" s="3754">
        <f>ROUND(AVERAGE(R47:V47),0)</f>
        <v>13977</v>
      </c>
      <c r="S48" s="3754"/>
      <c r="T48" s="3754"/>
      <c r="U48" s="3754"/>
      <c r="V48" s="3754"/>
      <c r="W48" s="3754"/>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5.586051017113336E-2</v>
      </c>
      <c r="F51" s="841" t="str">
        <f>IF(OR(E51&gt;=0.3,E51&lt;=-0.3),"超过30%","")</f>
        <v/>
      </c>
      <c r="G51" s="840">
        <f>IF(G46&lt;G47,G47/G46-1,G46/G47-1)</f>
        <v>0.22005593945376778</v>
      </c>
      <c r="H51" s="841" t="str">
        <f>IF(OR(G51&gt;=0.3,G51&lt;=-0.3),"超过30%","")</f>
        <v/>
      </c>
      <c r="I51" s="840">
        <f>IF(I46&lt;I47,I47/I46-1,I46/I47-1)</f>
        <v>3.0383360522022729E-2</v>
      </c>
      <c r="J51" s="841" t="str">
        <f>IF(OR(I51&gt;=0.3,I51&lt;=-0.3),"超过30%","")</f>
        <v/>
      </c>
      <c r="K51" s="2187"/>
      <c r="L51" s="2188"/>
      <c r="M51" s="2361"/>
      <c r="N51" s="2361"/>
      <c r="O51" s="2361"/>
    </row>
    <row r="52" spans="1:15" ht="13.5" customHeight="1">
      <c r="A52" s="2361"/>
      <c r="B52" s="2361"/>
      <c r="C52" s="838" t="s">
        <v>412</v>
      </c>
      <c r="D52" s="842"/>
      <c r="E52" s="840">
        <f>IF(E47&lt;G47,G47/E47-1,E47/G47-1)</f>
        <v>0.19720697449144331</v>
      </c>
      <c r="F52" s="841" t="str">
        <f>IF(OR(E52&gt;=0.2,E52&lt;=-0.2),"超过20%","")</f>
        <v/>
      </c>
      <c r="G52" s="840">
        <f>IF(G47&lt;I47,I47/G47-1,G47/I47-1)</f>
        <v>8.0886351277869029E-3</v>
      </c>
      <c r="H52" s="841" t="str">
        <f>IF(OR(G52&gt;=0.2,G52&lt;=-0.2),"超过20%","")</f>
        <v/>
      </c>
      <c r="I52" s="840">
        <f>IF(I47&lt;E47,E47/I47-1,I47/E47-1)</f>
        <v>0.1876009041007427</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7.6011846001974304E-2</v>
      </c>
      <c r="F53" s="841" t="str">
        <f>IF(OR(E53&gt;=0.3,E53&lt;=-0.3),"超过30%","")</f>
        <v/>
      </c>
      <c r="G53" s="840">
        <f>IF(G46&lt;I46,I46/G46-1,G46/I46-1)</f>
        <v>0.24703849950641654</v>
      </c>
      <c r="H53" s="841" t="str">
        <f>IF(OR(G53&gt;=0.3,G53&lt;=-0.3),"超过30%","")</f>
        <v/>
      </c>
      <c r="I53" s="840">
        <f>IF(I46&lt;E46,E46/I46-1,I46/E46-1)</f>
        <v>0.15894495412844045</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1888</v>
      </c>
      <c r="D55" s="2392" t="s">
        <v>2322</v>
      </c>
      <c r="E55" s="1093" t="s">
        <v>492</v>
      </c>
      <c r="F55" s="2189" t="s">
        <v>493</v>
      </c>
      <c r="G55" s="3755" t="s">
        <v>2315</v>
      </c>
      <c r="H55" s="3756"/>
      <c r="I55" s="2190" t="s">
        <v>1887</v>
      </c>
      <c r="J55" s="2194" t="str">
        <f>项目基本情况!F35</f>
        <v>怀柔区</v>
      </c>
      <c r="K55" s="2375" t="s">
        <v>1889</v>
      </c>
      <c r="L55" s="2188"/>
      <c r="M55" s="2361"/>
      <c r="N55" s="2361"/>
      <c r="O55" s="2361"/>
    </row>
    <row r="56" spans="1:15" s="1099" customFormat="1">
      <c r="A56" s="1095" t="s">
        <v>494</v>
      </c>
      <c r="B56" s="1096">
        <f>C48</f>
        <v>13977</v>
      </c>
      <c r="C56" s="1097">
        <v>1</v>
      </c>
      <c r="D56" s="2393">
        <v>1</v>
      </c>
      <c r="E56" s="1097">
        <f>'数据-汇总表'!E8+'数据-汇总表'!E9</f>
        <v>28973.439999999999</v>
      </c>
      <c r="F56" s="2185">
        <f t="shared" ref="F56:F65" si="15">ROUND(B56*E56/10000,0)</f>
        <v>40496</v>
      </c>
      <c r="G56" s="3757"/>
      <c r="H56" s="3758"/>
      <c r="I56" s="2191">
        <v>1</v>
      </c>
      <c r="J56" s="2195">
        <v>1</v>
      </c>
      <c r="K56" s="2362"/>
      <c r="L56" s="1772"/>
      <c r="M56" s="1772"/>
      <c r="N56" s="1772"/>
      <c r="O56" s="1772"/>
    </row>
    <row r="57" spans="1:15" s="1099" customFormat="1">
      <c r="A57" s="1100" t="s">
        <v>495</v>
      </c>
      <c r="B57" s="593">
        <f>ROUND($C$48*C57*D57,0)</f>
        <v>2097</v>
      </c>
      <c r="C57" s="531">
        <f t="shared" ref="C57:C65" si="16">IF($C$55="北京市系数",I57,J57)</f>
        <v>0.6</v>
      </c>
      <c r="D57" s="2394">
        <v>0.25</v>
      </c>
      <c r="E57" s="1101"/>
      <c r="F57" s="2185">
        <f t="shared" si="15"/>
        <v>0</v>
      </c>
      <c r="G57" s="3759" t="s">
        <v>2316</v>
      </c>
      <c r="H57" s="2186" t="str">
        <f>项目基本情况!B37</f>
        <v>八级</v>
      </c>
      <c r="I57" s="2191">
        <f>SUMIF(修正!A45:A56,H57,修正!B45:B56)</f>
        <v>0.6</v>
      </c>
      <c r="J57" s="2196"/>
      <c r="K57" s="2361"/>
      <c r="L57" s="1772"/>
      <c r="M57" s="1772"/>
      <c r="N57" s="1772"/>
      <c r="O57" s="1772"/>
    </row>
    <row r="58" spans="1:15" s="1099" customFormat="1">
      <c r="A58" s="1100" t="s">
        <v>496</v>
      </c>
      <c r="B58" s="593">
        <f t="shared" ref="B58:B65" si="17">ROUND($C$48*C58*D58,0)</f>
        <v>1048</v>
      </c>
      <c r="C58" s="531">
        <f t="shared" si="16"/>
        <v>0.3</v>
      </c>
      <c r="D58" s="2394">
        <v>0.25</v>
      </c>
      <c r="E58" s="1101"/>
      <c r="F58" s="2185">
        <f t="shared" si="15"/>
        <v>0</v>
      </c>
      <c r="G58" s="3759"/>
      <c r="H58" s="2186" t="str">
        <f>项目基本情况!B37</f>
        <v>八级</v>
      </c>
      <c r="I58" s="2191">
        <f>SUMIF(修正!A45:A56,H58,修正!C45:C56)</f>
        <v>0.3</v>
      </c>
      <c r="J58" s="2196"/>
      <c r="K58" s="2362"/>
      <c r="L58" s="1772"/>
      <c r="M58" s="1772"/>
      <c r="N58" s="1772"/>
      <c r="O58" s="1772"/>
    </row>
    <row r="59" spans="1:15" s="1099" customFormat="1">
      <c r="A59" s="1100" t="s">
        <v>497</v>
      </c>
      <c r="B59" s="593">
        <f t="shared" si="17"/>
        <v>699</v>
      </c>
      <c r="C59" s="531">
        <f t="shared" si="16"/>
        <v>0.2</v>
      </c>
      <c r="D59" s="2394">
        <v>0.25</v>
      </c>
      <c r="E59" s="1101"/>
      <c r="F59" s="2185">
        <f t="shared" si="15"/>
        <v>0</v>
      </c>
      <c r="G59" s="3759"/>
      <c r="H59" s="2186" t="str">
        <f>项目基本情况!B37</f>
        <v>八级</v>
      </c>
      <c r="I59" s="2191">
        <f>SUMIF(修正!A45:A56,H59,修正!D45:D56)</f>
        <v>0.2</v>
      </c>
      <c r="J59" s="2196"/>
      <c r="K59" s="2361"/>
      <c r="L59" s="1772"/>
      <c r="M59" s="1772"/>
      <c r="N59" s="1772"/>
      <c r="O59" s="1772"/>
    </row>
    <row r="60" spans="1:15" s="1099" customFormat="1">
      <c r="A60" s="1100" t="s">
        <v>498</v>
      </c>
      <c r="B60" s="593">
        <f t="shared" si="17"/>
        <v>699</v>
      </c>
      <c r="C60" s="531">
        <f t="shared" si="16"/>
        <v>0.2</v>
      </c>
      <c r="D60" s="2394">
        <v>0.25</v>
      </c>
      <c r="E60" s="1101"/>
      <c r="F60" s="2185">
        <f t="shared" si="15"/>
        <v>0</v>
      </c>
      <c r="G60" s="3759"/>
      <c r="H60" s="2186" t="str">
        <f>项目基本情况!B37</f>
        <v>八级</v>
      </c>
      <c r="I60" s="2191">
        <f>SUMIF(修正!A45:A56,H60,修正!E45:E56)</f>
        <v>0.2</v>
      </c>
      <c r="J60" s="2196"/>
      <c r="K60" s="2362"/>
      <c r="L60" s="1772"/>
      <c r="M60" s="1772"/>
      <c r="N60" s="1772"/>
      <c r="O60" s="1772"/>
    </row>
    <row r="61" spans="1:15" s="1099" customFormat="1">
      <c r="A61" s="2514" t="s">
        <v>2397</v>
      </c>
      <c r="B61" s="593">
        <f t="shared" si="17"/>
        <v>699</v>
      </c>
      <c r="C61" s="531">
        <f t="shared" si="16"/>
        <v>0.2</v>
      </c>
      <c r="D61" s="2394">
        <v>0.25</v>
      </c>
      <c r="E61" s="592">
        <f>'数据-汇总表'!E11</f>
        <v>0</v>
      </c>
      <c r="F61" s="2185">
        <f t="shared" si="15"/>
        <v>0</v>
      </c>
      <c r="G61" s="2198" t="s">
        <v>2317</v>
      </c>
      <c r="H61" s="2186" t="str">
        <f>项目基本情况!C37</f>
        <v>八级</v>
      </c>
      <c r="I61" s="2191">
        <f>SUMIF(修正!A45:A56,H61,修正!F45:F56)</f>
        <v>0.2</v>
      </c>
      <c r="J61" s="2196"/>
      <c r="K61" s="2361"/>
      <c r="L61" s="1772"/>
      <c r="M61" s="1772"/>
      <c r="N61" s="1772"/>
      <c r="O61" s="1772"/>
    </row>
    <row r="62" spans="1:15" s="1099" customFormat="1">
      <c r="A62" s="1100" t="s">
        <v>499</v>
      </c>
      <c r="B62" s="593">
        <f t="shared" si="17"/>
        <v>699</v>
      </c>
      <c r="C62" s="531">
        <f t="shared" si="16"/>
        <v>0.2</v>
      </c>
      <c r="D62" s="2394">
        <v>0.25</v>
      </c>
      <c r="E62" s="592">
        <f>'数据-汇总表'!E12</f>
        <v>0</v>
      </c>
      <c r="F62" s="2185">
        <f t="shared" si="15"/>
        <v>0</v>
      </c>
      <c r="G62" s="2192" t="s">
        <v>141</v>
      </c>
      <c r="H62" s="2186" t="str">
        <f>IF(G62="商业",项目基本情况!B37,IF(G62="办公",项目基本情况!C37,IF(G62="住宅",项目基本情况!D37,项目基本情况!E37)))</f>
        <v>八级</v>
      </c>
      <c r="I62" s="2191">
        <f>SUMIF(修正!A45:A56,H62,修正!G45:G56)</f>
        <v>0.2</v>
      </c>
      <c r="J62" s="2196"/>
      <c r="K62" s="2362"/>
      <c r="L62" s="1772"/>
      <c r="M62" s="1772"/>
      <c r="N62" s="1772"/>
      <c r="O62" s="1772"/>
    </row>
    <row r="63" spans="1:15" s="1099" customFormat="1">
      <c r="A63" s="1100" t="s">
        <v>500</v>
      </c>
      <c r="B63" s="593">
        <f t="shared" si="17"/>
        <v>0</v>
      </c>
      <c r="C63" s="531">
        <f t="shared" si="16"/>
        <v>0</v>
      </c>
      <c r="D63" s="2394">
        <v>0.25</v>
      </c>
      <c r="E63" s="592">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3">
        <f t="shared" si="17"/>
        <v>524</v>
      </c>
      <c r="C64" s="531">
        <f t="shared" si="16"/>
        <v>0.15</v>
      </c>
      <c r="D64" s="2394">
        <v>0.25</v>
      </c>
      <c r="E64" s="592">
        <f>'数据-汇总表'!E14</f>
        <v>0</v>
      </c>
      <c r="F64" s="2185">
        <f t="shared" si="15"/>
        <v>0</v>
      </c>
      <c r="G64" s="2198" t="s">
        <v>2318</v>
      </c>
      <c r="H64" s="2186" t="str">
        <f>项目基本情况!B37</f>
        <v>八级</v>
      </c>
      <c r="I64" s="2191">
        <f>SUMIF(修正!A45:A56,H64,修正!H45:H56)</f>
        <v>0.15</v>
      </c>
      <c r="J64" s="2196"/>
      <c r="K64" s="2362"/>
      <c r="L64" s="1772"/>
      <c r="M64" s="1772"/>
      <c r="N64" s="1772"/>
      <c r="O64" s="1772"/>
    </row>
    <row r="65" spans="1:17" s="1099" customFormat="1" ht="15" thickBot="1">
      <c r="A65" s="1100" t="s">
        <v>502</v>
      </c>
      <c r="B65" s="593">
        <f t="shared" si="17"/>
        <v>524</v>
      </c>
      <c r="C65" s="531">
        <f t="shared" si="16"/>
        <v>0.15</v>
      </c>
      <c r="D65" s="2394">
        <v>0.25</v>
      </c>
      <c r="E65" s="592">
        <f>'数据-汇总表'!E15</f>
        <v>0</v>
      </c>
      <c r="F65" s="2185">
        <f t="shared" si="15"/>
        <v>0</v>
      </c>
      <c r="G65" s="2199" t="s">
        <v>2317</v>
      </c>
      <c r="H65" s="2200" t="str">
        <f>项目基本情况!C37</f>
        <v>八级</v>
      </c>
      <c r="I65" s="2193">
        <f>SUMIF(修正!A45:A56,H65,修正!H45:H56)</f>
        <v>0.15</v>
      </c>
      <c r="J65" s="2197"/>
      <c r="K65" s="2361"/>
      <c r="L65" s="1772"/>
      <c r="M65" s="1772"/>
      <c r="N65" s="1772"/>
      <c r="O65" s="1772"/>
    </row>
    <row r="66" spans="1:17" s="1099" customFormat="1" ht="13.5" thickBot="1">
      <c r="A66" s="1102" t="s">
        <v>503</v>
      </c>
      <c r="B66" s="1103" t="s">
        <v>156</v>
      </c>
      <c r="C66" s="1103" t="s">
        <v>157</v>
      </c>
      <c r="D66" s="1103" t="s">
        <v>2323</v>
      </c>
      <c r="E66" s="1103">
        <f>IF(B46="楼面地价",SUM(E56:E65),'数据-汇总表'!D3)</f>
        <v>28973.439999999999</v>
      </c>
      <c r="F66" s="1104">
        <f>IF(B46="楼面地价",SUM(F56:F65),ROUND(C48*E66/10000,0))</f>
        <v>40496</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f>C71-1.5</f>
        <v>98.5</v>
      </c>
      <c r="E71" s="936">
        <f t="shared" ref="E71:O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 t="shared" si="20"/>
        <v>82</v>
      </c>
      <c r="P71" s="845"/>
    </row>
    <row r="72" spans="1:17" s="406" customFormat="1" ht="15.75" thickBot="1">
      <c r="A72" s="856" t="s">
        <v>415</v>
      </c>
      <c r="B72" s="857"/>
      <c r="C72" s="858"/>
      <c r="D72" s="859"/>
      <c r="E72" s="859"/>
      <c r="F72" s="859"/>
      <c r="G72" s="859"/>
      <c r="H72" s="859"/>
      <c r="I72" s="859"/>
      <c r="J72" s="859"/>
      <c r="K72" s="859"/>
      <c r="L72" s="859"/>
      <c r="M72" s="860"/>
      <c r="N72" s="859"/>
      <c r="O72" s="2380"/>
      <c r="P72" s="845"/>
      <c r="Q72" s="845"/>
    </row>
    <row r="73" spans="1:17" s="406" customFormat="1" ht="15">
      <c r="A73" s="862" t="s">
        <v>399</v>
      </c>
      <c r="B73" s="851"/>
      <c r="C73" s="863" t="s">
        <v>416</v>
      </c>
      <c r="D73" s="140"/>
      <c r="E73" s="140"/>
      <c r="F73" s="140"/>
      <c r="G73" s="140"/>
      <c r="H73" s="140"/>
      <c r="I73" s="140"/>
      <c r="J73" s="140"/>
      <c r="K73" s="140"/>
      <c r="L73" s="141"/>
      <c r="M73" s="1049"/>
      <c r="N73" s="2368"/>
      <c r="O73" s="2368"/>
      <c r="P73" s="867"/>
      <c r="Q73" s="845"/>
    </row>
    <row r="74" spans="1:17" s="406"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3278</v>
      </c>
      <c r="D75" s="122" t="s">
        <v>3279</v>
      </c>
      <c r="E75" s="122"/>
      <c r="F75" s="122"/>
      <c r="G75" s="122"/>
      <c r="H75" s="122"/>
      <c r="I75" s="122"/>
      <c r="J75" s="122"/>
      <c r="K75" s="123"/>
      <c r="L75" s="124"/>
      <c r="M75" s="125"/>
      <c r="N75" s="2369"/>
      <c r="O75" s="2369"/>
      <c r="P75" s="333"/>
      <c r="Q75" s="845"/>
    </row>
    <row r="76" spans="1:17" ht="15.75" thickBot="1">
      <c r="A76" s="875"/>
      <c r="B76" s="876"/>
      <c r="C76" s="877">
        <v>100</v>
      </c>
      <c r="D76" s="877">
        <v>95</v>
      </c>
      <c r="E76" s="877"/>
      <c r="F76" s="877"/>
      <c r="G76" s="877"/>
      <c r="H76" s="877"/>
      <c r="I76" s="877"/>
      <c r="J76" s="877"/>
      <c r="K76" s="877"/>
      <c r="L76" s="877"/>
      <c r="M76" s="878"/>
      <c r="N76" s="2370"/>
      <c r="O76" s="2370"/>
      <c r="P76" s="333"/>
      <c r="Q76" s="845"/>
    </row>
    <row r="77" spans="1:17" ht="27.75" thickTop="1">
      <c r="A77" s="875"/>
      <c r="B77" s="879" t="s">
        <v>403</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404</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5（含）-6</v>
      </c>
      <c r="I79" s="888" t="str">
        <f t="shared" si="21"/>
        <v>6（含）-7</v>
      </c>
      <c r="J79" s="888" t="str">
        <f t="shared" si="21"/>
        <v>7（含）-</v>
      </c>
      <c r="K79" s="888" t="str">
        <f t="shared" si="21"/>
        <v>（含）-</v>
      </c>
      <c r="L79" s="888" t="str">
        <f t="shared" si="21"/>
        <v>（含）-</v>
      </c>
      <c r="M79" s="790" t="str">
        <f>M80&amp;"（含）"&amp;"-"&amp;P80</f>
        <v>（含）-</v>
      </c>
      <c r="N79" s="2370"/>
      <c r="O79" s="2370"/>
      <c r="P79" s="333"/>
      <c r="Q79" s="845"/>
    </row>
    <row r="80" spans="1:17" ht="15">
      <c r="A80" s="875"/>
      <c r="B80" s="889"/>
      <c r="C80" s="890">
        <v>0</v>
      </c>
      <c r="D80" s="890">
        <v>1</v>
      </c>
      <c r="E80" s="890">
        <v>2</v>
      </c>
      <c r="F80" s="890">
        <v>3</v>
      </c>
      <c r="G80" s="890">
        <v>4</v>
      </c>
      <c r="H80" s="890">
        <v>5</v>
      </c>
      <c r="I80" s="890">
        <v>6</v>
      </c>
      <c r="J80" s="890">
        <v>7</v>
      </c>
      <c r="K80" s="891"/>
      <c r="L80" s="892"/>
      <c r="M80" s="893"/>
      <c r="N80" s="2369"/>
      <c r="O80" s="2369"/>
      <c r="P80" s="333"/>
      <c r="Q80" s="845"/>
    </row>
    <row r="81" spans="1:17" ht="15.75" thickBot="1">
      <c r="A81" s="875"/>
      <c r="B81" s="876"/>
      <c r="C81" s="885">
        <v>100</v>
      </c>
      <c r="D81" s="885">
        <f t="shared" ref="D81:M81" si="22">IF($B$46="单位面积地价",C81+$K11,C81-$K11)</f>
        <v>95.5</v>
      </c>
      <c r="E81" s="885">
        <f t="shared" si="22"/>
        <v>91</v>
      </c>
      <c r="F81" s="885">
        <f t="shared" si="22"/>
        <v>86.5</v>
      </c>
      <c r="G81" s="885">
        <f t="shared" si="22"/>
        <v>82</v>
      </c>
      <c r="H81" s="885">
        <f t="shared" si="22"/>
        <v>77.5</v>
      </c>
      <c r="I81" s="885">
        <f t="shared" si="22"/>
        <v>73</v>
      </c>
      <c r="J81" s="885">
        <f t="shared" si="22"/>
        <v>68.5</v>
      </c>
      <c r="K81" s="885">
        <f t="shared" si="22"/>
        <v>64</v>
      </c>
      <c r="L81" s="885">
        <f t="shared" si="22"/>
        <v>59.5</v>
      </c>
      <c r="M81" s="885">
        <f t="shared" si="22"/>
        <v>55</v>
      </c>
      <c r="N81" s="2370"/>
      <c r="O81" s="2370"/>
      <c r="P81" s="333"/>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3"/>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3"/>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70"/>
      <c r="O93" s="2370"/>
      <c r="P93" s="333"/>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3"/>
      <c r="Q94" s="845"/>
    </row>
    <row r="95" spans="1:17" ht="15.75" thickBot="1">
      <c r="A95" s="875"/>
      <c r="B95" s="884"/>
      <c r="C95" s="885">
        <v>100</v>
      </c>
      <c r="D95" s="885">
        <f>C95-$K21</f>
        <v>99</v>
      </c>
      <c r="E95" s="885">
        <f>D95-$K21</f>
        <v>98</v>
      </c>
      <c r="F95" s="885">
        <f>E95-$K21</f>
        <v>97</v>
      </c>
      <c r="G95" s="885">
        <f>F95-$K21</f>
        <v>96</v>
      </c>
      <c r="H95" s="885"/>
      <c r="I95" s="885"/>
      <c r="J95" s="885"/>
      <c r="K95" s="885"/>
      <c r="L95" s="885"/>
      <c r="M95" s="886"/>
      <c r="N95" s="2370"/>
      <c r="O95" s="2370"/>
      <c r="P95" s="333"/>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3"/>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3"/>
      <c r="Q99" s="845"/>
    </row>
    <row r="100" spans="1:17" s="812" customFormat="1" ht="15.75" thickTop="1">
      <c r="A100" s="894"/>
      <c r="B100" s="1052" t="s">
        <v>2665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99</v>
      </c>
      <c r="E101" s="885">
        <f>D101-$K27</f>
        <v>98</v>
      </c>
      <c r="F101" s="885">
        <f>E101-$K27</f>
        <v>97</v>
      </c>
      <c r="G101" s="885">
        <f>F101-$K27</f>
        <v>96</v>
      </c>
      <c r="H101" s="948"/>
      <c r="I101" s="948"/>
      <c r="J101" s="948"/>
      <c r="K101" s="948"/>
      <c r="L101" s="948"/>
      <c r="M101" s="949"/>
      <c r="N101" s="2371"/>
      <c r="O101" s="2371"/>
      <c r="P101" s="899"/>
      <c r="Q101" s="900"/>
    </row>
    <row r="102" spans="1:17" s="812" customFormat="1" ht="15.75" thickTop="1">
      <c r="A102" s="894"/>
      <c r="B102" s="1054" t="s">
        <v>2652</v>
      </c>
      <c r="C102" s="213" t="s">
        <v>2653</v>
      </c>
      <c r="D102" s="213" t="s">
        <v>2654</v>
      </c>
      <c r="E102" s="213" t="s">
        <v>2655</v>
      </c>
      <c r="F102" s="213" t="s">
        <v>2656</v>
      </c>
      <c r="G102" s="213" t="s">
        <v>2657</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3"/>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70"/>
      <c r="O105" s="2370"/>
      <c r="P105" s="333"/>
      <c r="Q105" s="845"/>
    </row>
    <row r="106" spans="1:17" ht="27.75" thickTop="1">
      <c r="A106" s="875"/>
      <c r="B106" s="879" t="s">
        <v>441</v>
      </c>
      <c r="C106" s="139" t="s">
        <v>3284</v>
      </c>
      <c r="D106" s="139" t="s">
        <v>3286</v>
      </c>
      <c r="E106" s="139" t="s">
        <v>3288</v>
      </c>
      <c r="F106" s="139" t="s">
        <v>3290</v>
      </c>
      <c r="G106" s="139"/>
      <c r="H106" s="131"/>
      <c r="I106" s="131"/>
      <c r="J106" s="131"/>
      <c r="K106" s="132"/>
      <c r="L106" s="133"/>
      <c r="M106" s="134"/>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484</v>
      </c>
      <c r="C108" s="131"/>
      <c r="D108" s="131"/>
      <c r="E108" s="131"/>
      <c r="F108" s="131"/>
      <c r="G108" s="131"/>
      <c r="H108" s="131"/>
      <c r="I108" s="131"/>
      <c r="J108" s="131"/>
      <c r="K108" s="132"/>
      <c r="L108" s="133"/>
      <c r="M108" s="134"/>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9"/>
      <c r="D110" s="139"/>
      <c r="E110" s="139"/>
      <c r="F110" s="139"/>
      <c r="G110" s="135"/>
      <c r="H110" s="135"/>
      <c r="I110" s="135"/>
      <c r="J110" s="135"/>
      <c r="K110" s="136"/>
      <c r="L110" s="137"/>
      <c r="M110" s="138"/>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40"/>
      <c r="D112" s="140"/>
      <c r="E112" s="140"/>
      <c r="F112" s="140"/>
      <c r="G112" s="131"/>
      <c r="H112" s="131"/>
      <c r="I112" s="131"/>
      <c r="J112" s="131"/>
      <c r="K112" s="132"/>
      <c r="L112" s="133"/>
      <c r="M112" s="134"/>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36" customHeight="1" thickBot="1">
      <c r="A116" s="868" t="s">
        <v>407</v>
      </c>
      <c r="B116" s="869" t="s">
        <v>511</v>
      </c>
      <c r="C116" s="3405" t="str">
        <f>C117&amp;"（含）"&amp;"-"&amp;D117</f>
        <v>0（含）-20000</v>
      </c>
      <c r="D116" s="3405" t="str">
        <f t="shared" ref="D116" si="26">D117&amp;"（含）"&amp;"-"&amp;E117</f>
        <v>20000（含）-50000</v>
      </c>
      <c r="E116" s="3405" t="str">
        <f t="shared" ref="E116" si="27">E117&amp;"（含）"&amp;"-"&amp;F117</f>
        <v>50000（含）-80000</v>
      </c>
      <c r="F116" s="3405" t="str">
        <f t="shared" ref="F116" si="28">F117&amp;"（含）"&amp;"-"&amp;G117</f>
        <v>80000（含）-110000</v>
      </c>
      <c r="G116" s="3405" t="str">
        <f t="shared" ref="G116" si="29">G117&amp;"（含）"&amp;"-"&amp;H117</f>
        <v>110000（含）-</v>
      </c>
      <c r="H116" s="3405" t="str">
        <f t="shared" ref="H116" si="30">H117&amp;"（含）"&amp;"-"&amp;I117</f>
        <v>（含）-</v>
      </c>
      <c r="I116" s="3405" t="str">
        <f t="shared" ref="I116" si="31">I117&amp;"（含）"&amp;"-"&amp;J117</f>
        <v>（含）-</v>
      </c>
      <c r="J116" s="3405" t="str">
        <f t="shared" ref="J116" si="32">J117&amp;"（含）"&amp;"-"&amp;K117</f>
        <v>（含）-</v>
      </c>
      <c r="K116" s="3405" t="str">
        <f t="shared" ref="K116" si="33">K117&amp;"（含）"&amp;"-"&amp;L117</f>
        <v>（含）-</v>
      </c>
      <c r="L116" s="3405" t="str">
        <f t="shared" ref="L116" si="34">L117&amp;"（含）"&amp;"-"&amp;M117</f>
        <v>（含）-</v>
      </c>
      <c r="M116" s="3406" t="str">
        <f>M117&amp;"（含）"&amp;"-"&amp;P117</f>
        <v>（含）-</v>
      </c>
      <c r="N116" s="2369"/>
      <c r="O116" s="2369"/>
      <c r="P116" s="333"/>
      <c r="Q116" s="845"/>
    </row>
    <row r="117" spans="1:17" ht="15">
      <c r="A117" s="875"/>
      <c r="B117" s="887"/>
      <c r="C117" s="871">
        <v>0</v>
      </c>
      <c r="D117" s="871">
        <v>20000</v>
      </c>
      <c r="E117" s="871">
        <v>50000</v>
      </c>
      <c r="F117" s="871">
        <v>80000</v>
      </c>
      <c r="G117" s="871">
        <v>110000</v>
      </c>
      <c r="H117" s="936"/>
      <c r="I117" s="936"/>
      <c r="J117" s="937"/>
      <c r="K117" s="937"/>
      <c r="L117" s="938"/>
      <c r="M117" s="939"/>
      <c r="N117" s="2369"/>
      <c r="O117" s="2369"/>
      <c r="P117" s="333"/>
      <c r="Q117" s="845"/>
    </row>
    <row r="118" spans="1:17" ht="15.75" thickBot="1">
      <c r="A118" s="875"/>
      <c r="B118" s="884"/>
      <c r="C118" s="911">
        <v>100</v>
      </c>
      <c r="D118" s="932">
        <v>101</v>
      </c>
      <c r="E118" s="932">
        <v>102</v>
      </c>
      <c r="F118" s="932">
        <v>103</v>
      </c>
      <c r="G118" s="932">
        <v>104</v>
      </c>
      <c r="H118" s="932"/>
      <c r="I118" s="932"/>
      <c r="J118" s="932"/>
      <c r="K118" s="932"/>
      <c r="L118" s="932"/>
      <c r="M118" s="933"/>
      <c r="N118" s="2370"/>
      <c r="O118" s="2370"/>
      <c r="P118" s="333"/>
      <c r="Q118" s="845"/>
    </row>
    <row r="119" spans="1:17" ht="15" thickTop="1">
      <c r="A119" s="940"/>
      <c r="B119" s="879" t="s">
        <v>512</v>
      </c>
      <c r="C119" s="131" t="s">
        <v>3291</v>
      </c>
      <c r="D119" s="131" t="s">
        <v>3292</v>
      </c>
      <c r="E119" s="131" t="s">
        <v>3294</v>
      </c>
      <c r="F119" s="131"/>
      <c r="G119" s="131"/>
      <c r="H119" s="131"/>
      <c r="I119" s="131"/>
      <c r="J119" s="131"/>
      <c r="K119" s="132"/>
      <c r="L119" s="133"/>
      <c r="M119" s="134"/>
      <c r="N119" s="2369"/>
      <c r="O119" s="2369"/>
      <c r="P119" s="333"/>
      <c r="Q119" s="845"/>
    </row>
    <row r="120" spans="1:17" ht="15.75" thickBot="1">
      <c r="A120" s="875"/>
      <c r="B120" s="884"/>
      <c r="C120" s="885">
        <v>100</v>
      </c>
      <c r="D120" s="885">
        <f t="shared" ref="D120:M120" si="35">C120-$K39</f>
        <v>98</v>
      </c>
      <c r="E120" s="885">
        <f t="shared" si="35"/>
        <v>96</v>
      </c>
      <c r="F120" s="885">
        <f t="shared" si="35"/>
        <v>94</v>
      </c>
      <c r="G120" s="885">
        <f t="shared" si="35"/>
        <v>92</v>
      </c>
      <c r="H120" s="885">
        <f t="shared" si="35"/>
        <v>90</v>
      </c>
      <c r="I120" s="885">
        <f t="shared" si="35"/>
        <v>88</v>
      </c>
      <c r="J120" s="885">
        <f t="shared" si="35"/>
        <v>86</v>
      </c>
      <c r="K120" s="885">
        <f t="shared" si="35"/>
        <v>84</v>
      </c>
      <c r="L120" s="885">
        <f t="shared" si="35"/>
        <v>82</v>
      </c>
      <c r="M120" s="886">
        <f t="shared" si="35"/>
        <v>80</v>
      </c>
      <c r="N120" s="2370"/>
      <c r="O120" s="2370"/>
      <c r="P120" s="333"/>
      <c r="Q120" s="845"/>
    </row>
    <row r="121" spans="1:17" ht="15" thickTop="1">
      <c r="A121" s="940"/>
      <c r="B121" s="879" t="s">
        <v>513</v>
      </c>
      <c r="C121" s="139"/>
      <c r="D121" s="139"/>
      <c r="E121" s="139"/>
      <c r="F121" s="131"/>
      <c r="G121" s="131"/>
      <c r="H121" s="131"/>
      <c r="I121" s="131"/>
      <c r="J121" s="131"/>
      <c r="K121" s="132"/>
      <c r="L121" s="133"/>
      <c r="M121" s="134"/>
      <c r="N121" s="2369"/>
      <c r="O121" s="2369"/>
      <c r="P121" s="333"/>
      <c r="Q121" s="845"/>
    </row>
    <row r="122" spans="1:17" ht="15.75" thickBot="1">
      <c r="A122" s="875"/>
      <c r="B122" s="884"/>
      <c r="C122" s="885">
        <v>100</v>
      </c>
      <c r="D122" s="885">
        <f t="shared" ref="D122:M122" si="36">C122-$K40</f>
        <v>99</v>
      </c>
      <c r="E122" s="885">
        <f t="shared" si="36"/>
        <v>98</v>
      </c>
      <c r="F122" s="885">
        <f t="shared" si="36"/>
        <v>97</v>
      </c>
      <c r="G122" s="885">
        <f t="shared" si="36"/>
        <v>96</v>
      </c>
      <c r="H122" s="885">
        <f t="shared" si="36"/>
        <v>95</v>
      </c>
      <c r="I122" s="885">
        <f t="shared" si="36"/>
        <v>94</v>
      </c>
      <c r="J122" s="885">
        <f t="shared" si="36"/>
        <v>93</v>
      </c>
      <c r="K122" s="885">
        <f t="shared" si="36"/>
        <v>92</v>
      </c>
      <c r="L122" s="885">
        <f t="shared" si="36"/>
        <v>91</v>
      </c>
      <c r="M122" s="886">
        <f t="shared" si="36"/>
        <v>90</v>
      </c>
      <c r="N122" s="2370"/>
      <c r="O122" s="2370"/>
      <c r="P122" s="333"/>
      <c r="Q122" s="845"/>
    </row>
    <row r="123" spans="1:17" s="812" customFormat="1" ht="15" thickTop="1">
      <c r="A123" s="934"/>
      <c r="B123" s="1052" t="s">
        <v>2496</v>
      </c>
      <c r="C123" s="139" t="s">
        <v>3302</v>
      </c>
      <c r="D123" s="139" t="s">
        <v>3303</v>
      </c>
      <c r="E123" s="139" t="s">
        <v>3304</v>
      </c>
      <c r="F123" s="139" t="s">
        <v>3305</v>
      </c>
      <c r="G123" s="139" t="s">
        <v>3306</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7">D124-$K41</f>
        <v>98</v>
      </c>
      <c r="F124" s="885">
        <f t="shared" si="37"/>
        <v>97</v>
      </c>
      <c r="G124" s="885">
        <f t="shared" si="37"/>
        <v>96</v>
      </c>
      <c r="H124" s="885">
        <f t="shared" si="37"/>
        <v>95</v>
      </c>
      <c r="I124" s="885">
        <f t="shared" si="37"/>
        <v>94</v>
      </c>
      <c r="J124" s="885">
        <f t="shared" si="37"/>
        <v>93</v>
      </c>
      <c r="K124" s="885">
        <f t="shared" si="37"/>
        <v>92</v>
      </c>
      <c r="L124" s="885">
        <f t="shared" si="37"/>
        <v>91</v>
      </c>
      <c r="M124" s="886">
        <f t="shared" si="37"/>
        <v>90</v>
      </c>
      <c r="N124" s="2371"/>
      <c r="O124" s="2371"/>
      <c r="P124" s="899"/>
      <c r="Q124" s="900"/>
    </row>
    <row r="125" spans="1:17" ht="15" thickTop="1">
      <c r="A125" s="940"/>
      <c r="B125" s="879" t="s">
        <v>514</v>
      </c>
      <c r="C125" s="139"/>
      <c r="D125" s="139"/>
      <c r="E125" s="131"/>
      <c r="F125" s="131"/>
      <c r="G125" s="131"/>
      <c r="H125" s="131"/>
      <c r="I125" s="131"/>
      <c r="J125" s="131"/>
      <c r="K125" s="132"/>
      <c r="L125" s="133"/>
      <c r="M125" s="134"/>
      <c r="N125" s="2369"/>
      <c r="O125" s="2369"/>
      <c r="P125" s="333"/>
      <c r="Q125" s="845"/>
    </row>
    <row r="126" spans="1:17" ht="15.75" thickBot="1">
      <c r="A126" s="875"/>
      <c r="B126" s="884"/>
      <c r="C126" s="885">
        <v>100</v>
      </c>
      <c r="D126" s="885">
        <f t="shared" ref="D126:M126" si="38">C126-$K42</f>
        <v>100</v>
      </c>
      <c r="E126" s="885">
        <f t="shared" si="38"/>
        <v>100</v>
      </c>
      <c r="F126" s="885">
        <f t="shared" si="38"/>
        <v>100</v>
      </c>
      <c r="G126" s="885">
        <f t="shared" si="38"/>
        <v>100</v>
      </c>
      <c r="H126" s="885">
        <f t="shared" si="38"/>
        <v>100</v>
      </c>
      <c r="I126" s="885">
        <f t="shared" si="38"/>
        <v>100</v>
      </c>
      <c r="J126" s="885">
        <f t="shared" si="38"/>
        <v>100</v>
      </c>
      <c r="K126" s="885">
        <f t="shared" si="38"/>
        <v>100</v>
      </c>
      <c r="L126" s="885">
        <f t="shared" si="38"/>
        <v>100</v>
      </c>
      <c r="M126" s="886">
        <f t="shared" si="38"/>
        <v>100</v>
      </c>
      <c r="N126" s="2370"/>
      <c r="O126" s="2370"/>
      <c r="P126" s="333"/>
      <c r="Q126" s="845"/>
    </row>
    <row r="127" spans="1:17" ht="15" thickTop="1">
      <c r="A127" s="940"/>
      <c r="B127" s="879">
        <f>B43</f>
        <v>111</v>
      </c>
      <c r="C127" s="139"/>
      <c r="D127" s="139"/>
      <c r="E127" s="139"/>
      <c r="F127" s="139"/>
      <c r="G127" s="139"/>
      <c r="H127" s="131"/>
      <c r="I127" s="131"/>
      <c r="J127" s="131"/>
      <c r="K127" s="132"/>
      <c r="L127" s="133"/>
      <c r="M127" s="134"/>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40"/>
      <c r="D129" s="140"/>
      <c r="E129" s="140"/>
      <c r="F129" s="140"/>
      <c r="G129" s="131"/>
      <c r="H129" s="131"/>
      <c r="I129" s="131"/>
      <c r="J129" s="131"/>
      <c r="K129" s="132"/>
      <c r="L129" s="133"/>
      <c r="M129" s="134"/>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2883</v>
      </c>
      <c r="D3" s="3051"/>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389</v>
      </c>
      <c r="B4" s="744"/>
      <c r="C4" s="3725" t="s">
        <v>390</v>
      </c>
      <c r="D4" s="3726"/>
      <c r="E4" s="3727" t="s">
        <v>391</v>
      </c>
      <c r="F4" s="3728"/>
      <c r="G4" s="3725" t="s">
        <v>392</v>
      </c>
      <c r="H4" s="3726"/>
      <c r="I4" s="3725" t="s">
        <v>393</v>
      </c>
      <c r="J4" s="3726"/>
      <c r="K4" s="951" t="s">
        <v>394</v>
      </c>
      <c r="L4" s="2347"/>
      <c r="M4" s="2348"/>
      <c r="N4" s="2348"/>
      <c r="O4" s="2348"/>
      <c r="P4" s="3729" t="s">
        <v>395</v>
      </c>
      <c r="Q4" s="3730"/>
      <c r="R4" s="3735" t="s">
        <v>391</v>
      </c>
      <c r="S4" s="3736"/>
      <c r="T4" s="3735" t="s">
        <v>392</v>
      </c>
      <c r="U4" s="3736"/>
      <c r="V4" s="3741" t="s">
        <v>393</v>
      </c>
      <c r="W4" s="3741"/>
      <c r="X4" s="1316"/>
      <c r="Y4" s="3735" t="s">
        <v>395</v>
      </c>
      <c r="Z4" s="3736"/>
      <c r="AA4" s="3722" t="s">
        <v>391</v>
      </c>
      <c r="AB4" s="3723" t="s">
        <v>392</v>
      </c>
      <c r="AC4" s="3722" t="s">
        <v>393</v>
      </c>
    </row>
    <row r="5" spans="1:29" ht="15">
      <c r="A5" s="746"/>
      <c r="B5" s="747"/>
      <c r="C5" s="3688" t="s">
        <v>1127</v>
      </c>
      <c r="D5" s="3689"/>
      <c r="E5" s="3695" t="s">
        <v>1128</v>
      </c>
      <c r="F5" s="3696"/>
      <c r="G5" s="3688" t="s">
        <v>1131</v>
      </c>
      <c r="H5" s="3689"/>
      <c r="I5" s="3688" t="s">
        <v>1129</v>
      </c>
      <c r="J5" s="3689"/>
      <c r="K5" s="951"/>
      <c r="L5" s="2347"/>
      <c r="M5" s="2348"/>
      <c r="N5" s="2348"/>
      <c r="O5" s="2348"/>
      <c r="P5" s="3731"/>
      <c r="Q5" s="3732"/>
      <c r="R5" s="3737"/>
      <c r="S5" s="3738"/>
      <c r="T5" s="3737"/>
      <c r="U5" s="3738"/>
      <c r="V5" s="3741"/>
      <c r="W5" s="3741"/>
      <c r="X5" s="1316"/>
      <c r="Y5" s="3737"/>
      <c r="Z5" s="3738"/>
      <c r="AA5" s="3723"/>
      <c r="AB5" s="3723"/>
      <c r="AC5" s="3723"/>
    </row>
    <row r="6" spans="1:29" ht="15.75" thickBot="1">
      <c r="A6" s="748"/>
      <c r="B6" s="749"/>
      <c r="C6" s="3760" t="s">
        <v>1130</v>
      </c>
      <c r="D6" s="3761"/>
      <c r="E6" s="3762" t="s">
        <v>1130</v>
      </c>
      <c r="F6" s="3763"/>
      <c r="G6" s="3760" t="s">
        <v>1130</v>
      </c>
      <c r="H6" s="3761"/>
      <c r="I6" s="3760" t="s">
        <v>1130</v>
      </c>
      <c r="J6" s="3761"/>
      <c r="K6" s="951" t="s">
        <v>396</v>
      </c>
      <c r="L6" s="2347"/>
      <c r="M6" s="2348"/>
      <c r="N6" s="2348"/>
      <c r="O6" s="2348"/>
      <c r="P6" s="3733"/>
      <c r="Q6" s="3734"/>
      <c r="R6" s="3737"/>
      <c r="S6" s="3738"/>
      <c r="T6" s="3739"/>
      <c r="U6" s="3740"/>
      <c r="V6" s="3741"/>
      <c r="W6" s="3741"/>
      <c r="X6" s="1316"/>
      <c r="Y6" s="3739"/>
      <c r="Z6" s="3740"/>
      <c r="AA6" s="3724"/>
      <c r="AB6" s="3724"/>
      <c r="AC6" s="3724"/>
    </row>
    <row r="7" spans="1:29" s="406" customFormat="1" ht="15.75" thickBot="1">
      <c r="A7" s="750" t="s">
        <v>397</v>
      </c>
      <c r="B7" s="751"/>
      <c r="C7" s="752">
        <f>'数据-取费表'!B2</f>
        <v>42986</v>
      </c>
      <c r="D7" s="753">
        <v>100</v>
      </c>
      <c r="E7" s="1015"/>
      <c r="F7" s="755">
        <f>SUMIF(65:65,YEAR(E7)&amp;"-"&amp;INT((MONTH(E7)+2)/3),66:66)</f>
        <v>0</v>
      </c>
      <c r="G7" s="1016"/>
      <c r="H7" s="753">
        <f>SUMIF(65:65,YEAR(G7)&amp;"-"&amp;INT((MONTH(G7)+2)/3),66:66)</f>
        <v>0</v>
      </c>
      <c r="I7" s="1016"/>
      <c r="J7" s="753">
        <f>SUMIF(65:65,YEAR(I7)&amp;"-"&amp;INT((MONTH(I7)+2)/3),66:66)</f>
        <v>0</v>
      </c>
      <c r="K7" s="952"/>
      <c r="L7" s="2349"/>
      <c r="M7" s="2350"/>
      <c r="N7" s="2350"/>
      <c r="O7" s="2350"/>
      <c r="P7" s="3746" t="s">
        <v>398</v>
      </c>
      <c r="Q7" s="3748"/>
      <c r="R7" s="1317" t="s">
        <v>65</v>
      </c>
      <c r="S7" s="1318">
        <f t="shared" ref="S7:S15" si="0">F7</f>
        <v>0</v>
      </c>
      <c r="T7" s="1317" t="s">
        <v>65</v>
      </c>
      <c r="U7" s="1318">
        <f t="shared" ref="U7:U15" si="1">H7</f>
        <v>0</v>
      </c>
      <c r="V7" s="1317" t="s">
        <v>65</v>
      </c>
      <c r="W7" s="1318">
        <f t="shared" ref="W7:W15" si="2">J7</f>
        <v>0</v>
      </c>
      <c r="X7" s="1319"/>
      <c r="Y7" s="3746" t="s">
        <v>398</v>
      </c>
      <c r="Z7" s="3747"/>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49"/>
      <c r="M9" s="2350"/>
      <c r="N9" s="2350"/>
      <c r="O9" s="2351"/>
      <c r="P9" s="3713" t="s">
        <v>401</v>
      </c>
      <c r="Q9" s="296" t="str">
        <f t="shared" ref="Q9:Q15" si="6">B9</f>
        <v>用途</v>
      </c>
      <c r="R9" s="1317" t="s">
        <v>65</v>
      </c>
      <c r="S9" s="1318">
        <f t="shared" si="0"/>
        <v>100</v>
      </c>
      <c r="T9" s="1317" t="s">
        <v>65</v>
      </c>
      <c r="U9" s="1318">
        <f t="shared" si="1"/>
        <v>100</v>
      </c>
      <c r="V9" s="1317" t="s">
        <v>65</v>
      </c>
      <c r="W9" s="1318">
        <f t="shared" si="2"/>
        <v>100</v>
      </c>
      <c r="X9" s="1319"/>
      <c r="Y9" s="3519" t="s">
        <v>402</v>
      </c>
      <c r="Z9" s="343" t="str">
        <f t="shared" ref="Z9:Z15" si="7">Q9</f>
        <v>用途</v>
      </c>
      <c r="AA9" s="1320">
        <f t="shared" si="3"/>
        <v>1</v>
      </c>
      <c r="AB9" s="1320">
        <f t="shared" si="4"/>
        <v>1</v>
      </c>
      <c r="AC9" s="1320">
        <f t="shared" si="5"/>
        <v>1</v>
      </c>
    </row>
    <row r="10" spans="1:29" s="769" customFormat="1" ht="27">
      <c r="A10" s="763"/>
      <c r="B10" s="764" t="s">
        <v>403</v>
      </c>
      <c r="C10" s="1022"/>
      <c r="D10" s="425">
        <v>100</v>
      </c>
      <c r="E10" s="1022"/>
      <c r="F10" s="425">
        <f>ROUND(100/'数据-取费表'!G16,0)</f>
        <v>114</v>
      </c>
      <c r="G10" s="1022"/>
      <c r="H10" s="425">
        <f>ROUND(100/'数据-取费表'!G16,0)</f>
        <v>114</v>
      </c>
      <c r="I10" s="1022"/>
      <c r="J10" s="425">
        <f>ROUND(100/'数据-取费表'!G16,0)</f>
        <v>114</v>
      </c>
      <c r="K10" s="1079"/>
      <c r="L10" s="2352"/>
      <c r="M10" s="2353"/>
      <c r="N10" s="2353"/>
      <c r="O10" s="2354"/>
      <c r="P10" s="3713"/>
      <c r="Q10" s="296" t="str">
        <f t="shared" si="6"/>
        <v>土地使用年限（年）</v>
      </c>
      <c r="R10" s="1317" t="s">
        <v>65</v>
      </c>
      <c r="S10" s="1318">
        <f t="shared" si="0"/>
        <v>114</v>
      </c>
      <c r="T10" s="1317" t="s">
        <v>65</v>
      </c>
      <c r="U10" s="1318">
        <f t="shared" si="1"/>
        <v>114</v>
      </c>
      <c r="V10" s="1317" t="s">
        <v>65</v>
      </c>
      <c r="W10" s="1318">
        <f t="shared" si="2"/>
        <v>114</v>
      </c>
      <c r="X10" s="1319"/>
      <c r="Y10" s="3519"/>
      <c r="Z10" s="343" t="str">
        <f t="shared" si="7"/>
        <v>土地使用年限（年）</v>
      </c>
      <c r="AA10" s="1320">
        <f t="shared" si="3"/>
        <v>0.8771929824561403</v>
      </c>
      <c r="AB10" s="1320">
        <f t="shared" si="4"/>
        <v>0.8771929824561403</v>
      </c>
      <c r="AC10" s="1320">
        <f t="shared" si="5"/>
        <v>0.8771929824561403</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713"/>
      <c r="Q11" s="296" t="str">
        <f t="shared" si="6"/>
        <v>容积率</v>
      </c>
      <c r="R11" s="1317" t="s">
        <v>65</v>
      </c>
      <c r="S11" s="1318" t="e">
        <f t="shared" si="0"/>
        <v>#N/A</v>
      </c>
      <c r="T11" s="1317" t="s">
        <v>65</v>
      </c>
      <c r="U11" s="1318" t="e">
        <f t="shared" si="1"/>
        <v>#N/A</v>
      </c>
      <c r="V11" s="1317" t="s">
        <v>65</v>
      </c>
      <c r="W11" s="1318" t="e">
        <f t="shared" si="2"/>
        <v>#N/A</v>
      </c>
      <c r="X11" s="1319"/>
      <c r="Y11" s="3519"/>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713"/>
      <c r="Q12" s="296">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713"/>
      <c r="Q14" s="296">
        <f t="shared" si="6"/>
        <v>111</v>
      </c>
      <c r="R14" s="1317" t="s">
        <v>65</v>
      </c>
      <c r="S14" s="1318">
        <f t="shared" si="0"/>
        <v>100</v>
      </c>
      <c r="T14" s="1317" t="s">
        <v>65</v>
      </c>
      <c r="U14" s="1318">
        <f t="shared" si="1"/>
        <v>100</v>
      </c>
      <c r="V14" s="1317" t="s">
        <v>65</v>
      </c>
      <c r="W14" s="1318">
        <f t="shared" si="2"/>
        <v>100</v>
      </c>
      <c r="X14" s="1319"/>
      <c r="Y14" s="3519"/>
      <c r="Z14" s="343">
        <f t="shared" si="7"/>
        <v>111</v>
      </c>
      <c r="AA14" s="1320">
        <f t="shared" si="3"/>
        <v>1</v>
      </c>
      <c r="AB14" s="1320">
        <f t="shared" si="4"/>
        <v>1</v>
      </c>
      <c r="AC14" s="1320">
        <f t="shared" si="5"/>
        <v>1</v>
      </c>
    </row>
    <row r="15" spans="1:29" ht="67.5">
      <c r="A15" s="782" t="s">
        <v>405</v>
      </c>
      <c r="B15" s="970"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18" t="s">
        <v>406</v>
      </c>
      <c r="Q15" s="1321" t="str">
        <f t="shared" si="6"/>
        <v>产业集聚程度</v>
      </c>
      <c r="R15" s="1322" t="s">
        <v>65</v>
      </c>
      <c r="S15" s="1323">
        <f t="shared" si="0"/>
        <v>100</v>
      </c>
      <c r="T15" s="1322" t="s">
        <v>65</v>
      </c>
      <c r="U15" s="1323">
        <f t="shared" si="1"/>
        <v>100</v>
      </c>
      <c r="V15" s="1322" t="s">
        <v>65</v>
      </c>
      <c r="W15" s="1323">
        <f t="shared" si="2"/>
        <v>100</v>
      </c>
      <c r="X15" s="1316"/>
      <c r="Y15" s="3718" t="s">
        <v>406</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19"/>
      <c r="Q16" s="1321"/>
      <c r="R16" s="1322"/>
      <c r="S16" s="1323"/>
      <c r="T16" s="1322"/>
      <c r="U16" s="1323"/>
      <c r="V16" s="1322"/>
      <c r="W16" s="1323"/>
      <c r="X16" s="1316"/>
      <c r="Y16" s="3719"/>
      <c r="Z16" s="1324"/>
      <c r="AA16" s="1325">
        <v>1</v>
      </c>
      <c r="AB16" s="1325">
        <v>1</v>
      </c>
      <c r="AC16" s="1325">
        <v>1</v>
      </c>
    </row>
    <row r="17" spans="1:29" ht="94.5">
      <c r="A17" s="770"/>
      <c r="B17" s="972"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19"/>
      <c r="Q17" s="1321" t="str">
        <f>B17</f>
        <v>交通便捷度</v>
      </c>
      <c r="R17" s="1322" t="s">
        <v>65</v>
      </c>
      <c r="S17" s="1323">
        <f>F17</f>
        <v>100</v>
      </c>
      <c r="T17" s="1322" t="s">
        <v>65</v>
      </c>
      <c r="U17" s="1323">
        <f>H17</f>
        <v>100</v>
      </c>
      <c r="V17" s="1322" t="s">
        <v>65</v>
      </c>
      <c r="W17" s="1323">
        <f>J17</f>
        <v>100</v>
      </c>
      <c r="X17" s="1316"/>
      <c r="Y17" s="3719"/>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19"/>
      <c r="Q18" s="1321"/>
      <c r="R18" s="1322"/>
      <c r="S18" s="1323"/>
      <c r="T18" s="1322"/>
      <c r="U18" s="1323"/>
      <c r="V18" s="1322"/>
      <c r="W18" s="1323"/>
      <c r="X18" s="1316"/>
      <c r="Y18" s="3719"/>
      <c r="Z18" s="1324"/>
      <c r="AA18" s="1325">
        <v>1</v>
      </c>
      <c r="AB18" s="1325">
        <v>1</v>
      </c>
      <c r="AC18" s="1325">
        <v>1</v>
      </c>
    </row>
    <row r="19" spans="1:29" ht="27">
      <c r="A19" s="770"/>
      <c r="B19" s="972"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19"/>
      <c r="Q19" s="1321" t="str">
        <f t="shared" ref="Q19:Q33" si="8">B19</f>
        <v>区域土地利用方向</v>
      </c>
      <c r="R19" s="1322" t="s">
        <v>65</v>
      </c>
      <c r="S19" s="1323">
        <f>F19</f>
        <v>100</v>
      </c>
      <c r="T19" s="1322" t="s">
        <v>65</v>
      </c>
      <c r="U19" s="1323">
        <f>H19</f>
        <v>100</v>
      </c>
      <c r="V19" s="1322" t="s">
        <v>65</v>
      </c>
      <c r="W19" s="1323">
        <f>J19</f>
        <v>100</v>
      </c>
      <c r="X19" s="1316"/>
      <c r="Y19" s="3719"/>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19"/>
      <c r="Q20" s="1468"/>
      <c r="R20" s="1322"/>
      <c r="S20" s="1323"/>
      <c r="T20" s="1322"/>
      <c r="U20" s="1323"/>
      <c r="V20" s="1322"/>
      <c r="W20" s="1323"/>
      <c r="X20" s="1467"/>
      <c r="Y20" s="3719"/>
      <c r="Z20" s="1469"/>
      <c r="AA20" s="1325"/>
      <c r="AB20" s="1325"/>
      <c r="AC20" s="1325"/>
    </row>
    <row r="21" spans="1:29" ht="81">
      <c r="A21" s="746"/>
      <c r="B21" s="972"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19"/>
      <c r="Q21" s="1321" t="str">
        <f t="shared" si="8"/>
        <v>环境状况</v>
      </c>
      <c r="R21" s="1322" t="s">
        <v>65</v>
      </c>
      <c r="S21" s="1323">
        <f>F21</f>
        <v>100</v>
      </c>
      <c r="T21" s="1322" t="s">
        <v>65</v>
      </c>
      <c r="U21" s="1323">
        <f>H21</f>
        <v>100</v>
      </c>
      <c r="V21" s="1322" t="s">
        <v>65</v>
      </c>
      <c r="W21" s="1323">
        <f>J21</f>
        <v>100</v>
      </c>
      <c r="X21" s="1316"/>
      <c r="Y21" s="3719"/>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19"/>
      <c r="Q22" s="1321"/>
      <c r="R22" s="1322"/>
      <c r="S22" s="1323"/>
      <c r="T22" s="1322"/>
      <c r="U22" s="1323"/>
      <c r="V22" s="1322"/>
      <c r="W22" s="1323"/>
      <c r="X22" s="1316"/>
      <c r="Y22" s="3719"/>
      <c r="Z22" s="1324"/>
      <c r="AA22" s="1325">
        <v>1</v>
      </c>
      <c r="AB22" s="1325">
        <v>1</v>
      </c>
      <c r="AC22" s="1325">
        <v>1</v>
      </c>
    </row>
    <row r="23" spans="1:29" s="406" customFormat="1" ht="40.5">
      <c r="A23" s="990"/>
      <c r="B23" s="1034" t="s">
        <v>2665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19"/>
      <c r="Q23" s="296" t="str">
        <f t="shared" si="8"/>
        <v>公共配套设施</v>
      </c>
      <c r="R23" s="1317" t="s">
        <v>65</v>
      </c>
      <c r="S23" s="1318">
        <f>F23</f>
        <v>100</v>
      </c>
      <c r="T23" s="1317" t="s">
        <v>65</v>
      </c>
      <c r="U23" s="1318">
        <f>H23</f>
        <v>100</v>
      </c>
      <c r="V23" s="1317" t="s">
        <v>65</v>
      </c>
      <c r="W23" s="1318">
        <f>J23</f>
        <v>100</v>
      </c>
      <c r="X23" s="1319"/>
      <c r="Y23" s="3719"/>
      <c r="Z23" s="343" t="str">
        <f>Q23</f>
        <v>公共配套设施</v>
      </c>
      <c r="AA23" s="1325">
        <f>D23/F23</f>
        <v>1</v>
      </c>
      <c r="AB23" s="1325">
        <f>D23/H23</f>
        <v>1</v>
      </c>
      <c r="AC23" s="1325">
        <f>D23/J23</f>
        <v>1</v>
      </c>
    </row>
    <row r="24" spans="1:29" s="406" customFormat="1" ht="15">
      <c r="A24" s="990"/>
      <c r="B24" s="973"/>
      <c r="C24" s="2774"/>
      <c r="D24" s="790"/>
      <c r="E24" s="192"/>
      <c r="F24" s="790"/>
      <c r="G24" s="192"/>
      <c r="H24" s="790"/>
      <c r="I24" s="97"/>
      <c r="J24" s="790"/>
      <c r="K24" s="1079"/>
      <c r="L24" s="2349"/>
      <c r="M24" s="2350"/>
      <c r="N24" s="2350"/>
      <c r="O24" s="2351"/>
      <c r="P24" s="3719"/>
      <c r="Q24" s="296"/>
      <c r="R24" s="1317"/>
      <c r="S24" s="1318"/>
      <c r="T24" s="1317"/>
      <c r="U24" s="1318"/>
      <c r="V24" s="1317"/>
      <c r="W24" s="1318"/>
      <c r="X24" s="1319"/>
      <c r="Y24" s="3719"/>
      <c r="Z24" s="343"/>
      <c r="AA24" s="1320">
        <v>1</v>
      </c>
      <c r="AB24" s="1320">
        <v>1</v>
      </c>
      <c r="AC24" s="1320">
        <v>1</v>
      </c>
    </row>
    <row r="25" spans="1:29" s="406" customFormat="1" ht="40.5">
      <c r="A25" s="990"/>
      <c r="B25" s="1034" t="s">
        <v>2666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19"/>
      <c r="Q25" s="2743" t="str">
        <f t="shared" ref="Q25" si="9">B25</f>
        <v>基础设施水平</v>
      </c>
      <c r="R25" s="1317" t="s">
        <v>65</v>
      </c>
      <c r="S25" s="1318">
        <f>F25</f>
        <v>100</v>
      </c>
      <c r="T25" s="1317" t="s">
        <v>65</v>
      </c>
      <c r="U25" s="1318">
        <f>H25</f>
        <v>100</v>
      </c>
      <c r="V25" s="1317" t="s">
        <v>65</v>
      </c>
      <c r="W25" s="1318">
        <f>J25</f>
        <v>100</v>
      </c>
      <c r="X25" s="1319"/>
      <c r="Y25" s="3719"/>
      <c r="Z25" s="343" t="str">
        <f>Q25</f>
        <v>基础设施水平</v>
      </c>
      <c r="AA25" s="1325">
        <f>D25/F25</f>
        <v>1</v>
      </c>
      <c r="AB25" s="1325">
        <f>D25/H25</f>
        <v>1</v>
      </c>
      <c r="AC25" s="1325">
        <f>D25/J25</f>
        <v>1</v>
      </c>
    </row>
    <row r="26" spans="1:29" s="406" customFormat="1" ht="15">
      <c r="A26" s="990"/>
      <c r="B26" s="973"/>
      <c r="C26" s="2774"/>
      <c r="D26" s="790"/>
      <c r="E26" s="1035"/>
      <c r="F26" s="790"/>
      <c r="G26" s="1035"/>
      <c r="H26" s="790"/>
      <c r="I26" s="1035"/>
      <c r="J26" s="790"/>
      <c r="K26" s="1079"/>
      <c r="L26" s="2349"/>
      <c r="M26" s="2350"/>
      <c r="N26" s="2350"/>
      <c r="O26" s="2351"/>
      <c r="P26" s="3719"/>
      <c r="Q26" s="2743"/>
      <c r="R26" s="1317"/>
      <c r="S26" s="1318"/>
      <c r="T26" s="1317"/>
      <c r="U26" s="1318"/>
      <c r="V26" s="1317"/>
      <c r="W26" s="1318"/>
      <c r="X26" s="1319"/>
      <c r="Y26" s="3719"/>
      <c r="Z26" s="343"/>
      <c r="AA26" s="1320">
        <v>1</v>
      </c>
      <c r="AB26" s="1320">
        <v>1</v>
      </c>
      <c r="AC26" s="1320">
        <v>1</v>
      </c>
    </row>
    <row r="27" spans="1:29" ht="15">
      <c r="A27" s="770"/>
      <c r="B27" s="973" t="s">
        <v>436</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19"/>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19"/>
      <c r="Z27" s="1324" t="str">
        <f t="shared" ref="Z27:Z40" si="13">Q27</f>
        <v>临街状况</v>
      </c>
      <c r="AA27" s="1325">
        <f t="shared" si="3"/>
        <v>1</v>
      </c>
      <c r="AB27" s="1325">
        <f t="shared" si="4"/>
        <v>1</v>
      </c>
      <c r="AC27" s="1325">
        <f t="shared" si="5"/>
        <v>1</v>
      </c>
    </row>
    <row r="28" spans="1:29" ht="27">
      <c r="A28" s="770"/>
      <c r="B28" s="974" t="s">
        <v>441</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19"/>
      <c r="Q28" s="1321" t="str">
        <f t="shared" si="8"/>
        <v>毗邻道路的类型与等级</v>
      </c>
      <c r="R28" s="1322" t="s">
        <v>65</v>
      </c>
      <c r="S28" s="1323">
        <f t="shared" si="10"/>
        <v>100</v>
      </c>
      <c r="T28" s="1322" t="s">
        <v>65</v>
      </c>
      <c r="U28" s="1323">
        <f t="shared" si="11"/>
        <v>100</v>
      </c>
      <c r="V28" s="1322" t="s">
        <v>65</v>
      </c>
      <c r="W28" s="1323">
        <f t="shared" si="12"/>
        <v>100</v>
      </c>
      <c r="X28" s="1316"/>
      <c r="Y28" s="3719"/>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7"/>
      <c r="M29" s="2348"/>
      <c r="N29" s="2348"/>
      <c r="O29" s="2356"/>
      <c r="P29" s="3719"/>
      <c r="Q29" s="1321"/>
      <c r="R29" s="1322"/>
      <c r="S29" s="1323"/>
      <c r="T29" s="1322"/>
      <c r="U29" s="1323"/>
      <c r="V29" s="1322"/>
      <c r="W29" s="1323"/>
      <c r="X29" s="1316"/>
      <c r="Y29" s="3719"/>
      <c r="Z29" s="1324"/>
      <c r="AA29" s="1325">
        <v>1</v>
      </c>
      <c r="AB29" s="1325">
        <v>1</v>
      </c>
      <c r="AC29" s="1325">
        <v>1</v>
      </c>
    </row>
    <row r="30" spans="1:29" ht="15">
      <c r="A30" s="770"/>
      <c r="B30" s="995" t="s">
        <v>484</v>
      </c>
      <c r="C30" s="2776">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7"/>
      <c r="M30" s="2348"/>
      <c r="N30" s="2348"/>
      <c r="O30" s="2356"/>
      <c r="P30" s="3719"/>
      <c r="Q30" s="1321" t="str">
        <f t="shared" si="8"/>
        <v>土地级别</v>
      </c>
      <c r="R30" s="1322" t="s">
        <v>65</v>
      </c>
      <c r="S30" s="1323">
        <f t="shared" si="10"/>
        <v>100</v>
      </c>
      <c r="T30" s="1322" t="s">
        <v>65</v>
      </c>
      <c r="U30" s="1323">
        <f t="shared" si="11"/>
        <v>100</v>
      </c>
      <c r="V30" s="1322" t="s">
        <v>65</v>
      </c>
      <c r="W30" s="1323">
        <f t="shared" si="12"/>
        <v>100</v>
      </c>
      <c r="X30" s="1316"/>
      <c r="Y30" s="3719"/>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7"/>
      <c r="M31" s="2348"/>
      <c r="N31" s="2348"/>
      <c r="O31" s="2356"/>
      <c r="P31" s="3719"/>
      <c r="Q31" s="1321">
        <f t="shared" si="8"/>
        <v>111</v>
      </c>
      <c r="R31" s="1322" t="s">
        <v>65</v>
      </c>
      <c r="S31" s="1323">
        <f t="shared" si="10"/>
        <v>100</v>
      </c>
      <c r="T31" s="1322" t="s">
        <v>65</v>
      </c>
      <c r="U31" s="1323">
        <f t="shared" si="11"/>
        <v>100</v>
      </c>
      <c r="V31" s="1322" t="s">
        <v>65</v>
      </c>
      <c r="W31" s="1323">
        <f t="shared" si="12"/>
        <v>100</v>
      </c>
      <c r="X31" s="1316"/>
      <c r="Y31" s="3719"/>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7"/>
      <c r="M32" s="2348"/>
      <c r="N32" s="2348"/>
      <c r="O32" s="2356"/>
      <c r="P32" s="3720" t="s">
        <v>408</v>
      </c>
      <c r="Q32" s="1321">
        <f t="shared" si="8"/>
        <v>111</v>
      </c>
      <c r="R32" s="1322" t="s">
        <v>65</v>
      </c>
      <c r="S32" s="1323">
        <f t="shared" si="10"/>
        <v>100</v>
      </c>
      <c r="T32" s="1322" t="s">
        <v>65</v>
      </c>
      <c r="U32" s="1323">
        <f t="shared" si="11"/>
        <v>100</v>
      </c>
      <c r="V32" s="1322" t="s">
        <v>65</v>
      </c>
      <c r="W32" s="1323">
        <f t="shared" si="12"/>
        <v>100</v>
      </c>
      <c r="X32" s="1316"/>
      <c r="Y32" s="3721" t="s">
        <v>408</v>
      </c>
      <c r="Z32" s="1324">
        <f t="shared" si="13"/>
        <v>111</v>
      </c>
      <c r="AA32" s="1325">
        <f t="shared" si="3"/>
        <v>1</v>
      </c>
      <c r="AB32" s="1325">
        <f t="shared" si="4"/>
        <v>1</v>
      </c>
      <c r="AC32" s="1325">
        <f t="shared" si="5"/>
        <v>1</v>
      </c>
    </row>
    <row r="33" spans="1:29" s="812" customFormat="1" ht="15.75" thickBot="1">
      <c r="A33" s="1083"/>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5"/>
      <c r="M33" s="2358"/>
      <c r="N33" s="2358"/>
      <c r="O33" s="2359"/>
      <c r="P33" s="3721"/>
      <c r="Q33" s="1321">
        <f t="shared" si="8"/>
        <v>111</v>
      </c>
      <c r="R33" s="1327" t="s">
        <v>65</v>
      </c>
      <c r="S33" s="1328">
        <f t="shared" si="10"/>
        <v>100</v>
      </c>
      <c r="T33" s="1327" t="s">
        <v>65</v>
      </c>
      <c r="U33" s="1328">
        <f t="shared" si="11"/>
        <v>100</v>
      </c>
      <c r="V33" s="1327" t="s">
        <v>65</v>
      </c>
      <c r="W33" s="1328">
        <f t="shared" si="12"/>
        <v>100</v>
      </c>
      <c r="X33" s="1329"/>
      <c r="Y33" s="3721"/>
      <c r="Z33" s="1330">
        <f t="shared" si="13"/>
        <v>111</v>
      </c>
      <c r="AA33" s="1325">
        <f t="shared" si="3"/>
        <v>1</v>
      </c>
      <c r="AB33" s="1325">
        <f t="shared" si="4"/>
        <v>1</v>
      </c>
      <c r="AC33" s="1325">
        <f t="shared" si="5"/>
        <v>1</v>
      </c>
    </row>
    <row r="34" spans="1:29" ht="15">
      <c r="A34" s="782" t="s">
        <v>2791</v>
      </c>
      <c r="B34" s="798"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21"/>
      <c r="Q34" s="1321" t="str">
        <f>B34</f>
        <v>宗地面积</v>
      </c>
      <c r="R34" s="1322" t="s">
        <v>65</v>
      </c>
      <c r="S34" s="1323" t="e">
        <f t="shared" si="10"/>
        <v>#N/A</v>
      </c>
      <c r="T34" s="1322" t="s">
        <v>65</v>
      </c>
      <c r="U34" s="1323" t="e">
        <f t="shared" si="11"/>
        <v>#N/A</v>
      </c>
      <c r="V34" s="1322" t="s">
        <v>65</v>
      </c>
      <c r="W34" s="1323" t="e">
        <f t="shared" si="12"/>
        <v>#N/A</v>
      </c>
      <c r="X34" s="1316"/>
      <c r="Y34" s="3721"/>
      <c r="Z34" s="1324" t="str">
        <f t="shared" si="13"/>
        <v>宗地面积</v>
      </c>
      <c r="AA34" s="1325" t="e">
        <f t="shared" si="3"/>
        <v>#N/A</v>
      </c>
      <c r="AB34" s="1325" t="e">
        <f t="shared" si="4"/>
        <v>#N/A</v>
      </c>
      <c r="AC34" s="1325" t="e">
        <f t="shared" si="5"/>
        <v>#N/A</v>
      </c>
    </row>
    <row r="35" spans="1:29" ht="15">
      <c r="A35" s="813"/>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7"/>
      <c r="M35" s="2348"/>
      <c r="N35" s="2348"/>
      <c r="O35" s="2356"/>
      <c r="P35" s="3721"/>
      <c r="Q35" s="1321" t="str">
        <f t="shared" ref="Q35:Q40" si="14">B35</f>
        <v>宗地形状</v>
      </c>
      <c r="R35" s="1322" t="s">
        <v>65</v>
      </c>
      <c r="S35" s="1323">
        <f t="shared" si="10"/>
        <v>100</v>
      </c>
      <c r="T35" s="1322" t="s">
        <v>65</v>
      </c>
      <c r="U35" s="1323">
        <f t="shared" si="11"/>
        <v>100</v>
      </c>
      <c r="V35" s="1322" t="s">
        <v>65</v>
      </c>
      <c r="W35" s="1323">
        <f t="shared" si="12"/>
        <v>100</v>
      </c>
      <c r="X35" s="1316"/>
      <c r="Y35" s="3721"/>
      <c r="Z35" s="1324" t="str">
        <f t="shared" si="13"/>
        <v>宗地形状</v>
      </c>
      <c r="AA35" s="1325">
        <f t="shared" si="3"/>
        <v>1</v>
      </c>
      <c r="AB35" s="1325">
        <f t="shared" si="4"/>
        <v>1</v>
      </c>
      <c r="AC35" s="1325">
        <f t="shared" si="5"/>
        <v>1</v>
      </c>
    </row>
    <row r="36" spans="1:29" s="406" customFormat="1" ht="15">
      <c r="A36" s="814"/>
      <c r="B36" s="2609" t="s">
        <v>2498</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9"/>
      <c r="M36" s="2350"/>
      <c r="N36" s="2350"/>
      <c r="O36" s="2351"/>
      <c r="P36" s="3721"/>
      <c r="Q36" s="1321" t="str">
        <f t="shared" si="14"/>
        <v>宗地开发程度</v>
      </c>
      <c r="R36" s="1317" t="s">
        <v>65</v>
      </c>
      <c r="S36" s="1318">
        <f t="shared" si="10"/>
        <v>100</v>
      </c>
      <c r="T36" s="1317" t="s">
        <v>65</v>
      </c>
      <c r="U36" s="1318">
        <f t="shared" si="11"/>
        <v>100</v>
      </c>
      <c r="V36" s="1317" t="s">
        <v>65</v>
      </c>
      <c r="W36" s="1318">
        <f t="shared" si="12"/>
        <v>100</v>
      </c>
      <c r="X36" s="1319"/>
      <c r="Y36" s="3721"/>
      <c r="Z36" s="343" t="str">
        <f t="shared" si="13"/>
        <v>宗地开发程度</v>
      </c>
      <c r="AA36" s="1320">
        <f t="shared" si="3"/>
        <v>1</v>
      </c>
      <c r="AB36" s="1320">
        <f t="shared" si="4"/>
        <v>1</v>
      </c>
      <c r="AC36" s="1320">
        <f t="shared" si="5"/>
        <v>1</v>
      </c>
    </row>
    <row r="37" spans="1:29" ht="15">
      <c r="A37" s="813"/>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7"/>
      <c r="M37" s="2348"/>
      <c r="N37" s="2348"/>
      <c r="O37" s="2356"/>
      <c r="P37" s="3721" t="s">
        <v>519</v>
      </c>
      <c r="Q37" s="1321" t="str">
        <f t="shared" si="14"/>
        <v>工程地质条件</v>
      </c>
      <c r="R37" s="1322" t="s">
        <v>65</v>
      </c>
      <c r="S37" s="1323">
        <f t="shared" si="10"/>
        <v>100</v>
      </c>
      <c r="T37" s="1322" t="s">
        <v>65</v>
      </c>
      <c r="U37" s="1323">
        <f t="shared" si="11"/>
        <v>100</v>
      </c>
      <c r="V37" s="1322" t="s">
        <v>65</v>
      </c>
      <c r="W37" s="1323">
        <f t="shared" si="12"/>
        <v>100</v>
      </c>
      <c r="X37" s="1316"/>
      <c r="Y37" s="3721" t="s">
        <v>519</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7"/>
      <c r="M38" s="2348"/>
      <c r="N38" s="2348"/>
      <c r="O38" s="2356"/>
      <c r="P38" s="3721"/>
      <c r="Q38" s="1321">
        <f t="shared" si="14"/>
        <v>111</v>
      </c>
      <c r="R38" s="1322" t="s">
        <v>65</v>
      </c>
      <c r="S38" s="1323">
        <f t="shared" si="10"/>
        <v>100</v>
      </c>
      <c r="T38" s="1322" t="s">
        <v>65</v>
      </c>
      <c r="U38" s="1323">
        <f t="shared" si="11"/>
        <v>100</v>
      </c>
      <c r="V38" s="1322" t="s">
        <v>65</v>
      </c>
      <c r="W38" s="1323">
        <f t="shared" si="12"/>
        <v>100</v>
      </c>
      <c r="X38" s="1316"/>
      <c r="Y38" s="3721"/>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7"/>
      <c r="M39" s="2348"/>
      <c r="N39" s="2348"/>
      <c r="O39" s="2356"/>
      <c r="P39" s="3721"/>
      <c r="Q39" s="1321">
        <f t="shared" si="14"/>
        <v>111</v>
      </c>
      <c r="R39" s="1322" t="s">
        <v>65</v>
      </c>
      <c r="S39" s="1323">
        <f t="shared" si="10"/>
        <v>100</v>
      </c>
      <c r="T39" s="1322" t="s">
        <v>65</v>
      </c>
      <c r="U39" s="1323">
        <f t="shared" si="11"/>
        <v>100</v>
      </c>
      <c r="V39" s="1322" t="s">
        <v>65</v>
      </c>
      <c r="W39" s="1323">
        <f t="shared" si="12"/>
        <v>100</v>
      </c>
      <c r="X39" s="1316"/>
      <c r="Y39" s="3721"/>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21"/>
      <c r="Q40" s="1321">
        <f t="shared" si="14"/>
        <v>111</v>
      </c>
      <c r="R40" s="1327" t="s">
        <v>65</v>
      </c>
      <c r="S40" s="1328">
        <f t="shared" si="10"/>
        <v>100</v>
      </c>
      <c r="T40" s="1327" t="s">
        <v>65</v>
      </c>
      <c r="U40" s="1328">
        <f t="shared" si="11"/>
        <v>100</v>
      </c>
      <c r="V40" s="1327" t="s">
        <v>65</v>
      </c>
      <c r="W40" s="1328">
        <f t="shared" si="12"/>
        <v>100</v>
      </c>
      <c r="X40" s="1329"/>
      <c r="Y40" s="3721"/>
      <c r="Z40" s="1330">
        <f t="shared" si="13"/>
        <v>111</v>
      </c>
      <c r="AA40" s="1325">
        <f t="shared" si="3"/>
        <v>1</v>
      </c>
      <c r="AB40" s="1325">
        <f t="shared" si="4"/>
        <v>1</v>
      </c>
      <c r="AC40" s="1325">
        <f t="shared" si="5"/>
        <v>1</v>
      </c>
    </row>
    <row r="41" spans="1:29" ht="15">
      <c r="A41" s="820" t="s">
        <v>489</v>
      </c>
      <c r="B41" s="207" t="s">
        <v>3020</v>
      </c>
      <c r="C41" s="1089" t="s">
        <v>23</v>
      </c>
      <c r="D41" s="822"/>
      <c r="E41" s="823"/>
      <c r="F41" s="824"/>
      <c r="G41" s="825"/>
      <c r="H41" s="826"/>
      <c r="I41" s="823"/>
      <c r="J41" s="826"/>
      <c r="K41" s="1398"/>
      <c r="L41" s="2360"/>
      <c r="M41" s="2348"/>
      <c r="N41" s="2348"/>
      <c r="O41" s="2361"/>
      <c r="P41" s="3713" t="str">
        <f>A41</f>
        <v>成交单价</v>
      </c>
      <c r="Q41" s="3713"/>
      <c r="R41" s="3741">
        <f>E41</f>
        <v>0</v>
      </c>
      <c r="S41" s="3741"/>
      <c r="T41" s="3741">
        <f>G41</f>
        <v>0</v>
      </c>
      <c r="U41" s="3741"/>
      <c r="V41" s="3741">
        <f>I41</f>
        <v>0</v>
      </c>
      <c r="W41" s="3741"/>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713" t="str">
        <f>A42</f>
        <v>比较价值（元/平方米）</v>
      </c>
      <c r="Q42" s="3713"/>
      <c r="R42" s="3753" t="e">
        <f>ROUND(PRODUCT(R41,AA7:AA40),0)</f>
        <v>#DIV/0!</v>
      </c>
      <c r="S42" s="3753"/>
      <c r="T42" s="3753" t="e">
        <f>ROUND(PRODUCT(T41,AB7:AB40),0)</f>
        <v>#DIV/0!</v>
      </c>
      <c r="U42" s="3753"/>
      <c r="V42" s="3753" t="e">
        <f>ROUND(PRODUCT(V41,AC7:AC40),0)</f>
        <v>#DIV/0!</v>
      </c>
      <c r="W42" s="3753"/>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60"/>
      <c r="M43" s="2348"/>
      <c r="N43" s="2348"/>
      <c r="O43" s="2361"/>
      <c r="P43" s="3715" t="str">
        <f>A43</f>
        <v>估价对象XX用房的比较价值（楼面单价，元/平方米）</v>
      </c>
      <c r="Q43" s="3716"/>
      <c r="R43" s="3754" t="e">
        <f>ROUND(AVERAGE(R42:V42),0)</f>
        <v>#DIV/0!</v>
      </c>
      <c r="S43" s="3754"/>
      <c r="T43" s="3754"/>
      <c r="U43" s="3754"/>
      <c r="V43" s="3754"/>
      <c r="W43" s="3754"/>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1888</v>
      </c>
      <c r="D50" s="2392" t="s">
        <v>2322</v>
      </c>
      <c r="E50" s="1093" t="s">
        <v>492</v>
      </c>
      <c r="F50" s="1094" t="s">
        <v>493</v>
      </c>
      <c r="G50" s="3755" t="s">
        <v>2315</v>
      </c>
      <c r="H50" s="3756"/>
      <c r="I50" s="2182" t="s">
        <v>1887</v>
      </c>
      <c r="J50" s="1765" t="str">
        <f>项目基本情况!F35</f>
        <v>怀柔区</v>
      </c>
      <c r="K50" s="2375" t="s">
        <v>1889</v>
      </c>
      <c r="L50" s="2188"/>
      <c r="M50" s="2361"/>
      <c r="N50" s="2361"/>
      <c r="O50" s="2361"/>
    </row>
    <row r="51" spans="1:17" s="1099" customFormat="1">
      <c r="A51" s="1095" t="s">
        <v>494</v>
      </c>
      <c r="B51" s="1096" t="e">
        <f>C43</f>
        <v>#DIV/0!</v>
      </c>
      <c r="C51" s="1097">
        <v>1</v>
      </c>
      <c r="D51" s="2393">
        <v>1</v>
      </c>
      <c r="E51" s="1097">
        <f>'数据-汇总表'!E8+'数据-汇总表'!E9</f>
        <v>28973.439999999999</v>
      </c>
      <c r="F51" s="1098" t="e">
        <f t="shared" ref="F51:F60" si="15">ROUND(B51*E51/10000,0)</f>
        <v>#DIV/0!</v>
      </c>
      <c r="G51" s="3757"/>
      <c r="H51" s="3758"/>
      <c r="I51" s="1773">
        <v>1</v>
      </c>
      <c r="J51" s="1773">
        <v>1</v>
      </c>
      <c r="K51" s="2362"/>
      <c r="L51" s="1772"/>
      <c r="M51" s="1772"/>
      <c r="N51" s="1772"/>
      <c r="O51" s="1772"/>
    </row>
    <row r="52" spans="1:17" s="1099" customFormat="1">
      <c r="A52" s="1100" t="s">
        <v>495</v>
      </c>
      <c r="B52" s="593" t="e">
        <f>ROUND($C$43*C52*D52,0)</f>
        <v>#DIV/0!</v>
      </c>
      <c r="C52" s="531">
        <f t="shared" ref="C52:C60" si="16">IF($C$50="北京市系数",I52,J52)</f>
        <v>0.6</v>
      </c>
      <c r="D52" s="2394">
        <v>0.25</v>
      </c>
      <c r="E52" s="1101"/>
      <c r="F52" s="1098" t="e">
        <f t="shared" si="15"/>
        <v>#DIV/0!</v>
      </c>
      <c r="G52" s="3759" t="s">
        <v>2316</v>
      </c>
      <c r="H52" s="2186" t="str">
        <f>项目基本情况!B37</f>
        <v>八级</v>
      </c>
      <c r="I52" s="1773">
        <f>SUMIF(修正!A45:A56,H52,修正!B45:B56)</f>
        <v>0.6</v>
      </c>
      <c r="J52" s="1774"/>
      <c r="K52" s="2361"/>
      <c r="L52" s="1772"/>
      <c r="M52" s="1772"/>
      <c r="N52" s="1772"/>
      <c r="O52" s="1772"/>
    </row>
    <row r="53" spans="1:17" s="1099" customFormat="1">
      <c r="A53" s="1100" t="s">
        <v>496</v>
      </c>
      <c r="B53" s="593" t="e">
        <f t="shared" ref="B53:B60" si="17">ROUND($C$43*C53*D53,0)</f>
        <v>#DIV/0!</v>
      </c>
      <c r="C53" s="531">
        <f t="shared" si="16"/>
        <v>0.3</v>
      </c>
      <c r="D53" s="2394">
        <v>0.25</v>
      </c>
      <c r="E53" s="1101"/>
      <c r="F53" s="1098" t="e">
        <f t="shared" si="15"/>
        <v>#DIV/0!</v>
      </c>
      <c r="G53" s="3759"/>
      <c r="H53" s="2186" t="str">
        <f>项目基本情况!B37</f>
        <v>八级</v>
      </c>
      <c r="I53" s="1773">
        <f>SUMIF(修正!A45:A56,H53,修正!C45:C56)</f>
        <v>0.3</v>
      </c>
      <c r="J53" s="1774"/>
      <c r="K53" s="2362"/>
      <c r="L53" s="1772"/>
      <c r="M53" s="1772"/>
      <c r="N53" s="1772"/>
      <c r="O53" s="1772"/>
    </row>
    <row r="54" spans="1:17" s="1099" customFormat="1">
      <c r="A54" s="1100" t="s">
        <v>497</v>
      </c>
      <c r="B54" s="593" t="e">
        <f t="shared" si="17"/>
        <v>#DIV/0!</v>
      </c>
      <c r="C54" s="531">
        <f t="shared" si="16"/>
        <v>0.2</v>
      </c>
      <c r="D54" s="2394">
        <v>0.25</v>
      </c>
      <c r="E54" s="1101"/>
      <c r="F54" s="1098" t="e">
        <f t="shared" si="15"/>
        <v>#DIV/0!</v>
      </c>
      <c r="G54" s="3759"/>
      <c r="H54" s="2186" t="str">
        <f>项目基本情况!B37</f>
        <v>八级</v>
      </c>
      <c r="I54" s="1773">
        <f>SUMIF(修正!A45:A56,H54,修正!D45:D56)</f>
        <v>0.2</v>
      </c>
      <c r="J54" s="1774"/>
      <c r="K54" s="2361"/>
      <c r="L54" s="1772"/>
      <c r="M54" s="1772"/>
      <c r="N54" s="1772"/>
      <c r="O54" s="1772"/>
    </row>
    <row r="55" spans="1:17" s="1099" customFormat="1">
      <c r="A55" s="1100" t="s">
        <v>498</v>
      </c>
      <c r="B55" s="593" t="e">
        <f t="shared" si="17"/>
        <v>#DIV/0!</v>
      </c>
      <c r="C55" s="531">
        <f t="shared" si="16"/>
        <v>0.2</v>
      </c>
      <c r="D55" s="2394">
        <v>0.25</v>
      </c>
      <c r="E55" s="1101"/>
      <c r="F55" s="1098" t="e">
        <f t="shared" si="15"/>
        <v>#DIV/0!</v>
      </c>
      <c r="G55" s="3759"/>
      <c r="H55" s="2186" t="str">
        <f>项目基本情况!B37</f>
        <v>八级</v>
      </c>
      <c r="I55" s="1773">
        <f>SUMIF(修正!A45:A56,H55,修正!E45:E56)</f>
        <v>0.2</v>
      </c>
      <c r="J55" s="1774"/>
      <c r="K55" s="2362"/>
      <c r="L55" s="1772"/>
      <c r="M55" s="1772"/>
      <c r="N55" s="1772"/>
      <c r="O55" s="1772"/>
    </row>
    <row r="56" spans="1:17" s="1099" customFormat="1">
      <c r="A56" s="2514" t="s">
        <v>2398</v>
      </c>
      <c r="B56" s="593" t="e">
        <f t="shared" si="17"/>
        <v>#DIV/0!</v>
      </c>
      <c r="C56" s="531">
        <f t="shared" si="16"/>
        <v>0.2</v>
      </c>
      <c r="D56" s="2394">
        <v>0.25</v>
      </c>
      <c r="E56" s="592">
        <f>'数据-汇总表'!E11</f>
        <v>0</v>
      </c>
      <c r="F56" s="1098" t="e">
        <f t="shared" si="15"/>
        <v>#DIV/0!</v>
      </c>
      <c r="G56" s="2198" t="s">
        <v>2317</v>
      </c>
      <c r="H56" s="2186" t="str">
        <f>项目基本情况!C37</f>
        <v>八级</v>
      </c>
      <c r="I56" s="1773">
        <f>SUMIF(修正!A45:A56,H56,修正!F45:F56)</f>
        <v>0.2</v>
      </c>
      <c r="J56" s="1774"/>
      <c r="K56" s="2361"/>
      <c r="L56" s="1772"/>
      <c r="M56" s="1772"/>
      <c r="N56" s="1772"/>
      <c r="O56" s="1772"/>
    </row>
    <row r="57" spans="1:17" s="1099" customFormat="1">
      <c r="A57" s="1100" t="s">
        <v>499</v>
      </c>
      <c r="B57" s="593" t="e">
        <f t="shared" si="17"/>
        <v>#DIV/0!</v>
      </c>
      <c r="C57" s="531">
        <f t="shared" si="16"/>
        <v>0.2</v>
      </c>
      <c r="D57" s="2394">
        <v>0.25</v>
      </c>
      <c r="E57" s="592">
        <f>'数据-汇总表'!E12</f>
        <v>0</v>
      </c>
      <c r="F57" s="1098" t="e">
        <f t="shared" si="15"/>
        <v>#DIV/0!</v>
      </c>
      <c r="G57" s="2192" t="s">
        <v>141</v>
      </c>
      <c r="H57" s="2186" t="str">
        <f>IF(G57="商业",项目基本情况!B37,IF(G57="办公",项目基本情况!C37,IF(G57="住宅",项目基本情况!D37,项目基本情况!E37)))</f>
        <v>八级</v>
      </c>
      <c r="I57" s="1773">
        <f>SUMIF(修正!A45:A56,H57,修正!G45:G56)</f>
        <v>0.2</v>
      </c>
      <c r="J57" s="1774"/>
      <c r="K57" s="2362"/>
      <c r="L57" s="1772"/>
      <c r="M57" s="1772"/>
      <c r="N57" s="1772"/>
      <c r="O57" s="1772"/>
    </row>
    <row r="58" spans="1:17" s="1099" customFormat="1">
      <c r="A58" s="1100" t="s">
        <v>500</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3" t="e">
        <f t="shared" si="17"/>
        <v>#DIV/0!</v>
      </c>
      <c r="C59" s="531">
        <f t="shared" si="16"/>
        <v>0.15</v>
      </c>
      <c r="D59" s="2394">
        <v>0.25</v>
      </c>
      <c r="E59" s="592">
        <f>'数据-汇总表'!E14</f>
        <v>0</v>
      </c>
      <c r="F59" s="1098" t="e">
        <f t="shared" si="15"/>
        <v>#DIV/0!</v>
      </c>
      <c r="G59" s="2198" t="s">
        <v>2318</v>
      </c>
      <c r="H59" s="2186" t="str">
        <f>项目基本情况!B37</f>
        <v>八级</v>
      </c>
      <c r="I59" s="1773">
        <f>SUMIF(修正!A45:A56,H59,修正!H45:H56)</f>
        <v>0.15</v>
      </c>
      <c r="J59" s="1774"/>
      <c r="K59" s="2362"/>
      <c r="L59" s="1772"/>
      <c r="M59" s="1772"/>
      <c r="N59" s="1772"/>
      <c r="O59" s="1772"/>
    </row>
    <row r="60" spans="1:17" s="1099" customFormat="1" ht="15" thickBot="1">
      <c r="A60" s="1100" t="s">
        <v>502</v>
      </c>
      <c r="B60" s="593" t="e">
        <f t="shared" si="17"/>
        <v>#DIV/0!</v>
      </c>
      <c r="C60" s="531">
        <f t="shared" si="16"/>
        <v>0.15</v>
      </c>
      <c r="D60" s="2394">
        <v>0.25</v>
      </c>
      <c r="E60" s="592">
        <f>'数据-汇总表'!E15</f>
        <v>0</v>
      </c>
      <c r="F60" s="1098" t="e">
        <f t="shared" si="15"/>
        <v>#DIV/0!</v>
      </c>
      <c r="G60" s="2199" t="s">
        <v>2317</v>
      </c>
      <c r="H60" s="2200" t="str">
        <f>项目基本情况!C37</f>
        <v>八级</v>
      </c>
      <c r="I60" s="1773">
        <f>SUMIF(修正!A45:A56,H60,修正!H45:H56)</f>
        <v>0.15</v>
      </c>
      <c r="J60" s="1774"/>
      <c r="K60" s="2361"/>
      <c r="L60" s="1772"/>
      <c r="M60" s="1772"/>
      <c r="N60" s="1772"/>
      <c r="O60" s="1772"/>
    </row>
    <row r="61" spans="1:17" s="1099" customFormat="1" ht="15" thickBot="1">
      <c r="A61" s="1102" t="s">
        <v>503</v>
      </c>
      <c r="B61" s="1103" t="s">
        <v>156</v>
      </c>
      <c r="C61" s="1103" t="s">
        <v>157</v>
      </c>
      <c r="D61" s="1103" t="s">
        <v>2323</v>
      </c>
      <c r="E61" s="1103">
        <f>IF(B41="楼面地价",SUM(E51:E60),'数据-汇总表'!D3)</f>
        <v>92783.56</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936"/>
      <c r="E66" s="936"/>
      <c r="F66" s="936"/>
      <c r="G66" s="936"/>
      <c r="H66" s="936"/>
      <c r="I66" s="936"/>
      <c r="J66" s="936"/>
      <c r="K66" s="936"/>
      <c r="L66" s="936"/>
      <c r="M66" s="3030"/>
      <c r="N66" s="3030"/>
      <c r="O66" s="3032"/>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403</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158</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2665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2667</v>
      </c>
      <c r="C93" s="213" t="s">
        <v>2653</v>
      </c>
      <c r="D93" s="213" t="s">
        <v>2654</v>
      </c>
      <c r="E93" s="213" t="s">
        <v>2655</v>
      </c>
      <c r="F93" s="213" t="s">
        <v>2656</v>
      </c>
      <c r="G93" s="213" t="s">
        <v>2657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9"/>
      <c r="D97" s="139"/>
      <c r="E97" s="139"/>
      <c r="F97" s="139"/>
      <c r="G97" s="139"/>
      <c r="H97" s="131"/>
      <c r="I97" s="131"/>
      <c r="J97" s="131"/>
      <c r="K97" s="132"/>
      <c r="L97" s="133"/>
      <c r="M97" s="134"/>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9"/>
      <c r="D101" s="139"/>
      <c r="E101" s="139"/>
      <c r="F101" s="139"/>
      <c r="G101" s="135"/>
      <c r="H101" s="135"/>
      <c r="I101" s="135"/>
      <c r="J101" s="135"/>
      <c r="K101" s="136"/>
      <c r="L101" s="137"/>
      <c r="M101" s="138"/>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9"/>
      <c r="D103" s="139"/>
      <c r="E103" s="139"/>
      <c r="F103" s="139"/>
      <c r="G103" s="131"/>
      <c r="H103" s="131"/>
      <c r="I103" s="131"/>
      <c r="J103" s="131"/>
      <c r="K103" s="132"/>
      <c r="L103" s="133"/>
      <c r="M103" s="134"/>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1"/>
      <c r="D110" s="131"/>
      <c r="E110" s="131"/>
      <c r="F110" s="131"/>
      <c r="G110" s="131"/>
      <c r="H110" s="131"/>
      <c r="I110" s="131"/>
      <c r="J110" s="131"/>
      <c r="K110" s="132"/>
      <c r="L110" s="133"/>
      <c r="M110" s="134"/>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2499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9"/>
      <c r="D116" s="139"/>
      <c r="E116" s="139"/>
      <c r="F116" s="139"/>
      <c r="G116" s="139"/>
      <c r="H116" s="131"/>
      <c r="I116" s="131"/>
      <c r="J116" s="131"/>
      <c r="K116" s="132"/>
      <c r="L116" s="133"/>
      <c r="M116" s="134"/>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9"/>
      <c r="D118" s="139"/>
      <c r="E118" s="139"/>
      <c r="F118" s="139"/>
      <c r="G118" s="131"/>
      <c r="H118" s="131"/>
      <c r="I118" s="131"/>
      <c r="J118" s="131"/>
      <c r="K118" s="132"/>
      <c r="L118" s="133"/>
      <c r="M118" s="134"/>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0" zoomScaleSheetLayoutView="96" workbookViewId="0">
      <selection activeCell="C29" sqref="C2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2500</v>
      </c>
      <c r="D1" s="1737">
        <f>SUM(D29:D30,D33:D39)</f>
        <v>28973.439999999999</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1795</v>
      </c>
      <c r="B2" s="579">
        <f ca="1">C26</f>
        <v>58048</v>
      </c>
      <c r="C2" s="1470" t="s">
        <v>1136</v>
      </c>
      <c r="D2" s="1627" t="s">
        <v>1796</v>
      </c>
      <c r="E2" s="1781" t="s">
        <v>141</v>
      </c>
      <c r="F2" s="1627" t="s">
        <v>1797</v>
      </c>
      <c r="G2" s="1604" t="str">
        <f>IF(E2="商业",项目基本情况!B37,IF(E2="办公",项目基本情况!C37,IF(E2="住宅",项目基本情况!D37,项目基本情况!E37)))</f>
        <v>八级</v>
      </c>
      <c r="H2" s="1627" t="s">
        <v>1798</v>
      </c>
      <c r="I2" s="1604" t="str">
        <f>IF(E2="商业",项目基本情况!B38,IF(E2="办公",项目基本情况!C38,IF(E2="住宅",项目基本情况!D38,项目基本情况!E38)))</f>
        <v>Ⅷ-怀1</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6.2645</v>
      </c>
      <c r="T2" s="3075">
        <f ca="1">ROUND($C$5*$C$18*$C$19*$C$20*S2*$C$24,0)</f>
        <v>31184</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20035</v>
      </c>
      <c r="C3" s="1470" t="s">
        <v>1800</v>
      </c>
      <c r="D3" s="1627" t="s">
        <v>1139</v>
      </c>
      <c r="E3" s="1782" t="s">
        <v>3174</v>
      </c>
      <c r="F3" s="1783" t="s">
        <v>3021</v>
      </c>
      <c r="G3" s="1629">
        <f>IF(F3="宗地容积率",'数据-汇总表'!I4,IF(F3="估价对象容积率",'数据-汇总表'!I6,'数据-汇总表'!I7))</f>
        <v>0.31</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4.1287000000000003</v>
      </c>
      <c r="T3" s="3075">
        <f t="shared" ref="T3:T16" ca="1" si="0">ROUND($C$5*$C$18*$C$19*$C$20*S3*$C$24,0)</f>
        <v>20552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67"/>
      <c r="B4" s="3768"/>
      <c r="C4" s="3768"/>
      <c r="D4" s="3769"/>
      <c r="E4" s="3769"/>
      <c r="F4" s="3769"/>
      <c r="G4" s="3769"/>
      <c r="H4" s="3769"/>
      <c r="I4" s="3769"/>
      <c r="J4" s="3770"/>
      <c r="K4" s="2381"/>
      <c r="L4" s="1884" t="s">
        <v>1137</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3.2490000000000001</v>
      </c>
      <c r="T4" s="3075">
        <f t="shared" ca="1" si="0"/>
        <v>16173</v>
      </c>
      <c r="U4" s="3076"/>
      <c r="V4" s="3075">
        <f t="shared" ca="1" si="1"/>
        <v>0</v>
      </c>
      <c r="W4" s="3071"/>
      <c r="X4" s="3071"/>
      <c r="Y4" s="3071"/>
      <c r="Z4" s="3071"/>
      <c r="AA4" s="3071"/>
      <c r="AB4" s="3071"/>
      <c r="AC4" s="3072"/>
      <c r="AD4" s="3073"/>
      <c r="AE4" s="3073"/>
      <c r="AF4" s="3073"/>
      <c r="AG4" s="3073"/>
      <c r="AH4" s="3073"/>
      <c r="AI4" s="3073"/>
      <c r="AJ4" s="3074"/>
    </row>
    <row r="5" spans="1:36" s="1637" customFormat="1" ht="15.75" thickBot="1">
      <c r="A5" s="1877" t="s">
        <v>1937</v>
      </c>
      <c r="B5" s="1631" t="s">
        <v>1801</v>
      </c>
      <c r="C5" s="1632">
        <f>ROUND(IF(E2="商业",IF(F16="增加",C6*C7+C16,C6*C7-C16),IF(E2="住宅",IF(F16="增加",C6*C12+C16,C6*C12-C16),IF(F16="增加",C6+C16,C6-C16))),0)</f>
        <v>5615</v>
      </c>
      <c r="D5" s="3345">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5">
        <v>4</v>
      </c>
      <c r="S5" s="3075">
        <f>ROUND(IF(G3&gt;1,IF(R5&lt;7,SUMPRODUCT((B93:B98=R5)*(C92:N92=G2)*(C93:N98)),SUMIF(C92:N92,G2,C100:N100)),IF(R5&lt;7,SUMPRODUCT((B102:B107=R5)*(C92:N92=G2)*(C102:N107)),SUMIF(C92:N92,G2,C109:N109))),4)</f>
        <v>2.4274</v>
      </c>
      <c r="T5" s="3075">
        <f t="shared" ca="1" si="0"/>
        <v>12083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8" t="s">
        <v>1801</v>
      </c>
      <c r="C6" s="1639">
        <f>SUMIF(L1:L12,G2,M1:M12)</f>
        <v>5600</v>
      </c>
      <c r="D6" s="1640" t="s">
        <v>1802</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1.8254999999999999</v>
      </c>
      <c r="T6" s="3075">
        <f t="shared" ca="1" si="0"/>
        <v>9087</v>
      </c>
      <c r="U6" s="3076"/>
      <c r="V6" s="3075">
        <f t="shared" ca="1" si="1"/>
        <v>0</v>
      </c>
      <c r="W6" s="3071"/>
      <c r="X6" s="3071"/>
      <c r="Y6" s="3071"/>
      <c r="Z6" s="3071"/>
      <c r="AA6" s="3071"/>
      <c r="AB6" s="3071"/>
      <c r="AC6" s="3077"/>
      <c r="AD6" s="3078"/>
      <c r="AE6" s="3078"/>
      <c r="AF6" s="3078"/>
      <c r="AG6" s="3078"/>
      <c r="AH6" s="3078"/>
      <c r="AI6" s="3078"/>
      <c r="AJ6" s="3079"/>
    </row>
    <row r="7" spans="1:36" ht="24">
      <c r="A7" s="3771" t="str">
        <f>IF(E2="商业",IF(C8="不临58条商业街","",2),"")</f>
        <v/>
      </c>
      <c r="B7" s="1644" t="s">
        <v>1803</v>
      </c>
      <c r="C7" s="1645">
        <f>IF(C8="不临58条商业街",1,ROUND(1+(1.6*E8+1.2*E9+0.8*E10+0.4*E11)*C9,4))</f>
        <v>1</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1.4597</v>
      </c>
      <c r="T7" s="3075">
        <f t="shared" ca="1" si="0"/>
        <v>7266</v>
      </c>
      <c r="U7" s="3076"/>
      <c r="V7" s="3075">
        <f t="shared" ca="1" si="1"/>
        <v>0</v>
      </c>
      <c r="W7" s="3080" t="s">
        <v>2892</v>
      </c>
      <c r="X7" s="3081" t="str">
        <f>G2</f>
        <v>八级</v>
      </c>
      <c r="Y7" s="3081" t="s">
        <v>2893</v>
      </c>
      <c r="Z7" s="3082">
        <f>G3</f>
        <v>0.31</v>
      </c>
      <c r="AA7" s="3083"/>
      <c r="AB7" s="3083"/>
      <c r="AC7" s="3084"/>
      <c r="AD7" s="3085"/>
      <c r="AE7" s="3085"/>
      <c r="AF7" s="3085"/>
      <c r="AG7" s="3085"/>
      <c r="AH7" s="3085"/>
      <c r="AI7" s="3085"/>
      <c r="AJ7" s="3086"/>
    </row>
    <row r="8" spans="1:36" ht="24">
      <c r="A8" s="3772"/>
      <c r="B8" s="1630" t="s">
        <v>1805</v>
      </c>
      <c r="C8" s="1786" t="s">
        <v>3125</v>
      </c>
      <c r="D8" s="1650" t="s">
        <v>1142</v>
      </c>
      <c r="E8" s="1651" t="e">
        <f>ROUND(C11/E7,4)</f>
        <v>#DIV/0!</v>
      </c>
      <c r="F8" s="1652" t="s">
        <v>1806</v>
      </c>
      <c r="G8" s="1653"/>
      <c r="H8" s="1653"/>
      <c r="I8" s="1653"/>
      <c r="J8" s="1654"/>
      <c r="K8" s="2381"/>
      <c r="L8" s="1884" t="s">
        <v>1542</v>
      </c>
      <c r="M8" s="2137">
        <f>SUMPRODUCT((区片价!B206:B244=I2)*(区片价!C3:F3=E2)*(区片价!C206:F244))</f>
        <v>5600</v>
      </c>
      <c r="N8" s="2139">
        <f>SUMPRODUCT((因素修正幅度!B206:B244=I2)*(因素修正幅度!C3:F3=E2)*(因素修正幅度!C206:F244))</f>
        <v>0.14399999999999999</v>
      </c>
      <c r="O8" s="2381"/>
      <c r="P8" s="2381"/>
      <c r="Q8" s="2381"/>
      <c r="R8" s="3075">
        <v>7</v>
      </c>
      <c r="S8" s="3076"/>
      <c r="T8" s="3075">
        <f t="shared" ca="1" si="0"/>
        <v>0</v>
      </c>
      <c r="U8" s="3076"/>
      <c r="V8" s="3075">
        <f t="shared" ca="1" si="1"/>
        <v>0</v>
      </c>
      <c r="W8" s="3764" t="s">
        <v>2894</v>
      </c>
      <c r="X8" s="3765"/>
      <c r="Y8" s="3087" t="s">
        <v>164</v>
      </c>
      <c r="Z8" s="3087" t="s">
        <v>165</v>
      </c>
      <c r="AA8" s="3087" t="s">
        <v>160</v>
      </c>
      <c r="AB8" s="3087" t="s">
        <v>161</v>
      </c>
      <c r="AC8" s="3087" t="s">
        <v>162</v>
      </c>
      <c r="AD8" s="3087" t="s">
        <v>163</v>
      </c>
      <c r="AE8" s="3087" t="s">
        <v>1177</v>
      </c>
      <c r="AF8" s="3087" t="s">
        <v>1178</v>
      </c>
      <c r="AG8" s="3087" t="s">
        <v>1179</v>
      </c>
      <c r="AH8" s="3087" t="s">
        <v>1180</v>
      </c>
      <c r="AI8" s="3087" t="s">
        <v>1181</v>
      </c>
      <c r="AJ8" s="3087" t="s">
        <v>1182</v>
      </c>
    </row>
    <row r="9" spans="1:36" ht="15">
      <c r="A9" s="3772"/>
      <c r="B9" s="1630" t="s">
        <v>1807</v>
      </c>
      <c r="C9" s="1655">
        <f>SUMIF(修正!C59:C119,C8,修正!E59:E119)</f>
        <v>0</v>
      </c>
      <c r="D9" s="531" t="s">
        <v>1143</v>
      </c>
      <c r="E9" s="531"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766" t="s">
        <v>2895</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72"/>
      <c r="B10" s="1630" t="s">
        <v>1809</v>
      </c>
      <c r="C10" s="531">
        <f>SUMIF(修正!C59:C119,C8,修正!F59:F119)</f>
        <v>0</v>
      </c>
      <c r="D10" s="531" t="s">
        <v>1144</v>
      </c>
      <c r="E10" s="531"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766"/>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72"/>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766" t="s">
        <v>2896</v>
      </c>
      <c r="X11" s="3091" t="s">
        <v>2893</v>
      </c>
      <c r="Y11" s="3092">
        <f>$G$3</f>
        <v>0.31</v>
      </c>
      <c r="Z11" s="3092">
        <f t="shared" ref="Z11:AJ11" si="3">$G$3</f>
        <v>0.31</v>
      </c>
      <c r="AA11" s="3092">
        <f t="shared" si="3"/>
        <v>0.31</v>
      </c>
      <c r="AB11" s="3092">
        <f t="shared" si="3"/>
        <v>0.31</v>
      </c>
      <c r="AC11" s="3092">
        <f t="shared" si="3"/>
        <v>0.31</v>
      </c>
      <c r="AD11" s="3092">
        <f t="shared" si="3"/>
        <v>0.31</v>
      </c>
      <c r="AE11" s="3092">
        <f t="shared" si="3"/>
        <v>0.31</v>
      </c>
      <c r="AF11" s="3092">
        <f t="shared" si="3"/>
        <v>0.31</v>
      </c>
      <c r="AG11" s="3092">
        <f t="shared" si="3"/>
        <v>0.31</v>
      </c>
      <c r="AH11" s="3092">
        <f t="shared" si="3"/>
        <v>0.31</v>
      </c>
      <c r="AI11" s="3092">
        <f t="shared" si="3"/>
        <v>0.31</v>
      </c>
      <c r="AJ11" s="3092">
        <f t="shared" si="3"/>
        <v>0.31</v>
      </c>
    </row>
    <row r="12" spans="1:36" ht="26.25" thickBot="1">
      <c r="A12" s="3771"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766"/>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73"/>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5">
        <v>12</v>
      </c>
      <c r="S13" s="3076"/>
      <c r="T13" s="3075">
        <f t="shared" ca="1" si="0"/>
        <v>0</v>
      </c>
      <c r="U13" s="3076"/>
      <c r="V13" s="3075">
        <f t="shared" ca="1" si="1"/>
        <v>0</v>
      </c>
      <c r="W13" s="3766"/>
      <c r="X13" s="3093"/>
      <c r="Y13" s="3090">
        <f>(-0.163*(Y12^2)-0.59*Y12+7617)*(10^(-4))/Y11</f>
        <v>2.4570967741935483</v>
      </c>
      <c r="Z13" s="3090">
        <f t="shared" ref="Z13:AJ13" si="5">(-0.163*(Z12^2)-0.59*Z12+7617)*(10^(-4))/Z11</f>
        <v>2.4570967741935483</v>
      </c>
      <c r="AA13" s="3090">
        <f t="shared" si="5"/>
        <v>2.4570967741935483</v>
      </c>
      <c r="AB13" s="3090">
        <f t="shared" si="5"/>
        <v>2.4570967741935483</v>
      </c>
      <c r="AC13" s="3090">
        <f t="shared" si="5"/>
        <v>2.4570967741935483</v>
      </c>
      <c r="AD13" s="3090">
        <f t="shared" si="5"/>
        <v>2.4570967741935483</v>
      </c>
      <c r="AE13" s="3090">
        <f t="shared" si="5"/>
        <v>2.4570967741935483</v>
      </c>
      <c r="AF13" s="3090">
        <f t="shared" si="5"/>
        <v>2.4570967741935483</v>
      </c>
      <c r="AG13" s="3090">
        <f t="shared" si="5"/>
        <v>2.4570967741935483</v>
      </c>
      <c r="AH13" s="3090">
        <f t="shared" si="5"/>
        <v>2.4570967741935483</v>
      </c>
      <c r="AI13" s="3090">
        <f t="shared" si="5"/>
        <v>2.4570967741935483</v>
      </c>
      <c r="AJ13" s="3090">
        <f t="shared" si="5"/>
        <v>2.4570967741935483</v>
      </c>
    </row>
    <row r="14" spans="1:36" ht="15">
      <c r="A14" s="3773"/>
      <c r="B14" s="1669"/>
      <c r="C14" s="1789"/>
      <c r="D14" s="1486"/>
      <c r="E14" s="1486"/>
      <c r="F14" s="1790"/>
      <c r="G14" s="1670" t="s">
        <v>1846</v>
      </c>
      <c r="H14" s="1671"/>
      <c r="I14" s="1672"/>
      <c r="J14" s="1673"/>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74"/>
      <c r="B15" s="1674" t="s">
        <v>1819</v>
      </c>
      <c r="C15" s="560">
        <f>IF(C14="有",1.1,1)</f>
        <v>1</v>
      </c>
      <c r="D15" s="560">
        <f>IF(D14="有",1.1,1)</f>
        <v>1</v>
      </c>
      <c r="E15" s="560">
        <f>IF(E14="有",1.1,1)</f>
        <v>1</v>
      </c>
      <c r="F15" s="560">
        <f>IF(F14="500米范围内",1.2,IF(F14="500-1000米",1.1,1))</f>
        <v>1</v>
      </c>
      <c r="G15" s="1791">
        <v>1</v>
      </c>
      <c r="H15" s="1791">
        <v>1</v>
      </c>
      <c r="I15" s="1791">
        <v>1</v>
      </c>
      <c r="J15" s="1792">
        <v>1</v>
      </c>
      <c r="K15" s="2381"/>
      <c r="L15" s="1705" t="s">
        <v>1835</v>
      </c>
      <c r="M15" s="1706" t="s">
        <v>1836</v>
      </c>
      <c r="N15" s="1706" t="s">
        <v>1837</v>
      </c>
      <c r="O15" s="1706" t="s">
        <v>977</v>
      </c>
      <c r="P15" s="1707" t="s">
        <v>1838</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71" t="s">
        <v>1946</v>
      </c>
      <c r="B16" s="1644" t="s">
        <v>1820</v>
      </c>
      <c r="C16" s="1777">
        <f>ROUND(SUM(G17:J17)/C17,0)</f>
        <v>15</v>
      </c>
      <c r="D16" s="1675" t="s">
        <v>1821</v>
      </c>
      <c r="E16" s="1793" t="s">
        <v>3126</v>
      </c>
      <c r="F16" s="1794" t="s">
        <v>3127</v>
      </c>
      <c r="G16" s="1795" t="s">
        <v>3128</v>
      </c>
      <c r="H16" s="1795"/>
      <c r="I16" s="1795"/>
      <c r="J16" s="1796"/>
      <c r="K16" s="2381"/>
      <c r="L16" s="1711" t="s">
        <v>1840</v>
      </c>
      <c r="M16" s="1655">
        <v>0.25</v>
      </c>
      <c r="N16" s="1655">
        <v>0.2</v>
      </c>
      <c r="O16" s="1655">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72"/>
      <c r="B17" s="1676" t="s">
        <v>1822</v>
      </c>
      <c r="C17" s="1677">
        <f>SUMPRODUCT((修正!A2:A5=E2)*(修正!B1:M1=G2)*(修正!B2:M5))</f>
        <v>2</v>
      </c>
      <c r="D17" s="1678" t="s">
        <v>1823</v>
      </c>
      <c r="E17" s="1748" t="str">
        <f>IF(OR(G2="八级",G2="九级",G2="十级",G2="十一级",G2="十二级"),"五通一平","七通一平")</f>
        <v>五通一平</v>
      </c>
      <c r="F17" s="1679" t="s">
        <v>1824</v>
      </c>
      <c r="G17" s="1677">
        <f>SUMPRODUCT((七通一平=G16)*(修正!B1:M1=G2)*(修正!B6:M14))</f>
        <v>30</v>
      </c>
      <c r="H17" s="1677">
        <f>SUMPRODUCT((七通一平=H16)*(修正!B1:M1=G2)*(修正!B6:M14))</f>
        <v>0</v>
      </c>
      <c r="I17" s="1677">
        <f>SUMPRODUCT((七通一平=I16)*(修正!B1:M1=G2)*(修正!B6:M14))</f>
        <v>0</v>
      </c>
      <c r="J17" s="1680">
        <f>SUMPRODUCT((七通一平=J16)*(修正!B1:M1=G2)*(修正!B6:M14))</f>
        <v>0</v>
      </c>
      <c r="K17" s="2381"/>
      <c r="L17" s="1718" t="s">
        <v>1829</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1938</v>
      </c>
      <c r="B18" s="1681" t="s">
        <v>1825</v>
      </c>
      <c r="C18" s="1682">
        <f>SUMIF(修正!C18:C39,E3,修正!E18:E39)</f>
        <v>0.8</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1939</v>
      </c>
      <c r="B19" s="1681" t="s">
        <v>1826</v>
      </c>
      <c r="C19" s="1690">
        <f>ROUND(IF(H19="按公示增长率计算",SUMPRODUCT((地价!A3:A19=YEAR(G19)&amp;"-"&amp;ROUNDUP(MONTH(G19)/3,0))*(地价!X2:AB2=E2)*(地价!X3:AB19)),IF(H19="地价指数",M20/M19,(1+I19)^O19)),4)</f>
        <v>1.2363999999999999</v>
      </c>
      <c r="D19" s="1691" t="s">
        <v>1147</v>
      </c>
      <c r="E19" s="1692">
        <v>41640</v>
      </c>
      <c r="F19" s="1691" t="s">
        <v>1148</v>
      </c>
      <c r="G19" s="1693">
        <f>'数据-取费表'!B2</f>
        <v>42986</v>
      </c>
      <c r="H19" s="3018" t="s">
        <v>2955</v>
      </c>
      <c r="I19" s="1694" t="str">
        <f>IF(H19="季度增幅（自定义）",SUMIF(N21:N24,E2,O21:O24),"")</f>
        <v/>
      </c>
      <c r="J19" s="1687"/>
      <c r="K19" s="2388"/>
      <c r="L19" s="3243" t="s">
        <v>2953</v>
      </c>
      <c r="M19" s="3245">
        <f>ROUND(SUMIF(地价!B2:F2,E2,地价!B19:F19),0)</f>
        <v>258</v>
      </c>
      <c r="N19" s="3241" t="s">
        <v>1871</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1940</v>
      </c>
      <c r="B20" s="1750" t="s">
        <v>1827</v>
      </c>
      <c r="C20" s="1697">
        <f ca="1">ROUND(POWER(1+G20,J20-I20)*(POWER(1+G20,I20)-1)/(POWER(1+G20,J20)-1),4)</f>
        <v>0.89529999999999998</v>
      </c>
      <c r="D20" s="1751" t="s">
        <v>1828</v>
      </c>
      <c r="E20" s="3300">
        <f ca="1">存贷款利率!D4/100</f>
        <v>4.3499999999999997E-2</v>
      </c>
      <c r="F20" s="1751" t="s">
        <v>1829</v>
      </c>
      <c r="G20" s="1752">
        <f ca="1">SUMIF(M15:P15,E2,M17:P17)</f>
        <v>5.1999999999999998E-2</v>
      </c>
      <c r="H20" s="1751" t="s">
        <v>1830</v>
      </c>
      <c r="I20" s="1753">
        <f>SUMIF('数据-取费表'!C6:C15,E2,'数据-取费表'!F6:F15)/COUNTIF('数据-取费表'!C6:C15,E2)</f>
        <v>34.31</v>
      </c>
      <c r="J20" s="1754">
        <f>IF(E2="住宅",70,IF(E2="商业",40,50))</f>
        <v>50</v>
      </c>
      <c r="K20" s="2388"/>
      <c r="L20" s="3244" t="s">
        <v>2954</v>
      </c>
      <c r="M20" s="3246">
        <f>ROUND(SUMPRODUCT((地价!A4:A19=YEAR(G19)&amp;"-"&amp;ROUNDUP(MONTH(G19)/3,0))*(地价!B2:F2=E2)*(地价!B4:F19)),0)</f>
        <v>319</v>
      </c>
      <c r="N20" s="3242" t="s">
        <v>2782</v>
      </c>
      <c r="O20" s="3019" t="s">
        <v>2783</v>
      </c>
      <c r="P20" s="3020" t="s">
        <v>2792</v>
      </c>
      <c r="R20" s="2738"/>
      <c r="S20" s="2738"/>
      <c r="T20" s="2733"/>
      <c r="U20" s="2733"/>
      <c r="V20" s="2733"/>
      <c r="W20" s="2732"/>
      <c r="X20" s="2732"/>
      <c r="Y20" s="2732"/>
      <c r="Z20" s="2739"/>
      <c r="AA20" s="2740"/>
      <c r="AB20" s="2740"/>
      <c r="AC20" s="2740"/>
      <c r="AD20" s="2740"/>
      <c r="AE20" s="1688"/>
      <c r="AF20" s="1688"/>
    </row>
    <row r="21" spans="1:37" s="1637" customFormat="1" ht="14.25">
      <c r="A21" s="1880" t="s">
        <v>1941</v>
      </c>
      <c r="B21" s="1797" t="s">
        <v>3129</v>
      </c>
      <c r="C21" s="1755">
        <f>IF(B21="容积率修正",IF(G3&lt;=10,D22,J22),C23)</f>
        <v>4.0247999999999999</v>
      </c>
      <c r="D21" s="1756"/>
      <c r="E21" s="1756"/>
      <c r="F21" s="1756"/>
      <c r="G21" s="1756"/>
      <c r="H21" s="1756"/>
      <c r="I21" s="1756"/>
      <c r="J21" s="1757"/>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1944</v>
      </c>
      <c r="B22" s="1699" t="s">
        <v>1831</v>
      </c>
      <c r="C22" s="1778" t="s">
        <v>1844</v>
      </c>
      <c r="D22" s="1778">
        <f>IF(E22=G22,F22,IF(G3&lt;=10,ROUND(F22+(H22-F22)*(G3-E22)/(G22-E22),4),"——"))</f>
        <v>4.0247999999999999</v>
      </c>
      <c r="E22" s="1629">
        <f>ROUNDDOWN(G3,1)</f>
        <v>0.3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629">
        <f>ROUNDUP(G3,1)</f>
        <v>0.4</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778" t="s">
        <v>1161</v>
      </c>
      <c r="J22" s="1758"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1942</v>
      </c>
      <c r="B24" s="1681" t="s">
        <v>1833</v>
      </c>
      <c r="C24" s="1690">
        <f>SUMIF(A45:A88,E2,B45:B88)</f>
        <v>1.0011000000000001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1943</v>
      </c>
      <c r="B25" s="1702" t="s">
        <v>1834</v>
      </c>
      <c r="C25" s="1703"/>
      <c r="D25" s="1648"/>
      <c r="E25" s="1648"/>
      <c r="F25" s="1704"/>
      <c r="G25" s="1648"/>
      <c r="H25" s="1648"/>
      <c r="I25" s="1648"/>
      <c r="J25" s="1649"/>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1865</v>
      </c>
      <c r="C26" s="537">
        <f ca="1">E29+SUM(E33:E39)</f>
        <v>58048</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1866</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1864</v>
      </c>
      <c r="C28" s="1720" t="s">
        <v>1839</v>
      </c>
      <c r="D28" s="1720" t="s">
        <v>1855</v>
      </c>
      <c r="E28" s="1721" t="s">
        <v>1856</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1859</v>
      </c>
      <c r="C29" s="537">
        <f ca="1">ROUND(C5*C18*C19*C20*C21*C24,0)</f>
        <v>20035</v>
      </c>
      <c r="D29" s="3399">
        <f>'数据-汇总表'!F19</f>
        <v>28973.439999999999</v>
      </c>
      <c r="E29" s="1780">
        <f ca="1">ROUND(C29*D29/10000,0)</f>
        <v>58048</v>
      </c>
      <c r="F29" s="1724" t="s">
        <v>1841</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1860</v>
      </c>
      <c r="C30" s="560">
        <f ca="1">ROUND(IF(E2="工业",C29*M39,C29*M38),0)</f>
        <v>5009</v>
      </c>
      <c r="D30" s="1747"/>
      <c r="E30" s="1780">
        <f ca="1">ROUND(C30*D30/10000,0)</f>
        <v>0</v>
      </c>
      <c r="F30" s="1729" t="s">
        <v>1857</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1839</v>
      </c>
      <c r="D32" s="168" t="s">
        <v>1855</v>
      </c>
      <c r="E32" s="168" t="s">
        <v>1856</v>
      </c>
      <c r="F32" s="1737" t="s">
        <v>1843</v>
      </c>
      <c r="G32" s="1698" t="s">
        <v>1839</v>
      </c>
      <c r="H32" s="1698" t="s">
        <v>1855</v>
      </c>
      <c r="I32" s="1698" t="s">
        <v>1856</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83" t="s">
        <v>3061</v>
      </c>
      <c r="B33" s="1740" t="s">
        <v>1163</v>
      </c>
      <c r="C33" s="537">
        <f ca="1">ROUND(D5*C19*C20*C24*F33,0)</f>
        <v>0</v>
      </c>
      <c r="D33" s="1746"/>
      <c r="E33" s="531">
        <f ca="1">ROUND(C33*D33/10000,0)</f>
        <v>0</v>
      </c>
      <c r="F33" s="531">
        <f>SUMIF(修正!A45:A56,G2,修正!B45:B56)</f>
        <v>0.6</v>
      </c>
      <c r="G33" s="531">
        <f t="shared" ref="G33:G39" ca="1" si="6">ROUND(IF(E2="工业",C33*$M$39,C33*$M$38),0)</f>
        <v>0</v>
      </c>
      <c r="H33" s="531">
        <f>D33</f>
        <v>0</v>
      </c>
      <c r="I33" s="531">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84"/>
      <c r="B34" s="1667" t="s">
        <v>1164</v>
      </c>
      <c r="C34" s="537">
        <f ca="1">ROUND(D5*C19*C20*C24*F34,0)</f>
        <v>0</v>
      </c>
      <c r="D34" s="1746"/>
      <c r="E34" s="531">
        <f t="shared" ref="E34:E39" ca="1" si="7">ROUND(C34*D34/10000,0)</f>
        <v>0</v>
      </c>
      <c r="F34" s="531">
        <f>SUMIF(修正!A45:A56,G2,修正!C45:C56)</f>
        <v>0.3</v>
      </c>
      <c r="G34" s="531">
        <f t="shared" ca="1" si="6"/>
        <v>0</v>
      </c>
      <c r="H34" s="531">
        <f t="shared" ref="H34:H39" si="8">D34</f>
        <v>0</v>
      </c>
      <c r="I34" s="531">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84"/>
      <c r="B35" s="1667" t="s">
        <v>1165</v>
      </c>
      <c r="C35" s="537">
        <f ca="1">ROUND(D5*C19*C20*C24*F35,0)</f>
        <v>0</v>
      </c>
      <c r="D35" s="1746"/>
      <c r="E35" s="531">
        <f t="shared" ca="1" si="7"/>
        <v>0</v>
      </c>
      <c r="F35" s="531">
        <f>SUMIF(修正!A45:A56,G2,修正!D45:D56)</f>
        <v>0.2</v>
      </c>
      <c r="G35" s="531">
        <f t="shared" ca="1" si="6"/>
        <v>0</v>
      </c>
      <c r="H35" s="531">
        <f t="shared" si="8"/>
        <v>0</v>
      </c>
      <c r="I35" s="531">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85"/>
      <c r="B36" s="1667" t="s">
        <v>1166</v>
      </c>
      <c r="C36" s="537">
        <f ca="1">ROUND(D5*C19*C20*C24*F36,0)</f>
        <v>0</v>
      </c>
      <c r="D36" s="1746"/>
      <c r="E36" s="531">
        <f t="shared" ca="1" si="7"/>
        <v>0</v>
      </c>
      <c r="F36" s="531">
        <f>SUMIF(修正!A45:A56,G2,修正!E45:E56)</f>
        <v>0.2</v>
      </c>
      <c r="G36" s="531">
        <f t="shared" ca="1" si="6"/>
        <v>0</v>
      </c>
      <c r="H36" s="531">
        <f t="shared" si="8"/>
        <v>0</v>
      </c>
      <c r="I36" s="531">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1">
        <f ca="1">ROUND(C5*C19*C20*C24*F37,0)</f>
        <v>1244</v>
      </c>
      <c r="D37" s="1746"/>
      <c r="E37" s="531">
        <f t="shared" ca="1" si="7"/>
        <v>0</v>
      </c>
      <c r="F37" s="537">
        <f>SUMIF(修正!A45:A56,G2,修正!F45:F56)</f>
        <v>0.2</v>
      </c>
      <c r="G37" s="531">
        <f t="shared" ca="1" si="6"/>
        <v>311</v>
      </c>
      <c r="H37" s="531">
        <f t="shared" si="8"/>
        <v>0</v>
      </c>
      <c r="I37" s="531">
        <f t="shared" ca="1" si="9"/>
        <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1">
        <f ca="1">ROUND(C5*C19*C20*C24*F38,0)</f>
        <v>1244</v>
      </c>
      <c r="D38" s="1746"/>
      <c r="E38" s="531">
        <f t="shared" ca="1" si="7"/>
        <v>0</v>
      </c>
      <c r="F38" s="537">
        <f>SUMIF(修正!A45:A56,G2,修正!G45:G56)</f>
        <v>0.2</v>
      </c>
      <c r="G38" s="531">
        <f t="shared" ca="1" si="6"/>
        <v>311</v>
      </c>
      <c r="H38" s="531">
        <f t="shared" si="8"/>
        <v>0</v>
      </c>
      <c r="I38" s="531">
        <f t="shared" ca="1" si="9"/>
        <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60">
        <f ca="1">ROUND(C5*C19*C20*C24*F39,0)</f>
        <v>933</v>
      </c>
      <c r="D39" s="1747"/>
      <c r="E39" s="560">
        <f t="shared" ca="1" si="7"/>
        <v>0</v>
      </c>
      <c r="F39" s="1743">
        <f>SUMIF(修正!A45:A56,G2,修正!H45:H56)</f>
        <v>0.15</v>
      </c>
      <c r="G39" s="560" t="e">
        <f t="shared" si="6"/>
        <v>#DIV/0!</v>
      </c>
      <c r="H39" s="560">
        <f t="shared" si="8"/>
        <v>0</v>
      </c>
      <c r="I39" s="560"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3" t="s">
        <v>2493</v>
      </c>
      <c r="G47" s="1499" t="s">
        <v>1850</v>
      </c>
      <c r="H47" s="2604" t="s">
        <v>2494</v>
      </c>
      <c r="I47" s="1499" t="s">
        <v>1853</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24">
      <c r="A48" s="1496" t="s">
        <v>1782</v>
      </c>
      <c r="B48" s="1501">
        <f>估价对象房地状况!C4</f>
        <v>0</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6" t="s">
        <v>92</v>
      </c>
      <c r="B49" s="1505" t="str">
        <f>估价对象房地状况!C18</f>
        <v>估价对象紧邻城市次干道——怀耿路，半径1公里内有866、H07、H09、H44路等公交线路，周边有怀耿路、杨雁路两条城市次干道，西北距离怀柔火车站4公里，交通便捷度较差</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t="str">
        <f>估价对象房地状况!C19</f>
        <v>一般</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1783</v>
      </c>
      <c r="B51" s="3303" t="s">
        <v>3023</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1784</v>
      </c>
      <c r="B52" s="1505" t="str">
        <f>估价对象房地状况!C24</f>
        <v>城市主干道-怀耿路</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1785</v>
      </c>
      <c r="B53" s="3302" t="s">
        <v>3022</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08">
      <c r="A54" s="1507" t="s">
        <v>1786</v>
      </c>
      <c r="B5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估价对象所在区域基础设施水平达到七通</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96.75" thickBot="1">
      <c r="A56" s="1509" t="s">
        <v>1788</v>
      </c>
      <c r="B56" s="1510" t="str">
        <f>估价对象房地状况!C20</f>
        <v>周边约1公里范围内有北京影视研修学院、北京怀柔中视腾飞影视培训学校等演艺教育学校，人文环境一般；周边有约1公里有栖河，自然环境一般。综合评价自然与人文环境一般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1162</v>
      </c>
      <c r="B57" s="1491">
        <f>1+E59</f>
        <v>1.0011000000000001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3" t="s">
        <v>2290</v>
      </c>
      <c r="G58" s="1499" t="s">
        <v>1850</v>
      </c>
      <c r="H58" s="2604" t="s">
        <v>2494</v>
      </c>
      <c r="I58" s="1499" t="s">
        <v>1853</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69.75" customHeight="1">
      <c r="A59" s="1496" t="s">
        <v>1093</v>
      </c>
      <c r="B59" s="1501" t="str">
        <f>估价对象房地状况!C17</f>
        <v>估价对象位于怀柔区杨宋镇，目前投用项目有中影基地、星美影视城、百汇演艺学校等类似用房以及相关行业酒店等配套设施，产业聚集度较好</v>
      </c>
      <c r="C59" s="1486" t="s">
        <v>3175</v>
      </c>
      <c r="D59" s="2602">
        <f t="shared" ref="D59:D67" si="15">SUMIF($J$58:$N$58,C59,J59:N59)</f>
        <v>1.1999999999999999E-3</v>
      </c>
      <c r="E59" s="1503">
        <f>ROUND(SUM(D59:D67),4)</f>
        <v>1.1000000000000001E-3</v>
      </c>
      <c r="F59" s="1504">
        <f>IF(E2="办公",SUMIF(L1:L12,G2,N1:N12),"——")</f>
        <v>0.14399999999999999</v>
      </c>
      <c r="G59" s="3383">
        <f t="shared" ref="G59:H67" si="16">IFERROR(ROUNDDOWN($F$59*H59/2,4),"——")</f>
        <v>1.1999999999999999E-3</v>
      </c>
      <c r="H59" s="2618">
        <f t="shared" si="16"/>
        <v>1.72E-2</v>
      </c>
      <c r="I59" s="1502">
        <v>0.24</v>
      </c>
      <c r="J59" s="2601">
        <f t="shared" ref="J59:J67" si="17">K59+$G59</f>
        <v>2.3999999999999998E-3</v>
      </c>
      <c r="K59" s="2601">
        <f t="shared" ref="K59:K67" si="18">$L59+$G59</f>
        <v>1.1999999999999999E-3</v>
      </c>
      <c r="L59" s="2601">
        <v>0</v>
      </c>
      <c r="M59" s="2601">
        <f t="shared" ref="M59:N67" si="19">L59-$G59</f>
        <v>-1.1999999999999999E-3</v>
      </c>
      <c r="N59" s="2601">
        <f t="shared" si="19"/>
        <v>-2.3999999999999998E-3</v>
      </c>
      <c r="AA59" s="2382"/>
      <c r="AB59" s="2382"/>
      <c r="AC59" s="2382"/>
      <c r="AD59" s="2382"/>
      <c r="AE59" s="2382"/>
      <c r="AF59" s="2382"/>
      <c r="AG59" s="2382"/>
      <c r="AH59" s="2382"/>
      <c r="AI59" s="2382"/>
      <c r="AJ59" s="2382"/>
      <c r="AK59" s="2382"/>
    </row>
    <row r="60" spans="1:37" s="2381" customFormat="1" ht="99" customHeight="1">
      <c r="A60" s="1496" t="s">
        <v>92</v>
      </c>
      <c r="B60" s="1505" t="str">
        <f>估价对象房地状况!C18</f>
        <v>估价对象紧邻城市次干道——怀耿路，半径1公里内有866、H07、H09、H44路等公交线路，周边有怀耿路、杨雁路两条城市次干道，西北距离怀柔火车站4公里，交通便捷度较差</v>
      </c>
      <c r="C60" s="1486" t="s">
        <v>3176</v>
      </c>
      <c r="D60" s="2602">
        <f t="shared" si="15"/>
        <v>-1.5E-3</v>
      </c>
      <c r="E60" s="1506"/>
      <c r="F60" s="1504"/>
      <c r="G60" s="3383">
        <f t="shared" si="16"/>
        <v>1.5E-3</v>
      </c>
      <c r="H60" s="2618">
        <f t="shared" si="16"/>
        <v>2.1600000000000001E-2</v>
      </c>
      <c r="I60" s="1502">
        <v>0.3</v>
      </c>
      <c r="J60" s="2601">
        <f t="shared" si="17"/>
        <v>3.0000000000000001E-3</v>
      </c>
      <c r="K60" s="2601">
        <f t="shared" si="18"/>
        <v>1.5E-3</v>
      </c>
      <c r="L60" s="2601">
        <v>0</v>
      </c>
      <c r="M60" s="2601">
        <f t="shared" si="19"/>
        <v>-1.5E-3</v>
      </c>
      <c r="N60" s="2601">
        <f t="shared" si="19"/>
        <v>-3.0000000000000001E-3</v>
      </c>
      <c r="AA60" s="2382"/>
      <c r="AB60" s="2382"/>
      <c r="AC60" s="2382"/>
      <c r="AD60" s="2382"/>
      <c r="AE60" s="2382"/>
      <c r="AF60" s="2382"/>
      <c r="AG60" s="2382"/>
      <c r="AH60" s="2382"/>
      <c r="AI60" s="2382"/>
      <c r="AJ60" s="2382"/>
      <c r="AK60" s="2382"/>
    </row>
    <row r="61" spans="1:37" s="2381" customFormat="1" ht="24">
      <c r="A61" s="1496" t="s">
        <v>109</v>
      </c>
      <c r="B61" s="1505" t="str">
        <f>估价对象房地状况!C19</f>
        <v>一般</v>
      </c>
      <c r="C61" s="1486" t="s">
        <v>3171</v>
      </c>
      <c r="D61" s="2602">
        <f t="shared" si="15"/>
        <v>0</v>
      </c>
      <c r="E61" s="1506"/>
      <c r="F61" s="1504"/>
      <c r="G61" s="3383">
        <f t="shared" si="16"/>
        <v>4.0000000000000002E-4</v>
      </c>
      <c r="H61" s="2618">
        <f t="shared" si="16"/>
        <v>5.7000000000000002E-3</v>
      </c>
      <c r="I61" s="1502">
        <v>0.08</v>
      </c>
      <c r="J61" s="2601">
        <f t="shared" si="17"/>
        <v>8.0000000000000004E-4</v>
      </c>
      <c r="K61" s="2601">
        <f t="shared" si="18"/>
        <v>4.0000000000000002E-4</v>
      </c>
      <c r="L61" s="2601">
        <v>0</v>
      </c>
      <c r="M61" s="2601">
        <f t="shared" si="19"/>
        <v>-4.0000000000000002E-4</v>
      </c>
      <c r="N61" s="2601">
        <f t="shared" si="19"/>
        <v>-8.0000000000000004E-4</v>
      </c>
      <c r="AA61" s="2382"/>
      <c r="AB61" s="2382"/>
      <c r="AC61" s="2382"/>
      <c r="AD61" s="2382"/>
      <c r="AE61" s="2382"/>
      <c r="AF61" s="2382"/>
      <c r="AG61" s="2382"/>
      <c r="AH61" s="2382"/>
      <c r="AI61" s="2382"/>
      <c r="AJ61" s="2382"/>
      <c r="AK61" s="2382"/>
    </row>
    <row r="62" spans="1:37" s="2381" customFormat="1" ht="36">
      <c r="A62" s="1496" t="s">
        <v>1783</v>
      </c>
      <c r="B62" s="3303" t="s">
        <v>3023</v>
      </c>
      <c r="C62" s="1486" t="s">
        <v>3175</v>
      </c>
      <c r="D62" s="2602">
        <f t="shared" si="15"/>
        <v>2.0000000000000001E-4</v>
      </c>
      <c r="E62" s="1506"/>
      <c r="F62" s="1504"/>
      <c r="G62" s="3383">
        <f t="shared" si="16"/>
        <v>2.0000000000000001E-4</v>
      </c>
      <c r="H62" s="2618">
        <f t="shared" si="16"/>
        <v>2.8E-3</v>
      </c>
      <c r="I62" s="1502">
        <v>0.04</v>
      </c>
      <c r="J62" s="2601">
        <f t="shared" si="17"/>
        <v>4.0000000000000002E-4</v>
      </c>
      <c r="K62" s="2601">
        <f t="shared" si="18"/>
        <v>2.0000000000000001E-4</v>
      </c>
      <c r="L62" s="2601">
        <v>0</v>
      </c>
      <c r="M62" s="2601">
        <f t="shared" si="19"/>
        <v>-2.0000000000000001E-4</v>
      </c>
      <c r="N62" s="2601">
        <f t="shared" si="19"/>
        <v>-4.0000000000000002E-4</v>
      </c>
      <c r="AA62" s="2382"/>
      <c r="AB62" s="2382"/>
      <c r="AC62" s="2382"/>
      <c r="AD62" s="2382"/>
      <c r="AE62" s="2382"/>
      <c r="AF62" s="2382"/>
      <c r="AG62" s="2382"/>
      <c r="AH62" s="2382"/>
      <c r="AI62" s="2382"/>
      <c r="AJ62" s="2382"/>
      <c r="AK62" s="2382"/>
    </row>
    <row r="63" spans="1:37" s="2381" customFormat="1" ht="24">
      <c r="A63" s="1496" t="s">
        <v>1784</v>
      </c>
      <c r="B63" s="1505" t="str">
        <f>估价对象房地状况!C24</f>
        <v>城市主干道-怀耿路</v>
      </c>
      <c r="C63" s="1486" t="s">
        <v>3175</v>
      </c>
      <c r="D63" s="2602">
        <f t="shared" si="15"/>
        <v>2.0000000000000001E-4</v>
      </c>
      <c r="E63" s="1506"/>
      <c r="F63" s="1504"/>
      <c r="G63" s="3383">
        <f t="shared" si="16"/>
        <v>2.0000000000000001E-4</v>
      </c>
      <c r="H63" s="2618">
        <f t="shared" si="16"/>
        <v>3.5999999999999999E-3</v>
      </c>
      <c r="I63" s="1502">
        <v>0.05</v>
      </c>
      <c r="J63" s="2601">
        <f t="shared" si="17"/>
        <v>4.0000000000000002E-4</v>
      </c>
      <c r="K63" s="2601">
        <f t="shared" si="18"/>
        <v>2.0000000000000001E-4</v>
      </c>
      <c r="L63" s="2601">
        <v>0</v>
      </c>
      <c r="M63" s="2601">
        <f t="shared" si="19"/>
        <v>-2.0000000000000001E-4</v>
      </c>
      <c r="N63" s="2601">
        <f t="shared" si="19"/>
        <v>-4.0000000000000002E-4</v>
      </c>
      <c r="AA63" s="2382"/>
      <c r="AB63" s="2382"/>
      <c r="AC63" s="2382"/>
      <c r="AD63" s="2382"/>
      <c r="AE63" s="2382"/>
      <c r="AF63" s="2382"/>
      <c r="AG63" s="2382"/>
      <c r="AH63" s="2382"/>
      <c r="AI63" s="2382"/>
      <c r="AJ63" s="2382"/>
      <c r="AK63" s="2382"/>
    </row>
    <row r="64" spans="1:37" s="2381" customFormat="1" ht="36">
      <c r="A64" s="1496" t="s">
        <v>1785</v>
      </c>
      <c r="B64" s="3302" t="s">
        <v>3178</v>
      </c>
      <c r="C64" s="1486" t="s">
        <v>3176</v>
      </c>
      <c r="D64" s="2602">
        <f t="shared" si="15"/>
        <v>-2.0000000000000001E-4</v>
      </c>
      <c r="E64" s="1506"/>
      <c r="F64" s="1504"/>
      <c r="G64" s="3383">
        <f t="shared" si="16"/>
        <v>2.0000000000000001E-4</v>
      </c>
      <c r="H64" s="2618">
        <f t="shared" si="16"/>
        <v>3.5999999999999999E-3</v>
      </c>
      <c r="I64" s="1502">
        <v>0.05</v>
      </c>
      <c r="J64" s="2601">
        <f t="shared" si="17"/>
        <v>4.0000000000000002E-4</v>
      </c>
      <c r="K64" s="2601">
        <f t="shared" si="18"/>
        <v>2.0000000000000001E-4</v>
      </c>
      <c r="L64" s="2601">
        <v>0</v>
      </c>
      <c r="M64" s="2601">
        <f t="shared" si="19"/>
        <v>-2.0000000000000001E-4</v>
      </c>
      <c r="N64" s="2601">
        <f t="shared" si="19"/>
        <v>-4.0000000000000002E-4</v>
      </c>
      <c r="AA64" s="2382"/>
      <c r="AB64" s="2382"/>
      <c r="AC64" s="2382"/>
      <c r="AD64" s="2382"/>
      <c r="AE64" s="2382"/>
      <c r="AF64" s="2382"/>
      <c r="AG64" s="2382"/>
      <c r="AH64" s="2382"/>
      <c r="AI64" s="2382"/>
      <c r="AJ64" s="2382"/>
      <c r="AK64" s="2382"/>
    </row>
    <row r="65" spans="1:37" s="2381" customFormat="1" ht="109.5" customHeight="1">
      <c r="A65" s="1496" t="s">
        <v>1786</v>
      </c>
      <c r="B65"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6" t="s">
        <v>3171</v>
      </c>
      <c r="D65" s="2602">
        <f t="shared" si="15"/>
        <v>0</v>
      </c>
      <c r="E65" s="1506"/>
      <c r="F65" s="1504"/>
      <c r="G65" s="3383">
        <f t="shared" si="16"/>
        <v>2.9999999999999997E-4</v>
      </c>
      <c r="H65" s="2618">
        <f t="shared" si="16"/>
        <v>4.3E-3</v>
      </c>
      <c r="I65" s="1502">
        <v>0.06</v>
      </c>
      <c r="J65" s="2601">
        <f t="shared" si="17"/>
        <v>5.9999999999999995E-4</v>
      </c>
      <c r="K65" s="2601">
        <f t="shared" si="18"/>
        <v>2.9999999999999997E-4</v>
      </c>
      <c r="L65" s="2601">
        <v>0</v>
      </c>
      <c r="M65" s="2601">
        <f t="shared" si="19"/>
        <v>-2.9999999999999997E-4</v>
      </c>
      <c r="N65" s="2601">
        <f t="shared" si="19"/>
        <v>-5.9999999999999995E-4</v>
      </c>
      <c r="AA65" s="2382"/>
      <c r="AB65" s="2382"/>
      <c r="AC65" s="2382"/>
      <c r="AD65" s="2382"/>
      <c r="AE65" s="2382"/>
      <c r="AF65" s="2382"/>
      <c r="AG65" s="2382"/>
      <c r="AH65" s="2382"/>
      <c r="AI65" s="2382"/>
      <c r="AJ65" s="2382"/>
      <c r="AK65" s="2382"/>
    </row>
    <row r="66" spans="1:37" s="2381" customFormat="1" ht="24">
      <c r="A66" s="1496" t="s">
        <v>1787</v>
      </c>
      <c r="B66" s="2598" t="str">
        <f>估价对象房地状况!C22</f>
        <v>估价对象所在区域基础设施水平达到七通</v>
      </c>
      <c r="C66" s="1486" t="s">
        <v>3179</v>
      </c>
      <c r="D66" s="2602">
        <f t="shared" si="15"/>
        <v>1.1999999999999999E-3</v>
      </c>
      <c r="E66" s="1506"/>
      <c r="F66" s="1504"/>
      <c r="G66" s="3383">
        <f t="shared" si="16"/>
        <v>5.9999999999999995E-4</v>
      </c>
      <c r="H66" s="2618">
        <f t="shared" si="16"/>
        <v>8.6E-3</v>
      </c>
      <c r="I66" s="1502">
        <v>0.12</v>
      </c>
      <c r="J66" s="2601">
        <f t="shared" si="17"/>
        <v>1.1999999999999999E-3</v>
      </c>
      <c r="K66" s="2601">
        <f t="shared" si="18"/>
        <v>5.9999999999999995E-4</v>
      </c>
      <c r="L66" s="2601">
        <v>0</v>
      </c>
      <c r="M66" s="2601">
        <f t="shared" si="19"/>
        <v>-5.9999999999999995E-4</v>
      </c>
      <c r="N66" s="2601">
        <f t="shared" si="19"/>
        <v>-1.1999999999999999E-3</v>
      </c>
      <c r="AA66" s="2382"/>
      <c r="AB66" s="2382"/>
      <c r="AC66" s="2382"/>
      <c r="AD66" s="2382"/>
      <c r="AE66" s="2382"/>
      <c r="AF66" s="2382"/>
      <c r="AG66" s="2382"/>
      <c r="AH66" s="2382"/>
      <c r="AI66" s="2382"/>
      <c r="AJ66" s="2382"/>
      <c r="AK66" s="2382"/>
    </row>
    <row r="67" spans="1:37" s="2381" customFormat="1" ht="117" customHeight="1" thickBot="1">
      <c r="A67" s="1509" t="s">
        <v>1788</v>
      </c>
      <c r="B67" s="1514" t="str">
        <f>估价对象房地状况!C20</f>
        <v>周边约1公里范围内有北京影视研修学院、北京怀柔中视腾飞影视培训学校等演艺教育学校，人文环境一般；周边有约1公里有栖河，自然环境一般。综合评价自然与人文环境一般</v>
      </c>
      <c r="C67" s="1486" t="s">
        <v>3171</v>
      </c>
      <c r="D67" s="2602">
        <f t="shared" si="15"/>
        <v>0</v>
      </c>
      <c r="E67" s="1512"/>
      <c r="F67" s="1504"/>
      <c r="G67" s="3383">
        <f t="shared" si="16"/>
        <v>2.9999999999999997E-4</v>
      </c>
      <c r="H67" s="2618">
        <f t="shared" si="16"/>
        <v>4.3E-3</v>
      </c>
      <c r="I67" s="1511">
        <v>0.06</v>
      </c>
      <c r="J67" s="2601">
        <f t="shared" si="17"/>
        <v>5.9999999999999995E-4</v>
      </c>
      <c r="K67" s="2601">
        <f t="shared" si="18"/>
        <v>2.9999999999999997E-4</v>
      </c>
      <c r="L67" s="2601">
        <v>0</v>
      </c>
      <c r="M67" s="2601">
        <f t="shared" si="19"/>
        <v>-2.9999999999999997E-4</v>
      </c>
      <c r="N67" s="2601">
        <f t="shared" si="19"/>
        <v>-5.9999999999999995E-4</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3" t="s">
        <v>2290</v>
      </c>
      <c r="G69" s="1499" t="s">
        <v>1850</v>
      </c>
      <c r="H69" s="2604" t="s">
        <v>2494</v>
      </c>
      <c r="I69" s="1499" t="s">
        <v>1853</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6" t="s">
        <v>92</v>
      </c>
      <c r="B71" s="1505" t="str">
        <f>估价对象房地状况!C18</f>
        <v>估价对象紧邻城市次干道——怀耿路，半径1公里内有866、H07、H09、H44路等公交线路，周边有怀耿路、杨雁路两条城市次干道，西北距离怀柔火车站4公里，交通便捷度较差</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一般</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1789</v>
      </c>
      <c r="B73" s="1505" t="str">
        <f>估价对象房地状况!C24</f>
        <v>城市主干道-怀耿路</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6" t="s">
        <v>1786</v>
      </c>
      <c r="B7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1787</v>
      </c>
      <c r="B75" s="2598" t="str">
        <f>估价对象房地状况!C22</f>
        <v>估价对象所在区域基础设施水平达到七通</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1785</v>
      </c>
      <c r="B76" s="3302" t="s">
        <v>3022</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96">
      <c r="A77" s="1496" t="s">
        <v>1788</v>
      </c>
      <c r="B77" s="1501" t="str">
        <f>估价对象房地状况!C20</f>
        <v>周边约1公里范围内有北京影视研修学院、北京怀柔中视腾飞影视培训学校等演艺教育学校，人文环境一般；周边有约1公里有栖河，自然环境一般。综合评价自然与人文环境一般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1790</v>
      </c>
      <c r="B78" s="3301"/>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1104</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3" t="s">
        <v>2290</v>
      </c>
      <c r="G80" s="1499" t="s">
        <v>1850</v>
      </c>
      <c r="H80" s="2604" t="s">
        <v>2494</v>
      </c>
      <c r="I80" s="1499" t="s">
        <v>1853</v>
      </c>
      <c r="J80" s="944" t="s">
        <v>424</v>
      </c>
      <c r="K80" s="944" t="s">
        <v>425</v>
      </c>
      <c r="L80" s="944" t="s">
        <v>426</v>
      </c>
      <c r="M80" s="944" t="s">
        <v>427</v>
      </c>
      <c r="N80" s="944" t="s">
        <v>428</v>
      </c>
      <c r="Z80" s="1626"/>
      <c r="AA80" s="1625"/>
      <c r="AG80" s="1624"/>
      <c r="AK80" s="1625"/>
    </row>
    <row r="81" spans="1:37" ht="36">
      <c r="A81" s="1496" t="s">
        <v>158</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1789</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1786</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1787</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1785</v>
      </c>
      <c r="B87" s="3302" t="s">
        <v>2492</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1791</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75" t="s">
        <v>1760</v>
      </c>
      <c r="B90" s="3775"/>
      <c r="C90" s="3775"/>
      <c r="D90" s="3775"/>
      <c r="E90" s="3775"/>
      <c r="F90" s="3775"/>
      <c r="G90" s="3775"/>
      <c r="H90" s="3775"/>
      <c r="I90" s="3775"/>
      <c r="J90" s="3775"/>
      <c r="K90" s="2607"/>
      <c r="L90" s="2607"/>
      <c r="M90" s="2607"/>
      <c r="N90" s="2607"/>
    </row>
    <row r="91" spans="1:37">
      <c r="A91" s="3777" t="s">
        <v>68</v>
      </c>
      <c r="B91" s="3777" t="s">
        <v>1761</v>
      </c>
      <c r="C91" s="1585" t="s">
        <v>1762</v>
      </c>
      <c r="D91" s="1586"/>
      <c r="E91" s="1586"/>
      <c r="F91" s="1586"/>
      <c r="G91" s="1586"/>
      <c r="H91" s="1586"/>
      <c r="I91" s="1586"/>
      <c r="J91" s="1587"/>
      <c r="K91" s="1575"/>
      <c r="L91" s="1575"/>
      <c r="M91" s="1575"/>
      <c r="N91" s="1575"/>
    </row>
    <row r="92" spans="1:37">
      <c r="A92" s="3777"/>
      <c r="B92" s="3777"/>
      <c r="C92" s="2606" t="s">
        <v>164</v>
      </c>
      <c r="D92" s="2606" t="s">
        <v>165</v>
      </c>
      <c r="E92" s="2606" t="s">
        <v>160</v>
      </c>
      <c r="F92" s="2606" t="s">
        <v>161</v>
      </c>
      <c r="G92" s="2606" t="s">
        <v>162</v>
      </c>
      <c r="H92" s="2606" t="s">
        <v>163</v>
      </c>
      <c r="I92" s="2606" t="s">
        <v>1177</v>
      </c>
      <c r="J92" s="2606" t="s">
        <v>1178</v>
      </c>
      <c r="K92" s="2606" t="s">
        <v>1179</v>
      </c>
      <c r="L92" s="2606" t="s">
        <v>1180</v>
      </c>
      <c r="M92" s="2606" t="s">
        <v>1181</v>
      </c>
      <c r="N92" s="2606" t="s">
        <v>1182</v>
      </c>
    </row>
    <row r="93" spans="1:37">
      <c r="A93" s="3778"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7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7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7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7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7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79"/>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80"/>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78" t="s">
        <v>1765</v>
      </c>
      <c r="B101" s="1592" t="s">
        <v>93</v>
      </c>
      <c r="C101" s="1593">
        <f>$G$3</f>
        <v>0.31</v>
      </c>
      <c r="D101" s="1593">
        <f t="shared" ref="D101:N101" si="31">$G$3</f>
        <v>0.31</v>
      </c>
      <c r="E101" s="1593">
        <f t="shared" si="31"/>
        <v>0.31</v>
      </c>
      <c r="F101" s="1593">
        <f t="shared" si="31"/>
        <v>0.31</v>
      </c>
      <c r="G101" s="1593">
        <f t="shared" si="31"/>
        <v>0.31</v>
      </c>
      <c r="H101" s="1593">
        <f t="shared" si="31"/>
        <v>0.31</v>
      </c>
      <c r="I101" s="1593">
        <f t="shared" si="31"/>
        <v>0.31</v>
      </c>
      <c r="J101" s="1593">
        <f t="shared" si="31"/>
        <v>0.31</v>
      </c>
      <c r="K101" s="1593">
        <f t="shared" si="31"/>
        <v>0.31</v>
      </c>
      <c r="L101" s="1593">
        <f t="shared" si="31"/>
        <v>0.31</v>
      </c>
      <c r="M101" s="1593">
        <f t="shared" si="31"/>
        <v>0.31</v>
      </c>
      <c r="N101" s="1593">
        <f t="shared" si="31"/>
        <v>0.31</v>
      </c>
    </row>
    <row r="102" spans="1:14">
      <c r="A102" s="3779"/>
      <c r="B102" s="1588">
        <v>1</v>
      </c>
      <c r="C102" s="1589">
        <f>1.9362/C101</f>
        <v>6.2458064516129026</v>
      </c>
      <c r="D102" s="1589">
        <f>1.9362/D101</f>
        <v>6.2458064516129026</v>
      </c>
      <c r="E102" s="1589">
        <f>1.8629/E101</f>
        <v>6.0093548387096778</v>
      </c>
      <c r="F102" s="1589">
        <f>1.8629/F101</f>
        <v>6.0093548387096778</v>
      </c>
      <c r="G102" s="1589">
        <f>1.8629/G101</f>
        <v>6.0093548387096778</v>
      </c>
      <c r="H102" s="1589">
        <f>1.8629/H101</f>
        <v>6.0093548387096778</v>
      </c>
      <c r="I102" s="1589">
        <f>1.8629/I101</f>
        <v>6.0093548387096778</v>
      </c>
      <c r="J102" s="1589">
        <f>1.942/J101</f>
        <v>6.2645161290322582</v>
      </c>
      <c r="K102" s="1589">
        <f>1.942/K101</f>
        <v>6.2645161290322582</v>
      </c>
      <c r="L102" s="1589">
        <f>1.942/L101</f>
        <v>6.2645161290322582</v>
      </c>
      <c r="M102" s="1589">
        <f>1.942/M101</f>
        <v>6.2645161290322582</v>
      </c>
      <c r="N102" s="1589">
        <f>1.942/N101</f>
        <v>6.2645161290322582</v>
      </c>
    </row>
    <row r="103" spans="1:14">
      <c r="A103" s="3779"/>
      <c r="B103" s="1588">
        <v>2</v>
      </c>
      <c r="C103" s="1589">
        <f>1.4198/C101</f>
        <v>4.58</v>
      </c>
      <c r="D103" s="1589">
        <f>1.4198/D101</f>
        <v>4.58</v>
      </c>
      <c r="E103" s="1589">
        <f>1.3372/E101</f>
        <v>4.3135483870967741</v>
      </c>
      <c r="F103" s="1589">
        <f>1.3372/F101</f>
        <v>4.3135483870967741</v>
      </c>
      <c r="G103" s="1589">
        <f>1.3372/G101</f>
        <v>4.3135483870967741</v>
      </c>
      <c r="H103" s="1589">
        <f>1.3372/H101</f>
        <v>4.3135483870967741</v>
      </c>
      <c r="I103" s="1589">
        <f>1.3372/I101</f>
        <v>4.3135483870967741</v>
      </c>
      <c r="J103" s="1589">
        <f>1.2799/J101</f>
        <v>4.128709677419355</v>
      </c>
      <c r="K103" s="1589">
        <f>1.2799/K101</f>
        <v>4.128709677419355</v>
      </c>
      <c r="L103" s="1589">
        <f>1.2799/L101</f>
        <v>4.128709677419355</v>
      </c>
      <c r="M103" s="1589">
        <f>1.2799/M101</f>
        <v>4.128709677419355</v>
      </c>
      <c r="N103" s="1589">
        <f>1.2799/N101</f>
        <v>4.128709677419355</v>
      </c>
    </row>
    <row r="104" spans="1:14">
      <c r="A104" s="3779"/>
      <c r="B104" s="1588">
        <v>3</v>
      </c>
      <c r="C104" s="1589">
        <f>1.1594/C101</f>
        <v>3.7399999999999998</v>
      </c>
      <c r="D104" s="1589">
        <f>1.1594/D101</f>
        <v>3.7399999999999998</v>
      </c>
      <c r="E104" s="1589">
        <f>1.0788/E101</f>
        <v>3.48</v>
      </c>
      <c r="F104" s="1589">
        <f>1.0788/F101</f>
        <v>3.48</v>
      </c>
      <c r="G104" s="1589">
        <f>1.0788/G101</f>
        <v>3.48</v>
      </c>
      <c r="H104" s="1589">
        <f>1.0788/H101</f>
        <v>3.48</v>
      </c>
      <c r="I104" s="1589">
        <f>1.0788/I101</f>
        <v>3.48</v>
      </c>
      <c r="J104" s="1589">
        <f>1.0072/J101</f>
        <v>3.2490322580645166</v>
      </c>
      <c r="K104" s="1589">
        <f>1.0072/K101</f>
        <v>3.2490322580645166</v>
      </c>
      <c r="L104" s="1589">
        <f>1.0072/L101</f>
        <v>3.2490322580645166</v>
      </c>
      <c r="M104" s="1589">
        <f>1.0072/M101</f>
        <v>3.2490322580645166</v>
      </c>
      <c r="N104" s="1589">
        <f>1.0072/N101</f>
        <v>3.2490322580645166</v>
      </c>
    </row>
    <row r="105" spans="1:14">
      <c r="A105" s="3779"/>
      <c r="B105" s="1588">
        <v>4</v>
      </c>
      <c r="C105" s="1589">
        <f>0.9622/C101</f>
        <v>3.1038709677419356</v>
      </c>
      <c r="D105" s="1589">
        <f>0.9622/D101</f>
        <v>3.1038709677419356</v>
      </c>
      <c r="E105" s="1589">
        <f>0.8656/E101</f>
        <v>2.7922580645161292</v>
      </c>
      <c r="F105" s="1589">
        <f>0.8656/F101</f>
        <v>2.7922580645161292</v>
      </c>
      <c r="G105" s="1589">
        <f>0.8656/G101</f>
        <v>2.7922580645161292</v>
      </c>
      <c r="H105" s="1589">
        <f>0.8656/H101</f>
        <v>2.7922580645161292</v>
      </c>
      <c r="I105" s="1589">
        <f>0.8656/I101</f>
        <v>2.7922580645161292</v>
      </c>
      <c r="J105" s="1589">
        <f>0.7525/J101</f>
        <v>2.4274193548387095</v>
      </c>
      <c r="K105" s="1589">
        <f>0.7525/K101</f>
        <v>2.4274193548387095</v>
      </c>
      <c r="L105" s="1589">
        <f>0.7525/L101</f>
        <v>2.4274193548387095</v>
      </c>
      <c r="M105" s="1589">
        <f>0.7525/M101</f>
        <v>2.4274193548387095</v>
      </c>
      <c r="N105" s="1589">
        <f>0.7525/N101</f>
        <v>2.4274193548387095</v>
      </c>
    </row>
    <row r="106" spans="1:14">
      <c r="A106" s="3779"/>
      <c r="B106" s="1588">
        <v>5</v>
      </c>
      <c r="C106" s="1589">
        <f>0.8417/C101</f>
        <v>2.7151612903225808</v>
      </c>
      <c r="D106" s="1589">
        <f>0.8417/D101</f>
        <v>2.7151612903225808</v>
      </c>
      <c r="E106" s="1589">
        <f>0.7371/E101</f>
        <v>2.3777419354838707</v>
      </c>
      <c r="F106" s="1589">
        <f>0.7371/F101</f>
        <v>2.3777419354838707</v>
      </c>
      <c r="G106" s="1589">
        <f>0.7371/G101</f>
        <v>2.3777419354838707</v>
      </c>
      <c r="H106" s="1589">
        <f>0.7371/H101</f>
        <v>2.3777419354838707</v>
      </c>
      <c r="I106" s="1589">
        <f>0.7371/I101</f>
        <v>2.3777419354838707</v>
      </c>
      <c r="J106" s="1589">
        <f>0.5659/J101</f>
        <v>1.8254838709677419</v>
      </c>
      <c r="K106" s="1589">
        <f>0.5659/K101</f>
        <v>1.8254838709677419</v>
      </c>
      <c r="L106" s="1589">
        <f>0.5659/L101</f>
        <v>1.8254838709677419</v>
      </c>
      <c r="M106" s="1589">
        <f>0.5659/M101</f>
        <v>1.8254838709677419</v>
      </c>
      <c r="N106" s="1589">
        <f>0.5659/N101</f>
        <v>1.8254838709677419</v>
      </c>
    </row>
    <row r="107" spans="1:14">
      <c r="A107" s="3779"/>
      <c r="B107" s="1588">
        <v>6</v>
      </c>
      <c r="C107" s="1589">
        <f>0.7608/C101</f>
        <v>2.4541935483870967</v>
      </c>
      <c r="D107" s="1589">
        <f>0.7608/D101</f>
        <v>2.4541935483870967</v>
      </c>
      <c r="E107" s="1589">
        <f>0.6482/E101</f>
        <v>2.0909677419354837</v>
      </c>
      <c r="F107" s="1589">
        <f>0.6482/F101</f>
        <v>2.0909677419354837</v>
      </c>
      <c r="G107" s="1589">
        <f>0.6482/G101</f>
        <v>2.0909677419354837</v>
      </c>
      <c r="H107" s="1589">
        <f>0.6482/H101</f>
        <v>2.0909677419354837</v>
      </c>
      <c r="I107" s="1589">
        <f>0.6482/I101</f>
        <v>2.0909677419354837</v>
      </c>
      <c r="J107" s="1589">
        <f>0.4525/J101</f>
        <v>1.4596774193548387</v>
      </c>
      <c r="K107" s="1589">
        <f>0.4525/K101</f>
        <v>1.4596774193548387</v>
      </c>
      <c r="L107" s="1589">
        <f>0.4525/L101</f>
        <v>1.4596774193548387</v>
      </c>
      <c r="M107" s="1589">
        <f>0.4525/M101</f>
        <v>1.4596774193548387</v>
      </c>
      <c r="N107" s="1589">
        <f>0.4525/N101</f>
        <v>1.4596774193548387</v>
      </c>
    </row>
    <row r="108" spans="1:14">
      <c r="A108" s="3779"/>
      <c r="B108" s="3781"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80"/>
      <c r="B109" s="3782"/>
      <c r="C109" s="1591">
        <f>(-0.163*(C108^2)-0.59*C108+7617)*(10^(-4))/C101</f>
        <v>2.4570967741935483</v>
      </c>
      <c r="D109" s="1591">
        <f>(-0.163*(D108^2)-0.59*D108+7617)*(10^(-4))/D101</f>
        <v>2.4570967741935483</v>
      </c>
      <c r="E109" s="1591">
        <f>(-0.161*(E108^2)-7.509*E108+6533)*(10^(-4))/E101</f>
        <v>2.1074193548387097</v>
      </c>
      <c r="F109" s="1591">
        <f>(-0.161*(F108^2)-7.509*F108+6533)*(10^(-4))/F101</f>
        <v>2.1074193548387097</v>
      </c>
      <c r="G109" s="1591">
        <f>(-0.161*(G108^2)-7.509*G108+6533)*(10^(-4))/G101</f>
        <v>2.1074193548387097</v>
      </c>
      <c r="H109" s="1591">
        <f>(-0.161*(H108^2)-7.509*H108+6533)*(10^(-4))/H101</f>
        <v>2.1074193548387097</v>
      </c>
      <c r="I109" s="1591">
        <f>(-0.161*(I108^2)-7.509*I108+6533)*(10^(-4))/I101</f>
        <v>2.1074193548387097</v>
      </c>
      <c r="J109" s="1591">
        <f>(-0.214*(J108^2)-21.991*J108+4665)*(10^(-4))/J101</f>
        <v>1.5048387096774194</v>
      </c>
      <c r="K109" s="1591">
        <f>(-0.214*(K108^2)-21.991*K108+4665)*(10^(-4))/K101</f>
        <v>1.5048387096774194</v>
      </c>
      <c r="L109" s="1591">
        <f>(-0.214*(L108^2)-21.991*L108+4665)*(10^(-4))/L101</f>
        <v>1.5048387096774194</v>
      </c>
      <c r="M109" s="1591">
        <f>(-0.214*(M108^2)-21.991*M108+4665)*(10^(-4))/M101</f>
        <v>1.5048387096774194</v>
      </c>
      <c r="N109" s="1591">
        <f>(-0.214*(N108^2)-21.991*N108+4665)*(10^(-4))/N101</f>
        <v>1.5048387096774194</v>
      </c>
    </row>
    <row r="110" spans="1:14">
      <c r="A110" s="3776" t="s">
        <v>1768</v>
      </c>
      <c r="B110" s="3776"/>
      <c r="C110" s="3776"/>
      <c r="D110" s="3776"/>
      <c r="E110" s="3776"/>
      <c r="F110" s="3776"/>
      <c r="G110" s="3776"/>
      <c r="H110" s="3776"/>
      <c r="I110" s="3776"/>
      <c r="J110" s="3776"/>
      <c r="K110" s="2605"/>
      <c r="L110" s="2605"/>
      <c r="M110" s="2605"/>
      <c r="N110" s="2605"/>
    </row>
    <row r="112" spans="1:14" ht="12.75" thickBot="1"/>
    <row r="113" spans="1:13" ht="25.5" thickBot="1">
      <c r="A113" s="1601" t="s">
        <v>1770</v>
      </c>
      <c r="B113" s="2608">
        <f>G3</f>
        <v>0.31</v>
      </c>
      <c r="C113" s="1602" t="s">
        <v>1771</v>
      </c>
      <c r="D113" s="1603">
        <f>SUMPRODUCT((A115:A118=F113)*(B114:M114=H113)*B115:M118)</f>
        <v>0.7651</v>
      </c>
      <c r="E113" s="1604" t="s">
        <v>68</v>
      </c>
      <c r="F113" s="1605" t="str">
        <f>E2</f>
        <v>办公</v>
      </c>
      <c r="G113" s="1604" t="s">
        <v>1560</v>
      </c>
      <c r="H113" s="1605" t="str">
        <f>G2</f>
        <v>八级</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1177</v>
      </c>
      <c r="I114" s="1611" t="s">
        <v>1178</v>
      </c>
      <c r="J114" s="1612" t="s">
        <v>1179</v>
      </c>
      <c r="K114" s="1612" t="s">
        <v>1180</v>
      </c>
      <c r="L114" s="1612" t="s">
        <v>1181</v>
      </c>
      <c r="M114" s="1613" t="s">
        <v>1182</v>
      </c>
    </row>
    <row r="115" spans="1:13" ht="12.75">
      <c r="A115" s="1614" t="s">
        <v>1772</v>
      </c>
      <c r="B115" s="1615">
        <f>ROUND(0.9335-0.0094*B113,4)</f>
        <v>0.93059999999999998</v>
      </c>
      <c r="C115" s="1615">
        <f>B115</f>
        <v>0.93059999999999998</v>
      </c>
      <c r="D115" s="1615">
        <f>ROUND(0.8331-0.0109*B113,4)</f>
        <v>0.82969999999999999</v>
      </c>
      <c r="E115" s="1615">
        <f>D115</f>
        <v>0.82969999999999999</v>
      </c>
      <c r="F115" s="1615">
        <f>E115</f>
        <v>0.82969999999999999</v>
      </c>
      <c r="G115" s="1615">
        <f>F115</f>
        <v>0.82969999999999999</v>
      </c>
      <c r="H115" s="1615">
        <f>G115</f>
        <v>0.82969999999999999</v>
      </c>
      <c r="I115" s="1615">
        <f>ROUND(0.689-0.0155*B113,4)</f>
        <v>0.68420000000000003</v>
      </c>
      <c r="J115" s="1615">
        <f t="shared" ref="J115:M118" si="33">I115</f>
        <v>0.68420000000000003</v>
      </c>
      <c r="K115" s="1615">
        <f t="shared" si="33"/>
        <v>0.68420000000000003</v>
      </c>
      <c r="L115" s="1615">
        <f t="shared" si="33"/>
        <v>0.68420000000000003</v>
      </c>
      <c r="M115" s="1616">
        <f t="shared" si="33"/>
        <v>0.68420000000000003</v>
      </c>
    </row>
    <row r="116" spans="1:13" ht="12.75">
      <c r="A116" s="1614" t="s">
        <v>1773</v>
      </c>
      <c r="B116" s="1615">
        <f>ROUND(0.949-0.012*B113,4)</f>
        <v>0.94530000000000003</v>
      </c>
      <c r="C116" s="1615">
        <f>B116</f>
        <v>0.94530000000000003</v>
      </c>
      <c r="D116" s="1615">
        <f>ROUND(0.8567-0.013*B113,4)</f>
        <v>0.85270000000000001</v>
      </c>
      <c r="E116" s="1615">
        <f t="shared" ref="E116:H117" si="34">D116</f>
        <v>0.85270000000000001</v>
      </c>
      <c r="F116" s="1615">
        <f t="shared" si="34"/>
        <v>0.85270000000000001</v>
      </c>
      <c r="G116" s="1615">
        <f t="shared" si="34"/>
        <v>0.85270000000000001</v>
      </c>
      <c r="H116" s="1615">
        <f t="shared" si="34"/>
        <v>0.85270000000000001</v>
      </c>
      <c r="I116" s="1615">
        <f>ROUND(0.7694-0.014*B113,4)</f>
        <v>0.7651</v>
      </c>
      <c r="J116" s="1615">
        <f t="shared" si="33"/>
        <v>0.7651</v>
      </c>
      <c r="K116" s="1615">
        <f t="shared" si="33"/>
        <v>0.7651</v>
      </c>
      <c r="L116" s="1615">
        <f t="shared" si="33"/>
        <v>0.7651</v>
      </c>
      <c r="M116" s="1616">
        <f t="shared" si="33"/>
        <v>0.7651</v>
      </c>
    </row>
    <row r="117" spans="1:13" ht="12.75">
      <c r="A117" s="1617" t="s">
        <v>977</v>
      </c>
      <c r="B117" s="1615">
        <f>ROUND(0.8808-0.006*B113,4)</f>
        <v>0.87890000000000001</v>
      </c>
      <c r="C117" s="1615">
        <f>B117</f>
        <v>0.87890000000000001</v>
      </c>
      <c r="D117" s="1615">
        <f>ROUND(0.8748-0.008*B113,4)</f>
        <v>0.87229999999999996</v>
      </c>
      <c r="E117" s="1615">
        <f t="shared" si="34"/>
        <v>0.87229999999999996</v>
      </c>
      <c r="F117" s="1615">
        <f t="shared" si="34"/>
        <v>0.87229999999999996</v>
      </c>
      <c r="G117" s="1615">
        <f t="shared" si="34"/>
        <v>0.87229999999999996</v>
      </c>
      <c r="H117" s="1615">
        <f t="shared" si="34"/>
        <v>0.87229999999999996</v>
      </c>
      <c r="I117" s="1615">
        <f>ROUND(0.7412-0.0095*B113,4)</f>
        <v>0.73829999999999996</v>
      </c>
      <c r="J117" s="1615">
        <f t="shared" si="33"/>
        <v>0.73829999999999996</v>
      </c>
      <c r="K117" s="1615">
        <f t="shared" si="33"/>
        <v>0.73829999999999996</v>
      </c>
      <c r="L117" s="1615">
        <f t="shared" si="33"/>
        <v>0.73829999999999996</v>
      </c>
      <c r="M117" s="1616">
        <f t="shared" si="33"/>
        <v>0.73829999999999996</v>
      </c>
    </row>
    <row r="118" spans="1:13" ht="13.5" thickBot="1">
      <c r="A118" s="1121" t="s">
        <v>1774</v>
      </c>
      <c r="B118" s="1618">
        <f>ROUND(0.7275-0.01*B113,4)</f>
        <v>0.72440000000000004</v>
      </c>
      <c r="C118" s="1618">
        <f>B118</f>
        <v>0.72440000000000004</v>
      </c>
      <c r="D118" s="1618">
        <f>ROUND(0.7043-0.012*B113,4)</f>
        <v>0.7006</v>
      </c>
      <c r="E118" s="1618">
        <f>D118</f>
        <v>0.7006</v>
      </c>
      <c r="F118" s="1618">
        <f>E118</f>
        <v>0.7006</v>
      </c>
      <c r="G118" s="1618">
        <f>ROUND(0.6299-0.0122*B113,4)</f>
        <v>0.62609999999999999</v>
      </c>
      <c r="H118" s="1618">
        <f>G118</f>
        <v>0.62609999999999999</v>
      </c>
      <c r="I118" s="1618">
        <f>ROUND(0.5667-0.0136*B113,4)</f>
        <v>0.5625</v>
      </c>
      <c r="J118" s="1618">
        <f t="shared" si="33"/>
        <v>0.5625</v>
      </c>
      <c r="K118" s="1618">
        <f t="shared" si="33"/>
        <v>0.5625</v>
      </c>
      <c r="L118" s="1618">
        <f t="shared" si="33"/>
        <v>0.5625</v>
      </c>
      <c r="M118" s="1619">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77" t="s">
        <v>1197</v>
      </c>
      <c r="B18" s="1571" t="s">
        <v>1574</v>
      </c>
      <c r="C18" s="1572" t="s">
        <v>1575</v>
      </c>
      <c r="D18" s="1573"/>
      <c r="E18" s="1571">
        <v>1</v>
      </c>
      <c r="F18" s="1574" t="s">
        <v>1576</v>
      </c>
      <c r="G18" s="1575"/>
      <c r="H18" s="1567"/>
      <c r="I18" s="1567"/>
    </row>
    <row r="19" spans="1:9" s="1576" customFormat="1" ht="19.5" customHeight="1">
      <c r="A19" s="3777"/>
      <c r="B19" s="3777" t="s">
        <v>1577</v>
      </c>
      <c r="C19" s="1572" t="s">
        <v>1578</v>
      </c>
      <c r="D19" s="1573"/>
      <c r="E19" s="1571">
        <v>0.9</v>
      </c>
      <c r="F19" s="1574" t="s">
        <v>1579</v>
      </c>
      <c r="G19" s="1575"/>
      <c r="H19" s="1567"/>
      <c r="I19" s="1567"/>
    </row>
    <row r="20" spans="1:9" s="1576" customFormat="1" ht="19.5" customHeight="1">
      <c r="A20" s="3777"/>
      <c r="B20" s="3777"/>
      <c r="C20" s="1572" t="s">
        <v>1580</v>
      </c>
      <c r="D20" s="1573"/>
      <c r="E20" s="1571">
        <v>1.1000000000000001</v>
      </c>
      <c r="F20" s="1574" t="s">
        <v>1581</v>
      </c>
      <c r="G20" s="1575"/>
      <c r="H20" s="1567"/>
      <c r="I20" s="1567"/>
    </row>
    <row r="21" spans="1:9" s="1576" customFormat="1" ht="19.5" customHeight="1">
      <c r="A21" s="3777"/>
      <c r="B21" s="3777"/>
      <c r="C21" s="1572" t="s">
        <v>1582</v>
      </c>
      <c r="D21" s="1573"/>
      <c r="E21" s="1571">
        <v>0.8</v>
      </c>
      <c r="F21" s="1574" t="s">
        <v>1583</v>
      </c>
      <c r="G21" s="1575"/>
      <c r="H21" s="1567"/>
      <c r="I21" s="1567"/>
    </row>
    <row r="22" spans="1:9" s="1576" customFormat="1" ht="19.5" customHeight="1">
      <c r="A22" s="3777"/>
      <c r="B22" s="3777"/>
      <c r="C22" s="1572" t="s">
        <v>1584</v>
      </c>
      <c r="D22" s="1573"/>
      <c r="E22" s="1571">
        <v>0.5</v>
      </c>
      <c r="F22" s="1574"/>
      <c r="G22" s="1575"/>
      <c r="H22" s="1567"/>
      <c r="I22" s="1567"/>
    </row>
    <row r="23" spans="1:9" s="1576" customFormat="1" ht="19.5" customHeight="1">
      <c r="A23" s="3777" t="s">
        <v>1198</v>
      </c>
      <c r="B23" s="1571" t="s">
        <v>1574</v>
      </c>
      <c r="C23" s="1572" t="s">
        <v>1585</v>
      </c>
      <c r="D23" s="1573"/>
      <c r="E23" s="1571">
        <v>1</v>
      </c>
      <c r="F23" s="1574" t="s">
        <v>1586</v>
      </c>
      <c r="G23" s="1575"/>
      <c r="H23" s="1567"/>
      <c r="I23" s="1567"/>
    </row>
    <row r="24" spans="1:9" s="1576" customFormat="1" ht="19.5" customHeight="1">
      <c r="A24" s="3777"/>
      <c r="B24" s="3777" t="s">
        <v>1577</v>
      </c>
      <c r="C24" s="1572" t="s">
        <v>1587</v>
      </c>
      <c r="D24" s="1573"/>
      <c r="E24" s="1571">
        <v>0.5</v>
      </c>
      <c r="F24" s="1574"/>
      <c r="G24" s="1575"/>
      <c r="H24" s="1567"/>
      <c r="I24" s="1567"/>
    </row>
    <row r="25" spans="1:9" s="1576" customFormat="1" ht="19.5" customHeight="1">
      <c r="A25" s="3777"/>
      <c r="B25" s="3777"/>
      <c r="C25" s="1572" t="s">
        <v>1588</v>
      </c>
      <c r="D25" s="1573"/>
      <c r="E25" s="1571">
        <v>1.1000000000000001</v>
      </c>
      <c r="F25" s="1574"/>
      <c r="G25" s="1575"/>
      <c r="H25" s="1567"/>
      <c r="I25" s="1567"/>
    </row>
    <row r="26" spans="1:9" s="1576" customFormat="1" ht="19.5" customHeight="1">
      <c r="A26" s="3777"/>
      <c r="B26" s="3777"/>
      <c r="C26" s="1572" t="s">
        <v>1589</v>
      </c>
      <c r="D26" s="1573"/>
      <c r="E26" s="1571">
        <v>1.1000000000000001</v>
      </c>
      <c r="F26" s="1574"/>
      <c r="G26" s="1575"/>
      <c r="H26" s="1567"/>
      <c r="I26" s="1567"/>
    </row>
    <row r="27" spans="1:9" s="1576" customFormat="1" ht="19.5" customHeight="1">
      <c r="A27" s="3777"/>
      <c r="B27" s="3777"/>
      <c r="C27" s="1572" t="s">
        <v>1590</v>
      </c>
      <c r="D27" s="1573"/>
      <c r="E27" s="1571">
        <v>0.9</v>
      </c>
      <c r="F27" s="1574" t="s">
        <v>1591</v>
      </c>
      <c r="G27" s="1575"/>
      <c r="H27" s="1567"/>
      <c r="I27" s="1567"/>
    </row>
    <row r="28" spans="1:9" s="1576" customFormat="1" ht="19.5" customHeight="1">
      <c r="A28" s="3777"/>
      <c r="B28" s="3777"/>
      <c r="C28" s="1572" t="s">
        <v>1592</v>
      </c>
      <c r="D28" s="1573"/>
      <c r="E28" s="1571">
        <v>0.9</v>
      </c>
      <c r="F28" s="1574" t="s">
        <v>1593</v>
      </c>
      <c r="G28" s="1575"/>
      <c r="H28" s="1567"/>
      <c r="I28" s="1567"/>
    </row>
    <row r="29" spans="1:9" s="1576" customFormat="1" ht="19.5" customHeight="1">
      <c r="A29" s="3777"/>
      <c r="B29" s="3777"/>
      <c r="C29" s="1572" t="s">
        <v>1594</v>
      </c>
      <c r="D29" s="1573"/>
      <c r="E29" s="1571">
        <v>0.9</v>
      </c>
      <c r="F29" s="1574" t="s">
        <v>1595</v>
      </c>
      <c r="G29" s="1575"/>
      <c r="H29" s="1567"/>
      <c r="I29" s="1567"/>
    </row>
    <row r="30" spans="1:9" s="1576" customFormat="1" ht="19.5" customHeight="1">
      <c r="A30" s="3777"/>
      <c r="B30" s="3777"/>
      <c r="C30" s="1572" t="s">
        <v>1596</v>
      </c>
      <c r="D30" s="1573"/>
      <c r="E30" s="1571">
        <v>0.9</v>
      </c>
      <c r="F30" s="1574" t="s">
        <v>1597</v>
      </c>
      <c r="G30" s="1575"/>
      <c r="H30" s="1567"/>
      <c r="I30" s="1567"/>
    </row>
    <row r="31" spans="1:9" s="1576" customFormat="1" ht="19.5" customHeight="1">
      <c r="A31" s="3777"/>
      <c r="B31" s="3777"/>
      <c r="C31" s="1572" t="s">
        <v>1598</v>
      </c>
      <c r="D31" s="1573"/>
      <c r="E31" s="1571">
        <v>0.8</v>
      </c>
      <c r="F31" s="1574" t="s">
        <v>1599</v>
      </c>
      <c r="G31" s="1575"/>
      <c r="H31" s="1567"/>
      <c r="I31" s="1567"/>
    </row>
    <row r="32" spans="1:9" s="1576" customFormat="1" ht="19.5" customHeight="1">
      <c r="A32" s="3777"/>
      <c r="B32" s="3777"/>
      <c r="C32" s="1572" t="s">
        <v>1600</v>
      </c>
      <c r="D32" s="1573"/>
      <c r="E32" s="1571">
        <v>0.8</v>
      </c>
      <c r="F32" s="1574" t="s">
        <v>1601</v>
      </c>
      <c r="G32" s="1575"/>
      <c r="H32" s="1567"/>
      <c r="I32" s="1567"/>
    </row>
    <row r="33" spans="1:9" s="1576" customFormat="1" ht="19.5" customHeight="1">
      <c r="A33" s="3777" t="s">
        <v>1199</v>
      </c>
      <c r="B33" s="1571" t="s">
        <v>1574</v>
      </c>
      <c r="C33" s="1572" t="s">
        <v>1602</v>
      </c>
      <c r="D33" s="1573"/>
      <c r="E33" s="1571">
        <v>1</v>
      </c>
      <c r="F33" s="1574" t="s">
        <v>1603</v>
      </c>
      <c r="G33" s="1575"/>
      <c r="H33" s="1567"/>
      <c r="I33" s="1567"/>
    </row>
    <row r="34" spans="1:9" s="1576" customFormat="1" ht="19.5" customHeight="1">
      <c r="A34" s="3777"/>
      <c r="B34" s="1571" t="s">
        <v>1577</v>
      </c>
      <c r="C34" s="1572" t="s">
        <v>1604</v>
      </c>
      <c r="D34" s="1573"/>
      <c r="E34" s="1571">
        <v>1.5</v>
      </c>
      <c r="F34" s="1574" t="s">
        <v>1605</v>
      </c>
      <c r="G34" s="1575"/>
      <c r="H34" s="1567"/>
      <c r="I34" s="1567"/>
    </row>
    <row r="35" spans="1:9" s="1576" customFormat="1" ht="19.5" customHeight="1">
      <c r="A35" s="3777" t="s">
        <v>1200</v>
      </c>
      <c r="B35" s="1571" t="s">
        <v>1574</v>
      </c>
      <c r="C35" s="1572" t="s">
        <v>1606</v>
      </c>
      <c r="D35" s="1573"/>
      <c r="E35" s="1571">
        <v>1</v>
      </c>
      <c r="F35" s="1574" t="s">
        <v>1607</v>
      </c>
      <c r="G35" s="1575"/>
      <c r="H35" s="1567"/>
      <c r="I35" s="1567"/>
    </row>
    <row r="36" spans="1:9" s="1576" customFormat="1" ht="19.5" customHeight="1">
      <c r="A36" s="3777"/>
      <c r="B36" s="3777" t="s">
        <v>1577</v>
      </c>
      <c r="C36" s="1572" t="s">
        <v>1608</v>
      </c>
      <c r="D36" s="1573"/>
      <c r="E36" s="1571">
        <v>1</v>
      </c>
      <c r="F36" s="1574" t="s">
        <v>1609</v>
      </c>
      <c r="G36" s="1575"/>
      <c r="H36" s="1567"/>
      <c r="I36" s="1567"/>
    </row>
    <row r="37" spans="1:9" s="1576" customFormat="1" ht="19.5" customHeight="1">
      <c r="A37" s="3777"/>
      <c r="B37" s="3777"/>
      <c r="C37" s="1572" t="s">
        <v>1610</v>
      </c>
      <c r="D37" s="1573"/>
      <c r="E37" s="1571">
        <v>1.5</v>
      </c>
      <c r="F37" s="1574" t="s">
        <v>1611</v>
      </c>
      <c r="G37" s="1575"/>
      <c r="H37" s="1567"/>
      <c r="I37" s="1567"/>
    </row>
    <row r="38" spans="1:9" s="1576" customFormat="1" ht="19.5" customHeight="1">
      <c r="A38" s="3777"/>
      <c r="B38" s="3777"/>
      <c r="C38" s="1572" t="s">
        <v>1612</v>
      </c>
      <c r="D38" s="1573"/>
      <c r="E38" s="1571">
        <v>1</v>
      </c>
      <c r="F38" s="1574" t="s">
        <v>1613</v>
      </c>
      <c r="G38" s="1575"/>
      <c r="H38" s="1567"/>
      <c r="I38" s="1567"/>
    </row>
    <row r="39" spans="1:9" s="1576" customFormat="1" ht="19.5" customHeight="1">
      <c r="A39" s="3777"/>
      <c r="B39" s="3777"/>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77" t="s">
        <v>1628</v>
      </c>
      <c r="C61" s="1497" t="s">
        <v>1629</v>
      </c>
      <c r="D61" s="1497" t="s">
        <v>1630</v>
      </c>
      <c r="E61" s="1584">
        <v>0.5</v>
      </c>
      <c r="F61" s="1571">
        <v>80</v>
      </c>
    </row>
    <row r="62" spans="1:8" s="1567" customFormat="1" ht="24">
      <c r="A62" s="1571">
        <v>2</v>
      </c>
      <c r="B62" s="3777"/>
      <c r="C62" s="1497" t="s">
        <v>1631</v>
      </c>
      <c r="D62" s="1497" t="s">
        <v>1632</v>
      </c>
      <c r="E62" s="1584">
        <v>0.5</v>
      </c>
      <c r="F62" s="1571">
        <v>80</v>
      </c>
    </row>
    <row r="63" spans="1:8" s="1567" customFormat="1" ht="36">
      <c r="A63" s="1571">
        <v>3</v>
      </c>
      <c r="B63" s="3777"/>
      <c r="C63" s="1497" t="s">
        <v>1633</v>
      </c>
      <c r="D63" s="1497" t="s">
        <v>1634</v>
      </c>
      <c r="E63" s="1584">
        <v>0.5</v>
      </c>
      <c r="F63" s="1571">
        <v>80</v>
      </c>
    </row>
    <row r="64" spans="1:8" s="1567" customFormat="1" ht="36">
      <c r="A64" s="1571">
        <v>4</v>
      </c>
      <c r="B64" s="3777"/>
      <c r="C64" s="1497" t="s">
        <v>1635</v>
      </c>
      <c r="D64" s="1497" t="s">
        <v>1636</v>
      </c>
      <c r="E64" s="1584">
        <v>0.4</v>
      </c>
      <c r="F64" s="1571">
        <v>60</v>
      </c>
    </row>
    <row r="65" spans="1:6" s="1567" customFormat="1" ht="36">
      <c r="A65" s="1571">
        <v>5</v>
      </c>
      <c r="B65" s="3777"/>
      <c r="C65" s="1497" t="s">
        <v>1637</v>
      </c>
      <c r="D65" s="1497" t="s">
        <v>1638</v>
      </c>
      <c r="E65" s="1584">
        <v>0.2</v>
      </c>
      <c r="F65" s="1571">
        <v>30</v>
      </c>
    </row>
    <row r="66" spans="1:6" s="1567" customFormat="1" ht="36">
      <c r="A66" s="1571">
        <v>6</v>
      </c>
      <c r="B66" s="3777"/>
      <c r="C66" s="1497" t="s">
        <v>1639</v>
      </c>
      <c r="D66" s="1497" t="s">
        <v>1640</v>
      </c>
      <c r="E66" s="1584">
        <v>0.3</v>
      </c>
      <c r="F66" s="1571">
        <v>50</v>
      </c>
    </row>
    <row r="67" spans="1:6" s="1567" customFormat="1" ht="36">
      <c r="A67" s="1571">
        <v>7</v>
      </c>
      <c r="B67" s="3777"/>
      <c r="C67" s="1497" t="s">
        <v>1641</v>
      </c>
      <c r="D67" s="1497" t="s">
        <v>1642</v>
      </c>
      <c r="E67" s="1584">
        <v>0.2</v>
      </c>
      <c r="F67" s="1571">
        <v>30</v>
      </c>
    </row>
    <row r="68" spans="1:6" s="1567" customFormat="1" ht="36">
      <c r="A68" s="1571">
        <v>8</v>
      </c>
      <c r="B68" s="3777"/>
      <c r="C68" s="1497" t="s">
        <v>1643</v>
      </c>
      <c r="D68" s="1497" t="s">
        <v>1644</v>
      </c>
      <c r="E68" s="1584">
        <v>0.2</v>
      </c>
      <c r="F68" s="1571">
        <v>30</v>
      </c>
    </row>
    <row r="69" spans="1:6" s="1567" customFormat="1" ht="36">
      <c r="A69" s="1571">
        <v>9</v>
      </c>
      <c r="B69" s="3777"/>
      <c r="C69" s="1497" t="s">
        <v>1645</v>
      </c>
      <c r="D69" s="1497" t="s">
        <v>1646</v>
      </c>
      <c r="E69" s="1584">
        <v>0.2</v>
      </c>
      <c r="F69" s="1571">
        <v>30</v>
      </c>
    </row>
    <row r="70" spans="1:6" s="1567" customFormat="1" ht="48">
      <c r="A70" s="1571">
        <v>10</v>
      </c>
      <c r="B70" s="3777"/>
      <c r="C70" s="1497" t="s">
        <v>1647</v>
      </c>
      <c r="D70" s="1497" t="s">
        <v>1648</v>
      </c>
      <c r="E70" s="1584">
        <v>0.2</v>
      </c>
      <c r="F70" s="1571">
        <v>30</v>
      </c>
    </row>
    <row r="71" spans="1:6" s="1567" customFormat="1" ht="48">
      <c r="A71" s="1571">
        <v>11</v>
      </c>
      <c r="B71" s="3777"/>
      <c r="C71" s="1497" t="s">
        <v>1649</v>
      </c>
      <c r="D71" s="1497" t="s">
        <v>1650</v>
      </c>
      <c r="E71" s="1584">
        <v>0.2</v>
      </c>
      <c r="F71" s="1571">
        <v>30</v>
      </c>
    </row>
    <row r="72" spans="1:6" s="1567" customFormat="1" ht="36">
      <c r="A72" s="1571">
        <v>12</v>
      </c>
      <c r="B72" s="3777"/>
      <c r="C72" s="1497" t="s">
        <v>1651</v>
      </c>
      <c r="D72" s="1497" t="s">
        <v>1652</v>
      </c>
      <c r="E72" s="1584">
        <v>0.5</v>
      </c>
      <c r="F72" s="1571">
        <v>80</v>
      </c>
    </row>
    <row r="73" spans="1:6" s="1567" customFormat="1" ht="24">
      <c r="A73" s="1571">
        <v>13</v>
      </c>
      <c r="B73" s="3777"/>
      <c r="C73" s="1497" t="s">
        <v>1653</v>
      </c>
      <c r="D73" s="1497" t="s">
        <v>1654</v>
      </c>
      <c r="E73" s="1584">
        <v>0.4</v>
      </c>
      <c r="F73" s="1571">
        <v>60</v>
      </c>
    </row>
    <row r="74" spans="1:6" s="1567" customFormat="1" ht="24">
      <c r="A74" s="1571">
        <v>14</v>
      </c>
      <c r="B74" s="3777"/>
      <c r="C74" s="1497" t="s">
        <v>1655</v>
      </c>
      <c r="D74" s="1497" t="s">
        <v>1656</v>
      </c>
      <c r="E74" s="1584">
        <v>0.2</v>
      </c>
      <c r="F74" s="1571">
        <v>30</v>
      </c>
    </row>
    <row r="75" spans="1:6" s="1567" customFormat="1" ht="24">
      <c r="A75" s="1571">
        <v>15</v>
      </c>
      <c r="B75" s="3777"/>
      <c r="C75" s="1497" t="s">
        <v>1657</v>
      </c>
      <c r="D75" s="1497" t="s">
        <v>1658</v>
      </c>
      <c r="E75" s="1584">
        <v>0.2</v>
      </c>
      <c r="F75" s="1571">
        <v>30</v>
      </c>
    </row>
    <row r="76" spans="1:6" s="1567" customFormat="1" ht="24">
      <c r="A76" s="1571">
        <v>16</v>
      </c>
      <c r="B76" s="3777" t="s">
        <v>1659</v>
      </c>
      <c r="C76" s="1497" t="s">
        <v>1660</v>
      </c>
      <c r="D76" s="1497" t="s">
        <v>1661</v>
      </c>
      <c r="E76" s="1584">
        <v>0.5</v>
      </c>
      <c r="F76" s="1571">
        <v>80</v>
      </c>
    </row>
    <row r="77" spans="1:6" s="1567" customFormat="1" ht="24">
      <c r="A77" s="1571">
        <v>17</v>
      </c>
      <c r="B77" s="3777"/>
      <c r="C77" s="1497" t="s">
        <v>1662</v>
      </c>
      <c r="D77" s="1497" t="s">
        <v>1663</v>
      </c>
      <c r="E77" s="1584">
        <v>0.5</v>
      </c>
      <c r="F77" s="1571">
        <v>80</v>
      </c>
    </row>
    <row r="78" spans="1:6" s="1567" customFormat="1" ht="24">
      <c r="A78" s="1571">
        <v>18</v>
      </c>
      <c r="B78" s="3777"/>
      <c r="C78" s="1497" t="s">
        <v>1664</v>
      </c>
      <c r="D78" s="1497" t="s">
        <v>1665</v>
      </c>
      <c r="E78" s="1584">
        <v>0.2</v>
      </c>
      <c r="F78" s="1571">
        <v>30</v>
      </c>
    </row>
    <row r="79" spans="1:6" s="1567" customFormat="1" ht="24">
      <c r="A79" s="1571">
        <v>19</v>
      </c>
      <c r="B79" s="3777"/>
      <c r="C79" s="1497" t="s">
        <v>1666</v>
      </c>
      <c r="D79" s="1497" t="s">
        <v>1667</v>
      </c>
      <c r="E79" s="1584">
        <v>0.5</v>
      </c>
      <c r="F79" s="1571">
        <v>80</v>
      </c>
    </row>
    <row r="80" spans="1:6" s="1567" customFormat="1" ht="36">
      <c r="A80" s="1571">
        <v>20</v>
      </c>
      <c r="B80" s="3777"/>
      <c r="C80" s="1497" t="s">
        <v>1668</v>
      </c>
      <c r="D80" s="1497" t="s">
        <v>1669</v>
      </c>
      <c r="E80" s="1584">
        <v>0.2</v>
      </c>
      <c r="F80" s="1571">
        <v>30</v>
      </c>
    </row>
    <row r="81" spans="1:6" s="1567" customFormat="1" ht="36">
      <c r="A81" s="1571">
        <v>21</v>
      </c>
      <c r="B81" s="3777"/>
      <c r="C81" s="1497" t="s">
        <v>1670</v>
      </c>
      <c r="D81" s="1497" t="s">
        <v>1671</v>
      </c>
      <c r="E81" s="1584">
        <v>0.2</v>
      </c>
      <c r="F81" s="1571">
        <v>30</v>
      </c>
    </row>
    <row r="82" spans="1:6" s="1567" customFormat="1" ht="48">
      <c r="A82" s="1571">
        <v>22</v>
      </c>
      <c r="B82" s="3777"/>
      <c r="C82" s="1497" t="s">
        <v>1672</v>
      </c>
      <c r="D82" s="1497" t="s">
        <v>1673</v>
      </c>
      <c r="E82" s="1584">
        <v>0.2</v>
      </c>
      <c r="F82" s="1571">
        <v>30</v>
      </c>
    </row>
    <row r="83" spans="1:6" s="1567" customFormat="1" ht="48">
      <c r="A83" s="1571">
        <v>23</v>
      </c>
      <c r="B83" s="3777"/>
      <c r="C83" s="1497" t="s">
        <v>1674</v>
      </c>
      <c r="D83" s="1497" t="s">
        <v>1675</v>
      </c>
      <c r="E83" s="1584">
        <v>0.2</v>
      </c>
      <c r="F83" s="1571">
        <v>30</v>
      </c>
    </row>
    <row r="84" spans="1:6" s="1567" customFormat="1" ht="36">
      <c r="A84" s="1571">
        <v>24</v>
      </c>
      <c r="B84" s="3777"/>
      <c r="C84" s="1497" t="s">
        <v>1676</v>
      </c>
      <c r="D84" s="1497" t="s">
        <v>1677</v>
      </c>
      <c r="E84" s="1584">
        <v>0.2</v>
      </c>
      <c r="F84" s="1571">
        <v>30</v>
      </c>
    </row>
    <row r="85" spans="1:6" s="1567" customFormat="1" ht="36">
      <c r="A85" s="1571">
        <v>25</v>
      </c>
      <c r="B85" s="3777"/>
      <c r="C85" s="1497" t="s">
        <v>1678</v>
      </c>
      <c r="D85" s="1497" t="s">
        <v>1679</v>
      </c>
      <c r="E85" s="1584">
        <v>0.5</v>
      </c>
      <c r="F85" s="1571">
        <v>80</v>
      </c>
    </row>
    <row r="86" spans="1:6" s="1567" customFormat="1" ht="36">
      <c r="A86" s="1571">
        <v>26</v>
      </c>
      <c r="B86" s="3777"/>
      <c r="C86" s="1497" t="s">
        <v>1680</v>
      </c>
      <c r="D86" s="1497" t="s">
        <v>1681</v>
      </c>
      <c r="E86" s="1584">
        <v>0.2</v>
      </c>
      <c r="F86" s="1571">
        <v>30</v>
      </c>
    </row>
    <row r="87" spans="1:6" s="1567" customFormat="1" ht="36">
      <c r="A87" s="1571">
        <v>27</v>
      </c>
      <c r="B87" s="3777"/>
      <c r="C87" s="1497" t="s">
        <v>1682</v>
      </c>
      <c r="D87" s="1497" t="s">
        <v>1683</v>
      </c>
      <c r="E87" s="1584">
        <v>0.2</v>
      </c>
      <c r="F87" s="1571">
        <v>30</v>
      </c>
    </row>
    <row r="88" spans="1:6" s="1567" customFormat="1" ht="36">
      <c r="A88" s="1571">
        <v>28</v>
      </c>
      <c r="B88" s="3777"/>
      <c r="C88" s="1497" t="s">
        <v>1684</v>
      </c>
      <c r="D88" s="1497" t="s">
        <v>1685</v>
      </c>
      <c r="E88" s="1584">
        <v>0.2</v>
      </c>
      <c r="F88" s="1571">
        <v>30</v>
      </c>
    </row>
    <row r="89" spans="1:6" s="1567" customFormat="1" ht="24">
      <c r="A89" s="1571">
        <v>29</v>
      </c>
      <c r="B89" s="3777"/>
      <c r="C89" s="1497" t="s">
        <v>1686</v>
      </c>
      <c r="D89" s="1497" t="s">
        <v>1687</v>
      </c>
      <c r="E89" s="1584">
        <v>0.2</v>
      </c>
      <c r="F89" s="1571">
        <v>30</v>
      </c>
    </row>
    <row r="90" spans="1:6" s="1567" customFormat="1" ht="24">
      <c r="A90" s="1571">
        <v>30</v>
      </c>
      <c r="B90" s="3777"/>
      <c r="C90" s="1497" t="s">
        <v>1688</v>
      </c>
      <c r="D90" s="1497" t="s">
        <v>1689</v>
      </c>
      <c r="E90" s="1584">
        <v>0.2</v>
      </c>
      <c r="F90" s="1571">
        <v>30</v>
      </c>
    </row>
    <row r="91" spans="1:6" s="1567" customFormat="1" ht="36">
      <c r="A91" s="1571">
        <v>31</v>
      </c>
      <c r="B91" s="3777"/>
      <c r="C91" s="1497" t="s">
        <v>1690</v>
      </c>
      <c r="D91" s="1497" t="s">
        <v>1691</v>
      </c>
      <c r="E91" s="1584">
        <v>0.2</v>
      </c>
      <c r="F91" s="1571">
        <v>30</v>
      </c>
    </row>
    <row r="92" spans="1:6" s="1567" customFormat="1" ht="24">
      <c r="A92" s="1571">
        <v>32</v>
      </c>
      <c r="B92" s="3777" t="s">
        <v>1692</v>
      </c>
      <c r="C92" s="1571" t="s">
        <v>1693</v>
      </c>
      <c r="D92" s="1497" t="s">
        <v>1694</v>
      </c>
      <c r="E92" s="1584">
        <v>0.2</v>
      </c>
      <c r="F92" s="1571">
        <v>30</v>
      </c>
    </row>
    <row r="93" spans="1:6" s="1567" customFormat="1" ht="36">
      <c r="A93" s="1571">
        <v>33</v>
      </c>
      <c r="B93" s="3777"/>
      <c r="C93" s="1571" t="s">
        <v>1695</v>
      </c>
      <c r="D93" s="1497" t="s">
        <v>1696</v>
      </c>
      <c r="E93" s="1584">
        <v>0.2</v>
      </c>
      <c r="F93" s="1571">
        <v>30</v>
      </c>
    </row>
    <row r="94" spans="1:6" s="1567" customFormat="1" ht="48">
      <c r="A94" s="1571">
        <v>34</v>
      </c>
      <c r="B94" s="3777"/>
      <c r="C94" s="1571" t="s">
        <v>1697</v>
      </c>
      <c r="D94" s="1497" t="s">
        <v>1698</v>
      </c>
      <c r="E94" s="1584">
        <v>0.2</v>
      </c>
      <c r="F94" s="1571">
        <v>30</v>
      </c>
    </row>
    <row r="95" spans="1:6" s="1567" customFormat="1" ht="36">
      <c r="A95" s="1571">
        <v>35</v>
      </c>
      <c r="B95" s="3777"/>
      <c r="C95" s="1571" t="s">
        <v>1699</v>
      </c>
      <c r="D95" s="1497" t="s">
        <v>1700</v>
      </c>
      <c r="E95" s="1584">
        <v>0.2</v>
      </c>
      <c r="F95" s="1571">
        <v>30</v>
      </c>
    </row>
    <row r="96" spans="1:6" s="1567" customFormat="1" ht="48">
      <c r="A96" s="1571">
        <v>36</v>
      </c>
      <c r="B96" s="3777"/>
      <c r="C96" s="1497" t="s">
        <v>1701</v>
      </c>
      <c r="D96" s="1497" t="s">
        <v>1702</v>
      </c>
      <c r="E96" s="1584">
        <v>0.2</v>
      </c>
      <c r="F96" s="1571">
        <v>30</v>
      </c>
    </row>
    <row r="97" spans="1:6" s="1567" customFormat="1" ht="36">
      <c r="A97" s="1571">
        <v>37</v>
      </c>
      <c r="B97" s="3777"/>
      <c r="C97" s="1571" t="s">
        <v>1703</v>
      </c>
      <c r="D97" s="1497" t="s">
        <v>1704</v>
      </c>
      <c r="E97" s="1584">
        <v>0.2</v>
      </c>
      <c r="F97" s="1571">
        <v>30</v>
      </c>
    </row>
    <row r="98" spans="1:6" s="1567" customFormat="1" ht="36">
      <c r="A98" s="1571">
        <v>38</v>
      </c>
      <c r="B98" s="3777"/>
      <c r="C98" s="1571" t="s">
        <v>1705</v>
      </c>
      <c r="D98" s="1497" t="s">
        <v>1706</v>
      </c>
      <c r="E98" s="1584">
        <v>0.2</v>
      </c>
      <c r="F98" s="1571">
        <v>30</v>
      </c>
    </row>
    <row r="99" spans="1:6" s="1567" customFormat="1" ht="36">
      <c r="A99" s="1571">
        <v>39</v>
      </c>
      <c r="B99" s="3777" t="s">
        <v>1707</v>
      </c>
      <c r="C99" s="1571" t="s">
        <v>1708</v>
      </c>
      <c r="D99" s="1497" t="s">
        <v>1709</v>
      </c>
      <c r="E99" s="1584">
        <v>0.3</v>
      </c>
      <c r="F99" s="1571">
        <v>50</v>
      </c>
    </row>
    <row r="100" spans="1:6" s="1567" customFormat="1" ht="24">
      <c r="A100" s="1571">
        <v>40</v>
      </c>
      <c r="B100" s="3777"/>
      <c r="C100" s="1571" t="s">
        <v>1710</v>
      </c>
      <c r="D100" s="1497" t="s">
        <v>1711</v>
      </c>
      <c r="E100" s="1584">
        <v>0.2</v>
      </c>
      <c r="F100" s="1571">
        <v>30</v>
      </c>
    </row>
    <row r="101" spans="1:6" s="1567" customFormat="1" ht="36">
      <c r="A101" s="1571">
        <v>41</v>
      </c>
      <c r="B101" s="3777"/>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77" t="s">
        <v>1722</v>
      </c>
      <c r="C105" s="1571" t="s">
        <v>1723</v>
      </c>
      <c r="D105" s="1497" t="s">
        <v>1724</v>
      </c>
      <c r="E105" s="1584">
        <v>0.2</v>
      </c>
      <c r="F105" s="1571">
        <v>30</v>
      </c>
    </row>
    <row r="106" spans="1:6" s="1567" customFormat="1" ht="36">
      <c r="A106" s="1571">
        <v>46</v>
      </c>
      <c r="B106" s="3777"/>
      <c r="C106" s="1571" t="s">
        <v>1725</v>
      </c>
      <c r="D106" s="1497" t="s">
        <v>1726</v>
      </c>
      <c r="E106" s="1584">
        <v>0.2</v>
      </c>
      <c r="F106" s="1571">
        <v>30</v>
      </c>
    </row>
    <row r="107" spans="1:6" s="1567" customFormat="1" ht="36">
      <c r="A107" s="1571">
        <v>47</v>
      </c>
      <c r="B107" s="3777" t="s">
        <v>1727</v>
      </c>
      <c r="C107" s="1571" t="s">
        <v>1728</v>
      </c>
      <c r="D107" s="1497" t="s">
        <v>1729</v>
      </c>
      <c r="E107" s="1584">
        <v>0.3</v>
      </c>
      <c r="F107" s="1571">
        <v>50</v>
      </c>
    </row>
    <row r="108" spans="1:6" s="1567" customFormat="1" ht="36">
      <c r="A108" s="1571">
        <v>48</v>
      </c>
      <c r="B108" s="3777"/>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77" t="s">
        <v>1738</v>
      </c>
      <c r="C111" s="1571" t="s">
        <v>1739</v>
      </c>
      <c r="D111" s="1497" t="s">
        <v>1740</v>
      </c>
      <c r="E111" s="1584">
        <v>0.2</v>
      </c>
      <c r="F111" s="1571">
        <v>30</v>
      </c>
    </row>
    <row r="112" spans="1:6" s="1567" customFormat="1" ht="24">
      <c r="A112" s="1571">
        <v>52</v>
      </c>
      <c r="B112" s="3777"/>
      <c r="C112" s="1571" t="s">
        <v>1741</v>
      </c>
      <c r="D112" s="1497" t="s">
        <v>1742</v>
      </c>
      <c r="E112" s="1584">
        <v>0.2</v>
      </c>
      <c r="F112" s="1571">
        <v>30</v>
      </c>
    </row>
    <row r="113" spans="1:6" s="1567" customFormat="1" ht="24">
      <c r="A113" s="1571">
        <v>53</v>
      </c>
      <c r="B113" s="3777"/>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77" t="s">
        <v>1751</v>
      </c>
      <c r="C116" s="1571" t="s">
        <v>1752</v>
      </c>
      <c r="D116" s="1497" t="s">
        <v>1753</v>
      </c>
      <c r="E116" s="1584">
        <v>0.2</v>
      </c>
      <c r="F116" s="1571">
        <v>30</v>
      </c>
    </row>
    <row r="117" spans="1:6" ht="36">
      <c r="A117" s="1571">
        <v>57</v>
      </c>
      <c r="B117" s="3777"/>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4.1280000000000001</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41" t="s">
        <v>209</v>
      </c>
      <c r="B2" s="3338">
        <f ca="1">SUMIF(B6:B13,"&lt;&gt;#ref!",B6:B13)</f>
        <v>58048</v>
      </c>
      <c r="C2" s="3341" t="s">
        <v>2668</v>
      </c>
      <c r="D2" s="3341" t="s">
        <v>3053</v>
      </c>
      <c r="E2" s="3338" t="e">
        <f ca="1">SUM(E6:E13)</f>
        <v>#REF!</v>
      </c>
    </row>
    <row r="3" spans="1:5" ht="14.25">
      <c r="A3" s="3341" t="s">
        <v>8</v>
      </c>
      <c r="B3" s="3338" t="e">
        <f ca="1">ROUND(B2*10000/E2,0)</f>
        <v>#REF!</v>
      </c>
      <c r="C3" s="3341" t="s">
        <v>2669</v>
      </c>
      <c r="D3" s="3339"/>
      <c r="E3" s="3339"/>
    </row>
    <row r="4" spans="1:5" ht="14.25">
      <c r="A4" s="3342"/>
      <c r="B4" s="3339"/>
      <c r="C4" s="3339"/>
      <c r="D4" s="3339"/>
      <c r="E4" s="3339"/>
    </row>
    <row r="5" spans="1:5" ht="28.5">
      <c r="A5" s="3343" t="s">
        <v>3056</v>
      </c>
      <c r="B5" s="3341" t="s">
        <v>3054</v>
      </c>
      <c r="C5" s="3338"/>
      <c r="D5" s="3339"/>
      <c r="E5" s="3341" t="s">
        <v>3055</v>
      </c>
    </row>
    <row r="6" spans="1:5" ht="14.25">
      <c r="A6" s="3344" t="s">
        <v>3057</v>
      </c>
      <c r="B6" s="3340">
        <f ca="1">SUMIF(INDIRECT("'"&amp;A6&amp;"'"&amp;"!A:A"),"总价",INDIRECT("'"&amp;A6&amp;"'"&amp;"!B:B"))</f>
        <v>58048</v>
      </c>
      <c r="C6" s="3341" t="s">
        <v>2668</v>
      </c>
      <c r="D6" s="3339"/>
      <c r="E6" s="2788">
        <f ca="1">SUMIF(INDIRECT("'"&amp;A6&amp;"'"&amp;"!C:C"),"建筑面积",INDIRECT("'"&amp;A6&amp;"'"&amp;"!D:D"))</f>
        <v>28973.439999999999</v>
      </c>
    </row>
    <row r="7" spans="1:5" ht="14.25">
      <c r="A7" s="3344"/>
      <c r="B7" s="3340" t="e">
        <f ca="1">SUMIF(INDIRECT("'"&amp;A7&amp;"'"&amp;"!A:A"),"总价",INDIRECT("'"&amp;A7&amp;"'"&amp;"!B:B"))</f>
        <v>#REF!</v>
      </c>
      <c r="C7" s="3341" t="s">
        <v>2668</v>
      </c>
      <c r="D7" s="3339"/>
      <c r="E7" s="2788" t="e">
        <f t="shared" ref="E7:E13" ca="1" si="0">SUMIF(INDIRECT("'"&amp;A7&amp;"'"&amp;"!C:C"),"建筑面积",INDIRECT("'"&amp;A7&amp;"'"&amp;"!D:D"))</f>
        <v>#REF!</v>
      </c>
    </row>
    <row r="8" spans="1:5" ht="14.25">
      <c r="A8" s="3344"/>
      <c r="B8" s="3340" t="e">
        <f t="shared" ref="B8:B13" ca="1" si="1">SUMIF(INDIRECT("'"&amp;A8&amp;"'"&amp;"!A:A"),"总价",INDIRECT("'"&amp;A8&amp;"'"&amp;"!B:B"))</f>
        <v>#REF!</v>
      </c>
      <c r="C8" s="3341" t="s">
        <v>2668</v>
      </c>
      <c r="D8" s="3339"/>
      <c r="E8" s="2788" t="e">
        <f t="shared" ca="1" si="0"/>
        <v>#REF!</v>
      </c>
    </row>
    <row r="9" spans="1:5" ht="14.25">
      <c r="A9" s="3344"/>
      <c r="B9" s="3340" t="e">
        <f t="shared" ca="1" si="1"/>
        <v>#REF!</v>
      </c>
      <c r="C9" s="3341" t="s">
        <v>2668</v>
      </c>
      <c r="D9" s="3339"/>
      <c r="E9" s="2788" t="e">
        <f t="shared" ca="1" si="0"/>
        <v>#REF!</v>
      </c>
    </row>
    <row r="10" spans="1:5" ht="14.25">
      <c r="A10" s="3344"/>
      <c r="B10" s="3340" t="e">
        <f t="shared" ca="1" si="1"/>
        <v>#REF!</v>
      </c>
      <c r="C10" s="3341" t="s">
        <v>2668</v>
      </c>
      <c r="D10" s="3339"/>
      <c r="E10" s="2788" t="e">
        <f t="shared" ca="1" si="0"/>
        <v>#REF!</v>
      </c>
    </row>
    <row r="11" spans="1:5" ht="14.25">
      <c r="A11" s="3344"/>
      <c r="B11" s="3340" t="e">
        <f t="shared" ca="1" si="1"/>
        <v>#REF!</v>
      </c>
      <c r="C11" s="3341" t="s">
        <v>2668</v>
      </c>
      <c r="D11" s="3339"/>
      <c r="E11" s="2788" t="e">
        <f t="shared" ca="1" si="0"/>
        <v>#REF!</v>
      </c>
    </row>
    <row r="12" spans="1:5" ht="14.25">
      <c r="A12" s="3344"/>
      <c r="B12" s="3340" t="e">
        <f t="shared" ca="1" si="1"/>
        <v>#REF!</v>
      </c>
      <c r="C12" s="3341" t="s">
        <v>2668</v>
      </c>
      <c r="D12" s="3339"/>
      <c r="E12" s="2788" t="e">
        <f t="shared" ca="1" si="0"/>
        <v>#REF!</v>
      </c>
    </row>
    <row r="13" spans="1:5" ht="14.25">
      <c r="A13" s="3344"/>
      <c r="B13" s="3340" t="e">
        <f t="shared" ca="1" si="1"/>
        <v>#REF!</v>
      </c>
      <c r="C13" s="3341" t="s">
        <v>2668</v>
      </c>
      <c r="D13" s="3339"/>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J5" sqref="J5:J18"/>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91" t="s">
        <v>2710</v>
      </c>
      <c r="C1" s="3791"/>
      <c r="D1" s="3791"/>
      <c r="E1" s="3791"/>
      <c r="F1" s="3791"/>
      <c r="G1" s="3790" t="s">
        <v>2711</v>
      </c>
      <c r="H1" s="3790"/>
      <c r="I1" s="3790"/>
      <c r="J1" s="3790"/>
      <c r="K1" s="3790"/>
      <c r="L1" s="3790"/>
      <c r="N1" s="3790" t="s">
        <v>2712</v>
      </c>
      <c r="O1" s="3790"/>
      <c r="P1" s="3790"/>
      <c r="Q1" s="3790"/>
      <c r="R1" s="2899"/>
      <c r="S1" s="3790" t="s">
        <v>2713</v>
      </c>
      <c r="T1" s="3790"/>
      <c r="U1" s="3790"/>
      <c r="V1" s="3790"/>
      <c r="X1" s="3789" t="s">
        <v>2714</v>
      </c>
      <c r="Y1" s="3790"/>
      <c r="Z1" s="3790"/>
      <c r="AA1" s="3790"/>
      <c r="AB1" s="3790"/>
      <c r="AD1" s="3789" t="s">
        <v>2715</v>
      </c>
      <c r="AE1" s="3790"/>
      <c r="AF1" s="3790"/>
      <c r="AG1" s="3790"/>
      <c r="AH1" s="3790"/>
    </row>
    <row r="2" spans="1:34" s="2900" customFormat="1" ht="14.25" thickBot="1">
      <c r="B2" s="2901" t="s">
        <v>2716</v>
      </c>
      <c r="C2" s="2901" t="s">
        <v>2717</v>
      </c>
      <c r="D2" s="2902" t="s">
        <v>2718</v>
      </c>
      <c r="E2" s="2902" t="s">
        <v>2719</v>
      </c>
      <c r="F2" s="2901" t="s">
        <v>2720</v>
      </c>
      <c r="G2" s="2903"/>
      <c r="H2" s="2904"/>
      <c r="I2" s="2901" t="s">
        <v>2716</v>
      </c>
      <c r="J2" s="2902" t="s">
        <v>3059</v>
      </c>
      <c r="K2" s="2902" t="s">
        <v>1845</v>
      </c>
      <c r="L2" s="2901" t="s">
        <v>2720</v>
      </c>
      <c r="N2" s="2901" t="s">
        <v>2716</v>
      </c>
      <c r="O2" s="2902" t="s">
        <v>3059</v>
      </c>
      <c r="P2" s="2902" t="s">
        <v>1845</v>
      </c>
      <c r="Q2" s="2901" t="s">
        <v>2720</v>
      </c>
      <c r="R2" s="2905"/>
      <c r="S2" s="2901" t="s">
        <v>2716</v>
      </c>
      <c r="T2" s="2902" t="s">
        <v>3059</v>
      </c>
      <c r="U2" s="2902" t="s">
        <v>1845</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92">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87"/>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87"/>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6"/>
      <c r="AD6" s="3347">
        <f>ROUND(AVERAGE(I6:I$19)/100,4)</f>
        <v>2.46E-2</v>
      </c>
      <c r="AE6" s="3347">
        <f>ROUND(AVERAGE(J6:J$19)/100,4)</f>
        <v>1.6E-2</v>
      </c>
      <c r="AF6" s="3347">
        <f t="shared" si="1"/>
        <v>1.6E-2</v>
      </c>
      <c r="AG6" s="3347">
        <f>ROUND(AVERAGE(K6:K$19)/100,4)</f>
        <v>2.75E-2</v>
      </c>
      <c r="AH6" s="3347">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88"/>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4" t="s">
        <v>1160</v>
      </c>
      <c r="B8" s="2926">
        <v>392</v>
      </c>
      <c r="C8" s="2926">
        <v>302</v>
      </c>
      <c r="D8" s="2926">
        <f>C8</f>
        <v>302</v>
      </c>
      <c r="E8" s="2926">
        <v>553</v>
      </c>
      <c r="F8" s="2927">
        <v>266</v>
      </c>
      <c r="G8" s="3792">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1159</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87"/>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1149</v>
      </c>
      <c r="B10" s="2934">
        <f t="shared" si="15"/>
        <v>360.06949782209392</v>
      </c>
      <c r="C10" s="2934">
        <f t="shared" si="15"/>
        <v>289.84672674747821</v>
      </c>
      <c r="D10" s="2934">
        <f t="shared" si="16"/>
        <v>289.84672674747821</v>
      </c>
      <c r="E10" s="2934">
        <f t="shared" si="17"/>
        <v>501.06543001181495</v>
      </c>
      <c r="F10" s="2934">
        <f t="shared" si="17"/>
        <v>256.82882500744967</v>
      </c>
      <c r="G10" s="3787"/>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1158</v>
      </c>
      <c r="B11" s="2934">
        <f t="shared" si="15"/>
        <v>346.720748986128</v>
      </c>
      <c r="C11" s="2934">
        <f t="shared" si="15"/>
        <v>284.30282172386285</v>
      </c>
      <c r="D11" s="2934">
        <f t="shared" si="16"/>
        <v>284.30282172386285</v>
      </c>
      <c r="E11" s="2934">
        <f t="shared" si="17"/>
        <v>479.58023546306947</v>
      </c>
      <c r="F11" s="2934">
        <f t="shared" si="17"/>
        <v>253.25788877571213</v>
      </c>
      <c r="G11" s="3788"/>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1157</v>
      </c>
      <c r="B12" s="2926">
        <v>333</v>
      </c>
      <c r="C12" s="2926">
        <v>277</v>
      </c>
      <c r="D12" s="2926">
        <f t="shared" si="16"/>
        <v>277</v>
      </c>
      <c r="E12" s="2926">
        <v>459</v>
      </c>
      <c r="F12" s="2927">
        <v>249</v>
      </c>
      <c r="G12" s="3786">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1156</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87"/>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1155</v>
      </c>
      <c r="B14" s="2934">
        <f t="shared" si="19"/>
        <v>322.34053690220776</v>
      </c>
      <c r="C14" s="2934">
        <f t="shared" si="19"/>
        <v>271.46160770422546</v>
      </c>
      <c r="D14" s="2934">
        <f t="shared" si="16"/>
        <v>271.46160770422546</v>
      </c>
      <c r="E14" s="2934">
        <f t="shared" si="20"/>
        <v>442.69434542172456</v>
      </c>
      <c r="F14" s="2934">
        <f t="shared" si="20"/>
        <v>241.34030753190925</v>
      </c>
      <c r="G14" s="3787"/>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1154</v>
      </c>
      <c r="B15" s="2934">
        <f t="shared" si="19"/>
        <v>319.87748030386797</v>
      </c>
      <c r="C15" s="2934">
        <f t="shared" si="19"/>
        <v>269.60135833173649</v>
      </c>
      <c r="D15" s="2934">
        <f t="shared" si="16"/>
        <v>269.60135833173649</v>
      </c>
      <c r="E15" s="2934">
        <f t="shared" si="20"/>
        <v>439.18089823583784</v>
      </c>
      <c r="F15" s="2934">
        <f t="shared" si="20"/>
        <v>239.23503918706311</v>
      </c>
      <c r="G15" s="3788"/>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1153</v>
      </c>
      <c r="B16" s="2947">
        <v>318</v>
      </c>
      <c r="C16" s="2947">
        <v>268</v>
      </c>
      <c r="D16" s="2947">
        <f t="shared" si="16"/>
        <v>268</v>
      </c>
      <c r="E16" s="2947">
        <v>437</v>
      </c>
      <c r="F16" s="2948">
        <v>237</v>
      </c>
      <c r="G16" s="3786">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1152</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87"/>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1151</v>
      </c>
      <c r="B18" s="2934">
        <f t="shared" si="21"/>
        <v>314.72141172386546</v>
      </c>
      <c r="C18" s="2934">
        <f t="shared" si="21"/>
        <v>263.03901319069001</v>
      </c>
      <c r="D18" s="2934">
        <f t="shared" si="16"/>
        <v>263.03901319069001</v>
      </c>
      <c r="E18" s="2934">
        <f t="shared" si="22"/>
        <v>433.65745506782821</v>
      </c>
      <c r="F18" s="2934">
        <f t="shared" si="22"/>
        <v>233.23005080045735</v>
      </c>
      <c r="G18" s="3787"/>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1150</v>
      </c>
      <c r="B19" s="2952">
        <f t="shared" si="21"/>
        <v>307.34512863658733</v>
      </c>
      <c r="C19" s="2952">
        <f t="shared" si="21"/>
        <v>257.80556031626975</v>
      </c>
      <c r="D19" s="2952">
        <f t="shared" si="16"/>
        <v>257.80556031626975</v>
      </c>
      <c r="E19" s="2952">
        <f t="shared" si="22"/>
        <v>422.70928459677179</v>
      </c>
      <c r="F19" s="2952">
        <f t="shared" si="22"/>
        <v>229.73803270336617</v>
      </c>
      <c r="G19" s="3788"/>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93">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94"/>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94"/>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95"/>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86">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87"/>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87"/>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88"/>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86">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87">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87">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88">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86">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87">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87">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88">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86">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87">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87">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88">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86">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87">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87">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88">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86">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87">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87">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88">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86">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87">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87">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88">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86">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87">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87">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88">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86">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87">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87">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88">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86">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87">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87">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88">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86">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87">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87">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88">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0" t="s">
        <v>2381</v>
      </c>
      <c r="C1" s="3799" t="s">
        <v>2382</v>
      </c>
      <c r="D1" s="3800"/>
      <c r="E1" s="3800"/>
      <c r="F1" s="3800"/>
      <c r="G1" s="3800"/>
      <c r="H1" s="3800"/>
      <c r="I1" s="3800"/>
      <c r="J1" s="3800"/>
      <c r="K1" s="3800"/>
      <c r="L1" s="3800"/>
      <c r="M1" s="3800"/>
      <c r="N1" s="3800"/>
      <c r="O1" s="3800"/>
      <c r="P1" s="3800"/>
      <c r="Q1" s="3800"/>
      <c r="R1" s="3800"/>
      <c r="S1" s="3801"/>
      <c r="T1" s="2440" t="s">
        <v>2383</v>
      </c>
    </row>
    <row r="2" spans="1:45" s="1114" customFormat="1">
      <c r="A2" s="2441"/>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6"/>
      <c r="G3" s="3206"/>
      <c r="H3" s="3206"/>
      <c r="I3" s="3206"/>
      <c r="J3" s="3206"/>
      <c r="K3" s="3206"/>
      <c r="L3" s="3207"/>
      <c r="M3" s="3208"/>
      <c r="N3" s="3208"/>
      <c r="O3" s="3206"/>
      <c r="P3" s="3206"/>
      <c r="Q3" s="3206"/>
      <c r="R3" s="3206"/>
      <c r="S3" s="3209"/>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1"/>
      <c r="B5" s="3304" t="s">
        <v>3029</v>
      </c>
      <c r="C5" s="2452"/>
      <c r="D5" s="2453"/>
      <c r="E5" s="2453"/>
      <c r="F5" s="3213"/>
      <c r="G5" s="3213"/>
      <c r="H5" s="3213"/>
      <c r="I5" s="3213"/>
      <c r="J5" s="3213"/>
      <c r="K5" s="3213"/>
      <c r="L5" s="3214"/>
      <c r="M5" s="3215"/>
      <c r="N5" s="3215"/>
      <c r="O5" s="3213"/>
      <c r="P5" s="3213"/>
      <c r="Q5" s="3213"/>
      <c r="R5" s="3213"/>
      <c r="S5" s="3216"/>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05" t="s">
        <v>3028</v>
      </c>
      <c r="C7" s="2207"/>
      <c r="D7" s="2201"/>
      <c r="E7" s="2201"/>
      <c r="F7" s="3218"/>
      <c r="G7" s="3218"/>
      <c r="H7" s="3218"/>
      <c r="I7" s="3218"/>
      <c r="J7" s="3218"/>
      <c r="K7" s="3218"/>
      <c r="L7" s="3218"/>
      <c r="M7" s="3219"/>
      <c r="N7" s="3220"/>
      <c r="O7" s="3221"/>
      <c r="P7" s="3222"/>
      <c r="Q7" s="3223"/>
      <c r="R7" s="3224"/>
      <c r="S7" s="3225"/>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1"/>
      <c r="B9" s="3305" t="s">
        <v>3027</v>
      </c>
      <c r="C9" s="2207"/>
      <c r="D9" s="2201"/>
      <c r="E9" s="2201"/>
      <c r="F9" s="3218"/>
      <c r="G9" s="3218"/>
      <c r="H9" s="3218"/>
      <c r="I9" s="3218"/>
      <c r="J9" s="3218"/>
      <c r="K9" s="3218"/>
      <c r="L9" s="3226"/>
      <c r="M9" s="3219"/>
      <c r="N9" s="3220"/>
      <c r="O9" s="3221"/>
      <c r="P9" s="3222"/>
      <c r="Q9" s="3223"/>
      <c r="R9" s="3224"/>
      <c r="S9" s="3225"/>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04" t="s">
        <v>3026</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04" t="s">
        <v>3025</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04" t="s">
        <v>3024</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3355" t="s">
        <v>3062</v>
      </c>
      <c r="E19" s="3350"/>
      <c r="F19" s="3350"/>
      <c r="G19" s="3350"/>
      <c r="H19" s="2537"/>
      <c r="I19" s="499"/>
      <c r="J19" s="499"/>
      <c r="K19" s="499"/>
      <c r="L19" s="499"/>
      <c r="M19" s="499"/>
      <c r="N19" s="499"/>
      <c r="O19" s="499"/>
      <c r="P19" s="499"/>
      <c r="Q19" s="499"/>
      <c r="R19" s="1414"/>
      <c r="S19" s="468"/>
    </row>
    <row r="20" spans="1:45" ht="16.5" thickBot="1">
      <c r="A20" s="1122" t="s">
        <v>520</v>
      </c>
      <c r="B20" s="672" t="e">
        <f ca="1">IF(D20="——",S22,S22-F20)</f>
        <v>#REF!</v>
      </c>
      <c r="C20" s="499"/>
      <c r="D20" s="3351" t="s">
        <v>3063</v>
      </c>
      <c r="E20" s="3352"/>
      <c r="F20" s="2440" t="e">
        <f ca="1">SUMIF(INDIRECT("'"&amp;H20&amp;"'"&amp;"!A:A"),"承租人权益价值",INDIRECT("'"&amp;H20&amp;"'"&amp;"!c:c"))</f>
        <v>#REF!</v>
      </c>
      <c r="G20" s="3353" t="s">
        <v>3050</v>
      </c>
      <c r="H20" s="3354"/>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2">
        <f>SUM(B24:B10000)</f>
        <v>100</v>
      </c>
      <c r="C22" s="3796" t="s">
        <v>168</v>
      </c>
      <c r="D22" s="3797"/>
      <c r="E22" s="3797"/>
      <c r="F22" s="3797"/>
      <c r="G22" s="3797"/>
      <c r="H22" s="3797"/>
      <c r="I22" s="3797"/>
      <c r="J22" s="3797"/>
      <c r="K22" s="3797"/>
      <c r="L22" s="3797"/>
      <c r="M22" s="3797"/>
      <c r="N22" s="3797"/>
      <c r="O22" s="3797"/>
      <c r="P22" s="3797"/>
      <c r="Q22" s="3798"/>
      <c r="R22" s="1123">
        <f>ROUND(S22*10000/B22,0)</f>
        <v>10000</v>
      </c>
      <c r="S22" s="312">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2"/>
      <c r="C2" s="3432"/>
      <c r="D2" s="3432"/>
      <c r="E2" s="3432"/>
    </row>
    <row r="3" spans="1:5" ht="18.75">
      <c r="A3" s="3433" t="str">
        <f>IF(项目基本情况!B9="房地产市场价值","估价结果一览表（市场价值不需“结果表-1”）","估价结果一览表")</f>
        <v>估价结果一览表</v>
      </c>
      <c r="B3" s="3433"/>
      <c r="C3" s="3433"/>
      <c r="D3" s="3433"/>
      <c r="E3" s="3433"/>
    </row>
    <row r="4" spans="1:5" ht="19.5" thickBot="1">
      <c r="A4" s="1974"/>
      <c r="B4" s="3431" t="s">
        <v>2032</v>
      </c>
      <c r="C4" s="3431"/>
      <c r="D4" s="3431"/>
      <c r="E4" s="1974"/>
    </row>
    <row r="5" spans="1:5" ht="16.5" thickTop="1">
      <c r="A5" s="1962"/>
      <c r="B5" s="3429" t="s">
        <v>2028</v>
      </c>
      <c r="C5" s="1964" t="s">
        <v>2033</v>
      </c>
      <c r="D5" s="1965">
        <f ca="1">结果表!H101</f>
        <v>71289</v>
      </c>
      <c r="E5" s="1962"/>
    </row>
    <row r="6" spans="1:5" ht="15.75">
      <c r="A6" s="1962"/>
      <c r="B6" s="3429"/>
      <c r="C6" s="1964" t="s">
        <v>2871</v>
      </c>
      <c r="D6" s="1965" t="str">
        <f ca="1">NUMBERSTRING(INT(D5*10000),2)&amp;"元整"</f>
        <v>柒亿壹仟贰佰捌拾玖万元整</v>
      </c>
      <c r="E6" s="1962"/>
    </row>
    <row r="7" spans="1:5" ht="15.75">
      <c r="A7" s="1962"/>
      <c r="B7" s="3434"/>
      <c r="C7" s="1966" t="s">
        <v>2034</v>
      </c>
      <c r="D7" s="1967">
        <f ca="1">结果表!H102</f>
        <v>24605</v>
      </c>
      <c r="E7" s="1962"/>
    </row>
    <row r="8" spans="1:5" ht="15.75">
      <c r="A8" s="1962"/>
      <c r="B8" s="3435" t="str">
        <f>结果表!E103</f>
        <v>2.估价师知悉的法定优先受偿款</v>
      </c>
      <c r="C8" s="1968" t="s">
        <v>2035</v>
      </c>
      <c r="D8" s="1967">
        <f>结果表!H103</f>
        <v>0</v>
      </c>
      <c r="E8" s="1962"/>
    </row>
    <row r="9" spans="1:5" ht="15.75">
      <c r="A9" s="1962"/>
      <c r="B9" s="3437"/>
      <c r="C9" s="1964" t="s">
        <v>2871</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428" t="str">
        <f>结果表!E107</f>
        <v>3.房地产抵押价值</v>
      </c>
      <c r="C13" s="1972" t="s">
        <v>2033</v>
      </c>
      <c r="D13" s="1975">
        <f ca="1">结果表!H107</f>
        <v>71289</v>
      </c>
      <c r="E13" s="1962"/>
    </row>
    <row r="14" spans="1:5" ht="15.75">
      <c r="A14" s="1962"/>
      <c r="B14" s="3429"/>
      <c r="C14" s="1964" t="s">
        <v>2871</v>
      </c>
      <c r="D14" s="1965" t="str">
        <f ca="1">NUMBERSTRING(INT(D13*10000),2)&amp;"元整"</f>
        <v>柒亿壹仟贰佰捌拾玖万元整</v>
      </c>
      <c r="E14" s="1962"/>
    </row>
    <row r="15" spans="1:5" ht="15">
      <c r="A15" s="1962"/>
      <c r="B15" s="3434"/>
      <c r="C15" s="1966" t="s">
        <v>2034</v>
      </c>
      <c r="D15" s="2077">
        <f ca="1">结果表!H108</f>
        <v>24605</v>
      </c>
      <c r="E15" s="1962"/>
    </row>
    <row r="16" spans="1:5" ht="14.25">
      <c r="A16" s="1962"/>
      <c r="B16" s="3435" t="str">
        <f>结果表!E109</f>
        <v>——</v>
      </c>
      <c r="C16" s="1972" t="s">
        <v>2033</v>
      </c>
      <c r="D16" s="2078" t="str">
        <f>结果表!H109</f>
        <v>——</v>
      </c>
      <c r="E16" s="1962"/>
    </row>
    <row r="17" spans="1:5" ht="15.75">
      <c r="A17" s="1962"/>
      <c r="B17" s="3436"/>
      <c r="C17" s="1964" t="s">
        <v>2871</v>
      </c>
      <c r="D17" s="1965" t="e">
        <f>NUMBERSTRING(INT(D16*10000),2)&amp;"元整"</f>
        <v>#VALUE!</v>
      </c>
      <c r="E17" s="1962"/>
    </row>
    <row r="18" spans="1:5" ht="15">
      <c r="A18" s="1962"/>
      <c r="B18" s="3437"/>
      <c r="C18" s="1966" t="s">
        <v>2034</v>
      </c>
      <c r="D18" s="2077" t="str">
        <f>结果表!H110</f>
        <v>——</v>
      </c>
      <c r="E18" s="1962"/>
    </row>
    <row r="19" spans="1:5" ht="15.75">
      <c r="A19" s="1962"/>
      <c r="B19" s="3428" t="str">
        <f>结果表!E111</f>
        <v>——</v>
      </c>
      <c r="C19" s="1972" t="s">
        <v>2033</v>
      </c>
      <c r="D19" s="1967" t="str">
        <f>结果表!H111</f>
        <v>——</v>
      </c>
      <c r="E19" s="1962"/>
    </row>
    <row r="20" spans="1:5" ht="15.75">
      <c r="A20" s="1962"/>
      <c r="B20" s="3429"/>
      <c r="C20" s="1964" t="s">
        <v>2871</v>
      </c>
      <c r="D20" s="1965" t="e">
        <f>NUMBERSTRING(INT(D19*10000),2)&amp;"元整"</f>
        <v>#VALUE!</v>
      </c>
      <c r="E20" s="1962"/>
    </row>
    <row r="21" spans="1:5" ht="15.75" thickBot="1">
      <c r="A21" s="1962"/>
      <c r="B21" s="3430"/>
      <c r="C21" s="2079" t="s">
        <v>2034</v>
      </c>
      <c r="D21" s="2080" t="str">
        <f>结果表!H112</f>
        <v>——</v>
      </c>
      <c r="E21" s="1962"/>
    </row>
    <row r="22" spans="1:5" ht="14.25" thickTop="1">
      <c r="A22" s="1962"/>
      <c r="B22" s="1973" t="s">
        <v>2060</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37402</v>
      </c>
      <c r="C2" s="85" t="s">
        <v>865</v>
      </c>
      <c r="D2" s="574"/>
      <c r="E2" s="574"/>
      <c r="F2" s="574"/>
      <c r="G2" s="574"/>
    </row>
    <row r="3" spans="1:7" s="575" customFormat="1" ht="18" customHeight="1" thickBot="1">
      <c r="A3" s="578" t="s">
        <v>817</v>
      </c>
      <c r="B3" s="579">
        <f ca="1">ROUND(B2*10000/'数据-汇总表'!E3,0)</f>
        <v>12909</v>
      </c>
      <c r="C3" s="85" t="s">
        <v>866</v>
      </c>
      <c r="D3" s="574"/>
      <c r="E3" s="574"/>
      <c r="F3" s="574"/>
      <c r="G3" s="574"/>
    </row>
    <row r="4" spans="1:7" s="583" customFormat="1" ht="15.75">
      <c r="A4" s="580" t="s">
        <v>818</v>
      </c>
      <c r="B4" s="581"/>
      <c r="C4" s="581"/>
      <c r="D4" s="581"/>
      <c r="E4" s="581"/>
      <c r="F4" s="581"/>
      <c r="G4" s="582"/>
    </row>
    <row r="5" spans="1:7" s="589" customFormat="1" ht="13.5" customHeight="1">
      <c r="A5" s="630" t="s">
        <v>2503</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346</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2681</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464</v>
      </c>
      <c r="D10" s="1907">
        <f>'数据-汇总表'!E6</f>
        <v>28973.439999999999</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f>IF(G19="已包含在土地取得成本中","0",ROUND(D19*E19/10000,0))</f>
        <v>0</v>
      </c>
      <c r="D19" s="1911">
        <f>'数据-汇总表'!E3</f>
        <v>28973.439999999999</v>
      </c>
      <c r="E19" s="586">
        <f>'数据-取费表'!B31</f>
        <v>0</v>
      </c>
      <c r="F19" s="606"/>
      <c r="G19" s="84" t="s">
        <v>2526</v>
      </c>
    </row>
    <row r="20" spans="1:7" s="589" customFormat="1" ht="13.5" customHeight="1">
      <c r="A20" s="1801" t="s">
        <v>2506</v>
      </c>
      <c r="B20" s="585" t="s">
        <v>836</v>
      </c>
      <c r="C20" s="607">
        <f>ROUND((C5+C19)*F20,0)</f>
        <v>412</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2024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1924</v>
      </c>
      <c r="B23" s="590" t="s">
        <v>2510</v>
      </c>
      <c r="C23" s="2699">
        <f ca="1">ROUND(IF('数据-取费表'!B22&lt;=1,C5*F22*'数据-取费表'!B23,C5*(POWER((1+F22),'数据-取费表'!B23)-1)),0)</f>
        <v>2004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20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C28</f>
        <v>4204</v>
      </c>
      <c r="D27" s="610">
        <f>C29</f>
        <v>4.0000000000000001E-3</v>
      </c>
      <c r="E27" s="611" t="s">
        <v>858</v>
      </c>
      <c r="F27" s="621">
        <f>'数据-取费表'!Q16</f>
        <v>0.2</v>
      </c>
      <c r="G27" s="622" t="s">
        <v>2518</v>
      </c>
    </row>
    <row r="28" spans="1:7" s="589" customFormat="1" ht="13.5" customHeight="1">
      <c r="A28" s="1804" t="s">
        <v>1924</v>
      </c>
      <c r="B28" s="623" t="s">
        <v>2511</v>
      </c>
      <c r="C28" s="624">
        <f>ROUND((C5+C19+C20)*F27*'数据-取费表'!B21/'数据-取费表'!B20,0)</f>
        <v>4204</v>
      </c>
      <c r="D28" s="610"/>
      <c r="E28" s="611"/>
      <c r="F28" s="621"/>
      <c r="G28" s="622"/>
    </row>
    <row r="29" spans="1:7" s="589" customFormat="1" ht="13.5" customHeight="1">
      <c r="A29" s="1804" t="s">
        <v>1922</v>
      </c>
      <c r="B29" s="623" t="s">
        <v>2512</v>
      </c>
      <c r="C29" s="613">
        <f>ROUND(C21*F27*'数据-取费表'!B21/'数据-取费表'!B20,4)</f>
        <v>4.0000000000000001E-3</v>
      </c>
      <c r="D29" s="610"/>
      <c r="E29" s="611"/>
      <c r="F29" s="621"/>
      <c r="G29" s="622"/>
    </row>
    <row r="30" spans="1:7" s="589" customFormat="1" ht="13.5" customHeight="1">
      <c r="A30" s="1801" t="s">
        <v>1918</v>
      </c>
      <c r="B30" s="585" t="s">
        <v>347</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29535</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SUM(C34:C38)</f>
        <v>8148</v>
      </c>
      <c r="D33" s="607"/>
      <c r="E33" s="587"/>
      <c r="F33" s="616"/>
      <c r="G33" s="609"/>
    </row>
    <row r="34" spans="1:7" s="633" customFormat="1" ht="13.5" customHeight="1">
      <c r="A34" s="1804" t="s">
        <v>1924</v>
      </c>
      <c r="B34" s="590" t="s">
        <v>348</v>
      </c>
      <c r="C34" s="595">
        <f>IF(F34=100%,'数据-取费表'!M16-SUMIF('数据-取费表'!C:C,"公共配套",'数据-取费表'!M:M),'数据-取费表'!O16-SUMIF('数据-取费表'!C:C,"公共配套",'数据-取费表'!O:O))</f>
        <v>7243</v>
      </c>
      <c r="D34" s="592"/>
      <c r="E34" s="595"/>
      <c r="F34" s="632">
        <f>IF('数据-取费表'!B24=0,1,'数据-取费表'!N16)</f>
        <v>1</v>
      </c>
      <c r="G34" s="594" t="s">
        <v>848</v>
      </c>
    </row>
    <row r="35" spans="1:7" ht="13.5" customHeight="1">
      <c r="A35" s="1804" t="s">
        <v>1926</v>
      </c>
      <c r="B35" s="590" t="s">
        <v>349</v>
      </c>
      <c r="C35" s="595">
        <f>ROUND(C34*F35,0)</f>
        <v>217</v>
      </c>
      <c r="D35" s="595"/>
      <c r="E35" s="595"/>
      <c r="F35" s="634">
        <f>'数据-取费表'!B33</f>
        <v>0.03</v>
      </c>
      <c r="G35" s="594" t="s">
        <v>849</v>
      </c>
    </row>
    <row r="36" spans="1:7" ht="24">
      <c r="A36" s="1804" t="s">
        <v>1927</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4" t="s">
        <v>1928</v>
      </c>
      <c r="B37" s="590" t="s">
        <v>850</v>
      </c>
      <c r="C37" s="624">
        <f>ROUND(E37*D37*F34/10000,0)</f>
        <v>579</v>
      </c>
      <c r="D37" s="592">
        <f>'数据-汇总表'!E3</f>
        <v>28973.439999999999</v>
      </c>
      <c r="E37" s="624">
        <f>'数据-取费表'!B35</f>
        <v>200</v>
      </c>
      <c r="F37" s="634"/>
      <c r="G37" s="636" t="s">
        <v>851</v>
      </c>
    </row>
    <row r="38" spans="1:7" ht="13.5" customHeight="1">
      <c r="A38" s="1804" t="s">
        <v>1929</v>
      </c>
      <c r="B38" s="590" t="s">
        <v>352</v>
      </c>
      <c r="C38" s="595">
        <f>ROUND(C34*F38,0)</f>
        <v>109</v>
      </c>
      <c r="D38" s="595"/>
      <c r="E38" s="595"/>
      <c r="F38" s="634">
        <f>'数据-取费表'!B36</f>
        <v>1.4999999999999999E-2</v>
      </c>
      <c r="G38" s="594" t="s">
        <v>849</v>
      </c>
    </row>
    <row r="39" spans="1:7" s="589" customFormat="1" ht="13.5" customHeight="1">
      <c r="A39" s="1801" t="s">
        <v>1913</v>
      </c>
      <c r="B39" s="585" t="s">
        <v>836</v>
      </c>
      <c r="C39" s="607">
        <f>ROUND(C33*F20,0)</f>
        <v>163</v>
      </c>
      <c r="D39" s="607"/>
      <c r="E39" s="607"/>
      <c r="F39" s="608"/>
      <c r="G39" s="2619" t="s">
        <v>2520</v>
      </c>
    </row>
    <row r="40" spans="1:7" s="589" customFormat="1" ht="13.5" customHeight="1">
      <c r="A40" s="1801" t="s">
        <v>1914</v>
      </c>
      <c r="B40" s="585" t="s">
        <v>837</v>
      </c>
      <c r="C40" s="637">
        <f>F21</f>
        <v>0.02</v>
      </c>
      <c r="D40" s="611" t="s">
        <v>861</v>
      </c>
      <c r="E40" s="607"/>
      <c r="F40" s="608"/>
      <c r="G40" s="609" t="s">
        <v>852</v>
      </c>
    </row>
    <row r="41" spans="1:7" s="589" customFormat="1" ht="13.5" customHeight="1">
      <c r="A41" s="1801" t="s">
        <v>1915</v>
      </c>
      <c r="B41" s="585" t="s">
        <v>839</v>
      </c>
      <c r="C41" s="607">
        <f ca="1">ROUND(SUM(C42:C43),0)</f>
        <v>395</v>
      </c>
      <c r="D41" s="610">
        <f ca="1">C44</f>
        <v>1E-3</v>
      </c>
      <c r="E41" s="611" t="s">
        <v>861</v>
      </c>
      <c r="F41" s="612"/>
      <c r="G41" s="2619" t="str">
        <f>IF('数据-取费表'!B22&lt;=1,"单利计息","复利计息")</f>
        <v>复利计息</v>
      </c>
    </row>
    <row r="42" spans="1:7" ht="13.5" customHeight="1">
      <c r="A42" s="1804" t="s">
        <v>1924</v>
      </c>
      <c r="B42" s="590" t="s">
        <v>2510</v>
      </c>
      <c r="C42" s="613">
        <f ca="1">ROUND(IF('数据-取费表'!B22&lt;=1,C33*F22*'数据-取费表'!B21/2,C33*(POWER((1+F22),'数据-取费表'!B21/2)-1)),0)</f>
        <v>387</v>
      </c>
      <c r="D42" s="613"/>
      <c r="E42" s="613"/>
      <c r="F42" s="614"/>
      <c r="G42" s="3620" t="s">
        <v>853</v>
      </c>
    </row>
    <row r="43" spans="1:7" ht="13.5" customHeight="1">
      <c r="A43" s="1804" t="s">
        <v>1922</v>
      </c>
      <c r="B43" s="590" t="s">
        <v>2513</v>
      </c>
      <c r="C43" s="613">
        <f ca="1">ROUND(IF('数据-取费表'!B22&lt;=1,C39*F22*'数据-取费表'!B21/2,C39*(POWER((1+F22),'数据-取费表'!B21/2)-1)),0)</f>
        <v>8</v>
      </c>
      <c r="D43" s="613"/>
      <c r="E43" s="613"/>
      <c r="F43" s="614"/>
      <c r="G43" s="3621"/>
    </row>
    <row r="44" spans="1:7" ht="13.5" customHeight="1">
      <c r="A44" s="1804" t="s">
        <v>1923</v>
      </c>
      <c r="B44" s="590" t="s">
        <v>2515</v>
      </c>
      <c r="C44" s="613">
        <f ca="1">ROUND(IF('数据-取费表'!B22&lt;=1,C40*F22*'数据-取费表'!B21/2,C40*(POWER((1+F22),'数据-取费表'!B21/2)-1)),4)</f>
        <v>1E-3</v>
      </c>
      <c r="D44" s="613"/>
      <c r="E44" s="613"/>
      <c r="F44" s="614"/>
      <c r="G44" s="3622"/>
    </row>
    <row r="45" spans="1:7" s="589" customFormat="1" ht="13.5" customHeight="1">
      <c r="A45" s="1801" t="s">
        <v>1916</v>
      </c>
      <c r="B45" s="619" t="s">
        <v>844</v>
      </c>
      <c r="C45" s="620">
        <f>C46</f>
        <v>1662</v>
      </c>
      <c r="D45" s="610">
        <f>C47</f>
        <v>4.0000000000000001E-3</v>
      </c>
      <c r="E45" s="611" t="s">
        <v>861</v>
      </c>
      <c r="F45" s="621"/>
      <c r="G45" s="622" t="s">
        <v>2521</v>
      </c>
    </row>
    <row r="46" spans="1:7" s="589" customFormat="1" ht="13.5" customHeight="1">
      <c r="A46" s="1804" t="s">
        <v>1924</v>
      </c>
      <c r="B46" s="623" t="s">
        <v>2514</v>
      </c>
      <c r="C46" s="624">
        <f>ROUND((C33+C39)*F27,0)</f>
        <v>1662</v>
      </c>
      <c r="D46" s="638"/>
      <c r="E46" s="611"/>
      <c r="F46" s="621"/>
      <c r="G46" s="622"/>
    </row>
    <row r="47" spans="1:7" s="589" customFormat="1" ht="13.5" customHeight="1">
      <c r="A47" s="1804" t="s">
        <v>1922</v>
      </c>
      <c r="B47" s="623" t="s">
        <v>2516</v>
      </c>
      <c r="C47" s="613">
        <f>ROUND(C40*F27,4)</f>
        <v>4.0000000000000001E-3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11238</v>
      </c>
      <c r="D49" s="607"/>
      <c r="E49" s="607"/>
      <c r="F49" s="639"/>
      <c r="G49" s="609" t="s">
        <v>2522</v>
      </c>
    </row>
    <row r="50" spans="1:7" s="633" customFormat="1" ht="24">
      <c r="A50" s="1801" t="s">
        <v>1919</v>
      </c>
      <c r="B50" s="585" t="s">
        <v>856</v>
      </c>
      <c r="C50" s="607"/>
      <c r="D50" s="607"/>
      <c r="E50" s="607"/>
      <c r="F50" s="639">
        <f>IF('数据-取费表'!B24=0,'数据-取费表'!N16,1)</f>
        <v>0.7</v>
      </c>
      <c r="G50" s="622" t="s">
        <v>857</v>
      </c>
    </row>
    <row r="51" spans="1:7" ht="16.5" customHeight="1">
      <c r="A51" s="1801" t="s">
        <v>1920</v>
      </c>
      <c r="B51" s="585" t="s">
        <v>864</v>
      </c>
      <c r="C51" s="607">
        <f ca="1">ROUND(C49*F50,0)</f>
        <v>7867</v>
      </c>
      <c r="D51" s="607"/>
      <c r="E51" s="607"/>
      <c r="F51" s="639"/>
      <c r="G51" s="609" t="s">
        <v>353</v>
      </c>
    </row>
    <row r="52" spans="1:7" s="583" customFormat="1" ht="16.5" thickBot="1">
      <c r="A52" s="640" t="s">
        <v>354</v>
      </c>
      <c r="B52" s="641"/>
      <c r="C52" s="642">
        <f ca="1">C31+C51</f>
        <v>37402</v>
      </c>
      <c r="D52" s="641"/>
      <c r="E52" s="641"/>
      <c r="F52" s="641"/>
      <c r="G52" s="643"/>
    </row>
    <row r="55" spans="1:7" ht="15">
      <c r="B55" s="645" t="s">
        <v>355</v>
      </c>
      <c r="C55" s="646"/>
    </row>
    <row r="56" spans="1:7">
      <c r="B56" s="648" t="s">
        <v>356</v>
      </c>
      <c r="C56" s="649">
        <f ca="1">ROUND(C51/C52,3)</f>
        <v>0.21</v>
      </c>
    </row>
    <row r="57" spans="1:7">
      <c r="B57" s="648" t="s">
        <v>357</v>
      </c>
      <c r="C57" s="650">
        <f ca="1">1-C56</f>
        <v>0.79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02" t="s">
        <v>1170</v>
      </c>
      <c r="B1" s="3802"/>
      <c r="C1" s="3802"/>
      <c r="D1" s="3802"/>
      <c r="E1" s="3802"/>
      <c r="F1" s="3802"/>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803" t="s">
        <v>1183</v>
      </c>
      <c r="B2" s="3803"/>
      <c r="C2" s="3803"/>
      <c r="D2" s="3803"/>
      <c r="E2" s="3803"/>
      <c r="F2" s="3803"/>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804"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805"/>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2495</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202</v>
      </c>
      <c r="B110" s="1530" t="s">
        <v>1539</v>
      </c>
      <c r="C110" s="1530">
        <v>10520</v>
      </c>
      <c r="D110" s="1530">
        <v>10490</v>
      </c>
      <c r="E110" s="1530">
        <v>10760</v>
      </c>
      <c r="F110" s="1531">
        <v>2160</v>
      </c>
    </row>
    <row r="111" spans="1:6" s="1517" customFormat="1" ht="14.25" customHeight="1" thickBot="1">
      <c r="A111" s="1529" t="s">
        <v>202</v>
      </c>
      <c r="B111" s="1523" t="s">
        <v>1206</v>
      </c>
      <c r="C111" s="1523">
        <v>10090</v>
      </c>
      <c r="D111" s="1523">
        <v>10060</v>
      </c>
      <c r="E111" s="1523">
        <v>10300</v>
      </c>
      <c r="F111" s="1537">
        <v>2010</v>
      </c>
    </row>
    <row r="112" spans="1:6" s="1517" customFormat="1" ht="14.25" customHeight="1" thickBot="1">
      <c r="A112" s="1529" t="s">
        <v>202</v>
      </c>
      <c r="B112" s="1523" t="s">
        <v>1219</v>
      </c>
      <c r="C112" s="1523">
        <v>9910</v>
      </c>
      <c r="D112" s="1523">
        <v>9850</v>
      </c>
      <c r="E112" s="1523">
        <v>9960</v>
      </c>
      <c r="F112" s="1537">
        <v>2090</v>
      </c>
    </row>
    <row r="113" spans="1:6" s="1517" customFormat="1" ht="14.25" customHeight="1" thickBot="1">
      <c r="A113" s="1529" t="s">
        <v>202</v>
      </c>
      <c r="B113" s="1523" t="s">
        <v>1232</v>
      </c>
      <c r="C113" s="1523">
        <v>11430</v>
      </c>
      <c r="D113" s="1523">
        <v>11400</v>
      </c>
      <c r="E113" s="1523">
        <v>11710</v>
      </c>
      <c r="F113" s="1537">
        <v>2050</v>
      </c>
    </row>
    <row r="114" spans="1:6" s="1517" customFormat="1" ht="14.25" customHeight="1" thickBot="1">
      <c r="A114" s="1529" t="s">
        <v>202</v>
      </c>
      <c r="B114" s="1523" t="s">
        <v>1244</v>
      </c>
      <c r="C114" s="1523">
        <v>11390</v>
      </c>
      <c r="D114" s="1523">
        <v>11350</v>
      </c>
      <c r="E114" s="1523">
        <v>11640</v>
      </c>
      <c r="F114" s="1537">
        <v>1620</v>
      </c>
    </row>
    <row r="115" spans="1:6" s="1517" customFormat="1" ht="14.25" customHeight="1" thickBot="1">
      <c r="A115" s="1529" t="s">
        <v>202</v>
      </c>
      <c r="B115" s="1523" t="s">
        <v>1255</v>
      </c>
      <c r="C115" s="1523">
        <v>9930</v>
      </c>
      <c r="D115" s="1523">
        <v>9900</v>
      </c>
      <c r="E115" s="1523">
        <v>10160</v>
      </c>
      <c r="F115" s="1537">
        <v>1580</v>
      </c>
    </row>
    <row r="116" spans="1:6" s="1517" customFormat="1" ht="14.25" customHeight="1" thickBot="1">
      <c r="A116" s="1529" t="s">
        <v>202</v>
      </c>
      <c r="B116" s="1523" t="s">
        <v>1266</v>
      </c>
      <c r="C116" s="1523">
        <v>9150</v>
      </c>
      <c r="D116" s="1523">
        <v>9120</v>
      </c>
      <c r="E116" s="1523">
        <v>9380</v>
      </c>
      <c r="F116" s="1537">
        <v>1750</v>
      </c>
    </row>
    <row r="117" spans="1:6" s="1517" customFormat="1" ht="14.25" customHeight="1" thickBot="1">
      <c r="A117" s="1529" t="s">
        <v>202</v>
      </c>
      <c r="B117" s="1523" t="s">
        <v>1277</v>
      </c>
      <c r="C117" s="1523">
        <v>10680</v>
      </c>
      <c r="D117" s="1523">
        <v>10650</v>
      </c>
      <c r="E117" s="1523">
        <v>10970</v>
      </c>
      <c r="F117" s="1537">
        <v>1730</v>
      </c>
    </row>
    <row r="118" spans="1:6" s="1517" customFormat="1" ht="14.25" customHeight="1" thickBot="1">
      <c r="A118" s="1529" t="s">
        <v>202</v>
      </c>
      <c r="B118" s="1523" t="s">
        <v>1289</v>
      </c>
      <c r="C118" s="1523">
        <v>10080</v>
      </c>
      <c r="D118" s="1523">
        <v>10050</v>
      </c>
      <c r="E118" s="1523">
        <v>10350</v>
      </c>
      <c r="F118" s="1537">
        <v>1920</v>
      </c>
    </row>
    <row r="119" spans="1:6" s="1517" customFormat="1" ht="14.25" customHeight="1" thickBot="1">
      <c r="A119" s="1529" t="s">
        <v>202</v>
      </c>
      <c r="B119" s="1523" t="s">
        <v>1299</v>
      </c>
      <c r="C119" s="1523">
        <v>9450</v>
      </c>
      <c r="D119" s="1523">
        <v>9410</v>
      </c>
      <c r="E119" s="1523">
        <v>9680</v>
      </c>
      <c r="F119" s="1537">
        <v>1880</v>
      </c>
    </row>
    <row r="120" spans="1:6" s="1517" customFormat="1" ht="14.25" customHeight="1" thickBot="1">
      <c r="A120" s="1529" t="s">
        <v>202</v>
      </c>
      <c r="B120" s="1523" t="s">
        <v>1309</v>
      </c>
      <c r="C120" s="1523">
        <v>8730</v>
      </c>
      <c r="D120" s="1523">
        <v>8700</v>
      </c>
      <c r="E120" s="1523">
        <v>8950</v>
      </c>
      <c r="F120" s="1537">
        <v>1830</v>
      </c>
    </row>
    <row r="121" spans="1:6" s="1517" customFormat="1" ht="14.25" customHeight="1" thickBot="1">
      <c r="A121" s="1529" t="s">
        <v>202</v>
      </c>
      <c r="B121" s="1523" t="s">
        <v>1319</v>
      </c>
      <c r="C121" s="1523">
        <v>10070</v>
      </c>
      <c r="D121" s="1523">
        <v>10040</v>
      </c>
      <c r="E121" s="1523">
        <v>10270</v>
      </c>
      <c r="F121" s="1537">
        <v>1960</v>
      </c>
    </row>
    <row r="122" spans="1:6" s="1517" customFormat="1" ht="14.25" customHeight="1" thickBot="1">
      <c r="A122" s="1529" t="s">
        <v>202</v>
      </c>
      <c r="B122" s="1523" t="s">
        <v>1329</v>
      </c>
      <c r="C122" s="1523">
        <v>10500</v>
      </c>
      <c r="D122" s="1523">
        <v>10470</v>
      </c>
      <c r="E122" s="1523">
        <v>10780</v>
      </c>
      <c r="F122" s="1537">
        <v>2180</v>
      </c>
    </row>
    <row r="123" spans="1:6" s="1517" customFormat="1" ht="14.25" customHeight="1" thickBot="1">
      <c r="A123" s="1529" t="s">
        <v>202</v>
      </c>
      <c r="B123" s="1523" t="s">
        <v>1340</v>
      </c>
      <c r="C123" s="1523">
        <v>10390</v>
      </c>
      <c r="D123" s="1523">
        <v>10360</v>
      </c>
      <c r="E123" s="1523">
        <v>10660</v>
      </c>
      <c r="F123" s="1537">
        <v>2040</v>
      </c>
    </row>
    <row r="124" spans="1:6" s="1517" customFormat="1" ht="14.25" customHeight="1" thickBot="1">
      <c r="A124" s="1529" t="s">
        <v>202</v>
      </c>
      <c r="B124" s="1523" t="s">
        <v>1351</v>
      </c>
      <c r="C124" s="1523">
        <v>10390</v>
      </c>
      <c r="D124" s="1523">
        <v>10360</v>
      </c>
      <c r="E124" s="1523">
        <v>10680</v>
      </c>
      <c r="F124" s="1541"/>
    </row>
    <row r="125" spans="1:6" s="1517" customFormat="1" ht="14.25" customHeight="1" thickBot="1">
      <c r="A125" s="1529" t="s">
        <v>202</v>
      </c>
      <c r="B125" s="1523" t="s">
        <v>1361</v>
      </c>
      <c r="C125" s="1523">
        <v>10440</v>
      </c>
      <c r="D125" s="1523">
        <v>10410</v>
      </c>
      <c r="E125" s="1523">
        <v>10710</v>
      </c>
      <c r="F125" s="1541"/>
    </row>
    <row r="126" spans="1:6" s="1517" customFormat="1" ht="14.25" customHeight="1" thickBot="1">
      <c r="A126" s="1529" t="s">
        <v>202</v>
      </c>
      <c r="B126" s="1523" t="s">
        <v>1371</v>
      </c>
      <c r="C126" s="1523">
        <v>10780</v>
      </c>
      <c r="D126" s="1523">
        <v>10750</v>
      </c>
      <c r="E126" s="1523">
        <v>11080</v>
      </c>
      <c r="F126" s="1541"/>
    </row>
    <row r="127" spans="1:6" s="1517" customFormat="1" ht="14.25" customHeight="1" thickBot="1">
      <c r="A127" s="1529" t="s">
        <v>202</v>
      </c>
      <c r="B127" s="1523" t="s">
        <v>1381</v>
      </c>
      <c r="C127" s="1523">
        <v>10100</v>
      </c>
      <c r="D127" s="1523">
        <v>10070</v>
      </c>
      <c r="E127" s="1523">
        <v>10350</v>
      </c>
      <c r="F127" s="1541"/>
    </row>
    <row r="128" spans="1:6" s="1517" customFormat="1" ht="14.25" customHeight="1" thickBot="1">
      <c r="A128" s="1529" t="s">
        <v>202</v>
      </c>
      <c r="B128" s="1523" t="s">
        <v>1391</v>
      </c>
      <c r="C128" s="1523">
        <v>9200</v>
      </c>
      <c r="D128" s="1523">
        <v>9160</v>
      </c>
      <c r="E128" s="1523">
        <v>9660</v>
      </c>
      <c r="F128" s="1541"/>
    </row>
    <row r="129" spans="1:6" s="1517" customFormat="1" ht="14.25" customHeight="1" thickBot="1">
      <c r="A129" s="1529" t="s">
        <v>202</v>
      </c>
      <c r="B129" s="1523" t="s">
        <v>1400</v>
      </c>
      <c r="C129" s="1523">
        <v>10340</v>
      </c>
      <c r="D129" s="1523">
        <v>10310</v>
      </c>
      <c r="E129" s="1523">
        <v>10580</v>
      </c>
      <c r="F129" s="1541"/>
    </row>
    <row r="130" spans="1:6" s="1517" customFormat="1" ht="14.25" customHeight="1" thickBot="1">
      <c r="A130" s="1529" t="s">
        <v>202</v>
      </c>
      <c r="B130" s="1523" t="s">
        <v>1409</v>
      </c>
      <c r="C130" s="1523">
        <v>9680</v>
      </c>
      <c r="D130" s="1523">
        <v>9660</v>
      </c>
      <c r="E130" s="1523">
        <v>9950</v>
      </c>
      <c r="F130" s="1541"/>
    </row>
    <row r="131" spans="1:6" s="1517" customFormat="1" ht="14.25" customHeight="1" thickBot="1">
      <c r="A131" s="1529" t="s">
        <v>202</v>
      </c>
      <c r="B131" s="1523" t="s">
        <v>1417</v>
      </c>
      <c r="C131" s="1523">
        <v>9540</v>
      </c>
      <c r="D131" s="1523">
        <v>9510</v>
      </c>
      <c r="E131" s="1523">
        <v>9790</v>
      </c>
      <c r="F131" s="1541"/>
    </row>
    <row r="132" spans="1:6" s="1517" customFormat="1" ht="14.25" customHeight="1" thickBot="1">
      <c r="A132" s="1529" t="s">
        <v>202</v>
      </c>
      <c r="B132" s="1523" t="s">
        <v>1424</v>
      </c>
      <c r="C132" s="1523">
        <v>9320</v>
      </c>
      <c r="D132" s="1523">
        <v>9290</v>
      </c>
      <c r="E132" s="1523">
        <v>9570</v>
      </c>
      <c r="F132" s="1541"/>
    </row>
    <row r="133" spans="1:6" s="1517" customFormat="1" ht="14.25" customHeight="1" thickBot="1">
      <c r="A133" s="1529" t="s">
        <v>202</v>
      </c>
      <c r="B133" s="1523" t="s">
        <v>1431</v>
      </c>
      <c r="C133" s="1523">
        <v>10310</v>
      </c>
      <c r="D133" s="1523">
        <v>10280</v>
      </c>
      <c r="E133" s="1523">
        <v>10530</v>
      </c>
      <c r="F133" s="1541"/>
    </row>
    <row r="134" spans="1:6" s="1517" customFormat="1" ht="14.25" customHeight="1" thickBot="1">
      <c r="A134" s="1529" t="s">
        <v>202</v>
      </c>
      <c r="B134" s="1523" t="s">
        <v>1438</v>
      </c>
      <c r="C134" s="1523">
        <v>10370</v>
      </c>
      <c r="D134" s="1523">
        <v>10310</v>
      </c>
      <c r="E134" s="1523">
        <v>10240</v>
      </c>
      <c r="F134" s="1537">
        <v>2060</v>
      </c>
    </row>
    <row r="135" spans="1:6" s="1517" customFormat="1" ht="14.25" customHeight="1" thickBot="1">
      <c r="A135" s="1529" t="s">
        <v>202</v>
      </c>
      <c r="B135" s="1523" t="s">
        <v>1445</v>
      </c>
      <c r="C135" s="1523">
        <v>9300</v>
      </c>
      <c r="D135" s="1523">
        <v>9270</v>
      </c>
      <c r="E135" s="1523">
        <v>9350</v>
      </c>
      <c r="F135" s="1541"/>
    </row>
    <row r="136" spans="1:6" s="1517" customFormat="1" ht="14.25" customHeight="1" thickBot="1">
      <c r="A136" s="1529" t="s">
        <v>202</v>
      </c>
      <c r="B136" s="1523" t="s">
        <v>1452</v>
      </c>
      <c r="C136" s="1523">
        <v>10160</v>
      </c>
      <c r="D136" s="1523">
        <v>10110</v>
      </c>
      <c r="E136" s="1523">
        <v>10080</v>
      </c>
      <c r="F136" s="1541"/>
    </row>
    <row r="137" spans="1:6" s="1517" customFormat="1" ht="14.25" customHeight="1" thickBot="1">
      <c r="A137" s="1529" t="s">
        <v>202</v>
      </c>
      <c r="B137" s="1523" t="s">
        <v>1459</v>
      </c>
      <c r="C137" s="1523">
        <v>9200</v>
      </c>
      <c r="D137" s="1523">
        <v>9170</v>
      </c>
      <c r="E137" s="1523">
        <v>9450</v>
      </c>
      <c r="F137" s="1541"/>
    </row>
    <row r="138" spans="1:6" s="1517" customFormat="1" ht="14.25" customHeight="1" thickBot="1">
      <c r="A138" s="1529" t="s">
        <v>202</v>
      </c>
      <c r="B138" s="1523" t="s">
        <v>1464</v>
      </c>
      <c r="C138" s="1523">
        <v>9690</v>
      </c>
      <c r="D138" s="1523">
        <v>9660</v>
      </c>
      <c r="E138" s="1523">
        <v>9840</v>
      </c>
      <c r="F138" s="1541"/>
    </row>
    <row r="139" spans="1:6" s="1517" customFormat="1" ht="14.25" customHeight="1" thickBot="1">
      <c r="A139" s="1529" t="s">
        <v>202</v>
      </c>
      <c r="B139" s="1523" t="s">
        <v>1468</v>
      </c>
      <c r="C139" s="1523">
        <v>10290</v>
      </c>
      <c r="D139" s="1523">
        <v>10260</v>
      </c>
      <c r="E139" s="1523">
        <v>10550</v>
      </c>
      <c r="F139" s="1537">
        <v>1700</v>
      </c>
    </row>
    <row r="140" spans="1:6" s="1517" customFormat="1" ht="14.25" customHeight="1" thickBot="1">
      <c r="A140" s="1529" t="s">
        <v>202</v>
      </c>
      <c r="B140" s="1523" t="s">
        <v>1473</v>
      </c>
      <c r="C140" s="1523">
        <v>9740</v>
      </c>
      <c r="D140" s="1523">
        <v>9710</v>
      </c>
      <c r="E140" s="1523">
        <v>10000</v>
      </c>
      <c r="F140" s="1537">
        <v>2000</v>
      </c>
    </row>
    <row r="141" spans="1:6" s="1517" customFormat="1" ht="14.25" customHeight="1" thickBot="1">
      <c r="A141" s="1529" t="s">
        <v>202</v>
      </c>
      <c r="B141" s="1523" t="s">
        <v>1478</v>
      </c>
      <c r="C141" s="1523">
        <v>9810</v>
      </c>
      <c r="D141" s="1523">
        <v>9770</v>
      </c>
      <c r="E141" s="1523">
        <v>10060</v>
      </c>
      <c r="F141" s="1541"/>
    </row>
    <row r="142" spans="1:6" s="1517" customFormat="1" ht="14.25" customHeight="1" thickBot="1">
      <c r="A142" s="1529" t="s">
        <v>202</v>
      </c>
      <c r="B142" s="1523" t="s">
        <v>1483</v>
      </c>
      <c r="C142" s="1523">
        <v>9300</v>
      </c>
      <c r="D142" s="1523">
        <v>9270</v>
      </c>
      <c r="E142" s="1523">
        <v>9530</v>
      </c>
      <c r="F142" s="1541"/>
    </row>
    <row r="143" spans="1:6" s="1517" customFormat="1" ht="14.25" customHeight="1" thickBot="1">
      <c r="A143" s="1529" t="s">
        <v>202</v>
      </c>
      <c r="B143" s="1523" t="s">
        <v>1488</v>
      </c>
      <c r="C143" s="1523">
        <v>10080</v>
      </c>
      <c r="D143" s="1523">
        <v>10050</v>
      </c>
      <c r="E143" s="1523">
        <v>10340</v>
      </c>
      <c r="F143" s="1541"/>
    </row>
    <row r="144" spans="1:6" s="1517" customFormat="1" ht="14.25" customHeight="1" thickBot="1">
      <c r="A144" s="1529" t="s">
        <v>202</v>
      </c>
      <c r="B144" s="1523" t="s">
        <v>1492</v>
      </c>
      <c r="C144" s="1523">
        <v>9820</v>
      </c>
      <c r="D144" s="1523">
        <v>9750</v>
      </c>
      <c r="E144" s="1523">
        <v>9900</v>
      </c>
      <c r="F144" s="1541"/>
    </row>
    <row r="145" spans="1:6" s="1517" customFormat="1" ht="14.25" customHeight="1" thickBot="1">
      <c r="A145" s="1529" t="s">
        <v>202</v>
      </c>
      <c r="B145" s="1523" t="s">
        <v>1496</v>
      </c>
      <c r="C145" s="1523"/>
      <c r="D145" s="1523"/>
      <c r="E145" s="1523"/>
      <c r="F145" s="1537">
        <v>1740</v>
      </c>
    </row>
    <row r="146" spans="1:6" s="1517" customFormat="1" ht="14.25" customHeight="1" thickBot="1">
      <c r="A146" s="1529" t="s">
        <v>202</v>
      </c>
      <c r="B146" s="1523" t="s">
        <v>1500</v>
      </c>
      <c r="C146" s="1523"/>
      <c r="D146" s="1523"/>
      <c r="E146" s="1523"/>
      <c r="F146" s="1537">
        <v>1740</v>
      </c>
    </row>
    <row r="147" spans="1:6" s="1517" customFormat="1" ht="14.25" customHeight="1" thickBot="1">
      <c r="A147" s="1529" t="s">
        <v>202</v>
      </c>
      <c r="B147" s="1523" t="s">
        <v>1504</v>
      </c>
      <c r="C147" s="1523"/>
      <c r="D147" s="1523"/>
      <c r="E147" s="1523"/>
      <c r="F147" s="1537">
        <v>1740</v>
      </c>
    </row>
    <row r="148" spans="1:6" s="1517" customFormat="1" ht="14.25" customHeight="1" thickBot="1">
      <c r="A148" s="1529" t="s">
        <v>202</v>
      </c>
      <c r="B148" s="1523" t="s">
        <v>1508</v>
      </c>
      <c r="C148" s="1523"/>
      <c r="D148" s="1523"/>
      <c r="E148" s="1523"/>
      <c r="F148" s="1537">
        <v>1740</v>
      </c>
    </row>
    <row r="149" spans="1:6" s="1517" customFormat="1" ht="14.25" customHeight="1" thickBot="1">
      <c r="A149" s="1529" t="s">
        <v>202</v>
      </c>
      <c r="B149" s="1523" t="s">
        <v>1512</v>
      </c>
      <c r="C149" s="1523"/>
      <c r="D149" s="1523"/>
      <c r="E149" s="1523"/>
      <c r="F149" s="1537">
        <v>1740</v>
      </c>
    </row>
    <row r="150" spans="1:6" s="1517" customFormat="1" ht="14.25" customHeight="1" thickBot="1">
      <c r="A150" s="1529" t="s">
        <v>202</v>
      </c>
      <c r="B150" s="1523" t="s">
        <v>1515</v>
      </c>
      <c r="C150" s="1523"/>
      <c r="D150" s="1523"/>
      <c r="E150" s="1523"/>
      <c r="F150" s="1537">
        <v>1610</v>
      </c>
    </row>
    <row r="151" spans="1:6" s="1517" customFormat="1" ht="14.25" customHeight="1" thickBot="1">
      <c r="A151" s="1529" t="s">
        <v>202</v>
      </c>
      <c r="B151" s="1523" t="s">
        <v>1518</v>
      </c>
      <c r="C151" s="1523"/>
      <c r="D151" s="1523"/>
      <c r="E151" s="1523"/>
      <c r="F151" s="1537">
        <v>1610</v>
      </c>
    </row>
    <row r="152" spans="1:6" s="1517" customFormat="1" ht="14.25" customHeight="1" thickBot="1">
      <c r="A152" s="1529" t="s">
        <v>202</v>
      </c>
      <c r="B152" s="1523" t="s">
        <v>1521</v>
      </c>
      <c r="C152" s="1523"/>
      <c r="D152" s="1523"/>
      <c r="E152" s="1523"/>
      <c r="F152" s="1537">
        <v>1610</v>
      </c>
    </row>
    <row r="153" spans="1:6" s="1517" customFormat="1" ht="14.25" customHeight="1" thickBot="1">
      <c r="A153" s="1529" t="s">
        <v>202</v>
      </c>
      <c r="B153" s="1523" t="s">
        <v>1524</v>
      </c>
      <c r="C153" s="1523"/>
      <c r="D153" s="1523"/>
      <c r="E153" s="1523"/>
      <c r="F153" s="1537">
        <v>1610</v>
      </c>
    </row>
    <row r="154" spans="1:6" s="1517" customFormat="1" ht="14.25" customHeight="1" thickBot="1">
      <c r="A154" s="1529" t="s">
        <v>202</v>
      </c>
      <c r="B154" s="1523" t="s">
        <v>1527</v>
      </c>
      <c r="C154" s="1523"/>
      <c r="D154" s="1523"/>
      <c r="E154" s="1523"/>
      <c r="F154" s="1537">
        <v>1610</v>
      </c>
    </row>
    <row r="155" spans="1:6" s="1517" customFormat="1" ht="14.25" customHeight="1" thickBot="1">
      <c r="A155" s="1529" t="s">
        <v>202</v>
      </c>
      <c r="B155" s="1523" t="s">
        <v>1530</v>
      </c>
      <c r="C155" s="1523"/>
      <c r="D155" s="1523"/>
      <c r="E155" s="1523"/>
      <c r="F155" s="1537">
        <v>1800</v>
      </c>
    </row>
    <row r="156" spans="1:6" s="1517" customFormat="1" ht="14.25" customHeight="1" thickBot="1">
      <c r="A156" s="1529" t="s">
        <v>202</v>
      </c>
      <c r="B156" s="1523" t="s">
        <v>1532</v>
      </c>
      <c r="C156" s="1523"/>
      <c r="D156" s="1523"/>
      <c r="E156" s="1523"/>
      <c r="F156" s="1537">
        <v>1910</v>
      </c>
    </row>
    <row r="157" spans="1:6" s="1517" customFormat="1" ht="14.25" customHeight="1" thickBot="1">
      <c r="A157" s="1529" t="s">
        <v>202</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2495</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02" t="s">
        <v>2132</v>
      </c>
      <c r="B1" s="3802"/>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1226</v>
      </c>
      <c r="B6" s="1523" t="s">
        <v>2141</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2142</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2143</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2144</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2145</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2146</v>
      </c>
      <c r="C72" s="2131"/>
      <c r="D72" s="2131"/>
      <c r="E72" s="2131"/>
      <c r="F72" s="2119">
        <v>0.05</v>
      </c>
    </row>
    <row r="73" spans="1:6" ht="14.25" thickBot="1">
      <c r="A73" s="1529" t="s">
        <v>1137</v>
      </c>
      <c r="B73" s="1523" t="s">
        <v>2147</v>
      </c>
      <c r="C73" s="2131"/>
      <c r="D73" s="2131"/>
      <c r="E73" s="2131"/>
      <c r="F73" s="2119">
        <v>0.05</v>
      </c>
    </row>
    <row r="74" spans="1:6" ht="14.25" thickBot="1">
      <c r="A74" s="1529" t="s">
        <v>1137</v>
      </c>
      <c r="B74" s="1523" t="s">
        <v>2148</v>
      </c>
      <c r="C74" s="2131"/>
      <c r="D74" s="2131"/>
      <c r="E74" s="2131"/>
      <c r="F74" s="2119">
        <v>0.05</v>
      </c>
    </row>
    <row r="75" spans="1:6" ht="14.25" thickBot="1">
      <c r="A75" s="1539" t="s">
        <v>1137</v>
      </c>
      <c r="B75" s="1535" t="s">
        <v>2149</v>
      </c>
      <c r="C75" s="2128"/>
      <c r="D75" s="2128"/>
      <c r="E75" s="2128"/>
      <c r="F75" s="2121">
        <v>0.05</v>
      </c>
    </row>
    <row r="76" spans="1:6" ht="14.25" thickBot="1">
      <c r="A76" s="1529" t="s">
        <v>1537</v>
      </c>
      <c r="B76" s="1530" t="s">
        <v>2150</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2151</v>
      </c>
      <c r="C102" s="2131"/>
      <c r="D102" s="2131"/>
      <c r="E102" s="2131"/>
      <c r="F102" s="2119">
        <v>0.05</v>
      </c>
    </row>
    <row r="103" spans="1:6" ht="24.75" thickBot="1">
      <c r="A103" s="1529" t="s">
        <v>1537</v>
      </c>
      <c r="B103" s="1523" t="s">
        <v>2152</v>
      </c>
      <c r="C103" s="2131"/>
      <c r="D103" s="2131"/>
      <c r="E103" s="2131"/>
      <c r="F103" s="2119">
        <v>0.05</v>
      </c>
    </row>
    <row r="104" spans="1:6" ht="14.25" thickBot="1">
      <c r="A104" s="1529" t="s">
        <v>1537</v>
      </c>
      <c r="B104" s="1523" t="s">
        <v>2153</v>
      </c>
      <c r="C104" s="2131"/>
      <c r="D104" s="2131"/>
      <c r="E104" s="2131"/>
      <c r="F104" s="2119">
        <v>0.05</v>
      </c>
    </row>
    <row r="105" spans="1:6" ht="14.25" thickBot="1">
      <c r="A105" s="1529" t="s">
        <v>1537</v>
      </c>
      <c r="B105" s="1523" t="s">
        <v>2154</v>
      </c>
      <c r="C105" s="2131"/>
      <c r="D105" s="2131"/>
      <c r="E105" s="2131"/>
      <c r="F105" s="2119">
        <v>0.05</v>
      </c>
    </row>
    <row r="106" spans="1:6" ht="14.25" thickBot="1">
      <c r="A106" s="1529" t="s">
        <v>1537</v>
      </c>
      <c r="B106" s="1523" t="s">
        <v>2155</v>
      </c>
      <c r="C106" s="2131"/>
      <c r="D106" s="2131"/>
      <c r="E106" s="2131"/>
      <c r="F106" s="2119">
        <v>0.05</v>
      </c>
    </row>
    <row r="107" spans="1:6" ht="24.75" thickBot="1">
      <c r="A107" s="1529" t="s">
        <v>1537</v>
      </c>
      <c r="B107" s="1523" t="s">
        <v>2156</v>
      </c>
      <c r="C107" s="2131"/>
      <c r="D107" s="2131"/>
      <c r="E107" s="2131"/>
      <c r="F107" s="2119">
        <v>0.05</v>
      </c>
    </row>
    <row r="108" spans="1:6" ht="24.75" thickBot="1">
      <c r="A108" s="1529" t="s">
        <v>1537</v>
      </c>
      <c r="B108" s="1523" t="s">
        <v>2157</v>
      </c>
      <c r="C108" s="2131"/>
      <c r="D108" s="2131"/>
      <c r="E108" s="2131"/>
      <c r="F108" s="2119">
        <v>0.05</v>
      </c>
    </row>
    <row r="109" spans="1:6" ht="24.75" thickBot="1">
      <c r="A109" s="1539" t="s">
        <v>1537</v>
      </c>
      <c r="B109" s="1535" t="s">
        <v>2158</v>
      </c>
      <c r="C109" s="2128"/>
      <c r="D109" s="2128"/>
      <c r="E109" s="2128"/>
      <c r="F109" s="2121">
        <v>0.05</v>
      </c>
    </row>
    <row r="110" spans="1:6" ht="14.25" thickBot="1">
      <c r="A110" s="1529" t="s">
        <v>202</v>
      </c>
      <c r="B110" s="1530" t="s">
        <v>2159</v>
      </c>
      <c r="C110" s="2116">
        <v>0.129</v>
      </c>
      <c r="D110" s="2116">
        <v>0.129</v>
      </c>
      <c r="E110" s="2116">
        <v>0.126</v>
      </c>
      <c r="F110" s="2117">
        <v>0.13</v>
      </c>
    </row>
    <row r="111" spans="1:6" ht="14.25" thickBot="1">
      <c r="A111" s="1529" t="s">
        <v>202</v>
      </c>
      <c r="B111" s="1523" t="s">
        <v>1206</v>
      </c>
      <c r="C111" s="2118">
        <v>0.11</v>
      </c>
      <c r="D111" s="2118">
        <v>0.11</v>
      </c>
      <c r="E111" s="2118">
        <v>9.9000000000000005E-2</v>
      </c>
      <c r="F111" s="2119">
        <v>0.128</v>
      </c>
    </row>
    <row r="112" spans="1:6" ht="14.25" thickBot="1">
      <c r="A112" s="1529" t="s">
        <v>202</v>
      </c>
      <c r="B112" s="1523" t="s">
        <v>1219</v>
      </c>
      <c r="C112" s="2118">
        <v>0.125</v>
      </c>
      <c r="D112" s="2118">
        <v>0.125</v>
      </c>
      <c r="E112" s="2118">
        <v>0.12</v>
      </c>
      <c r="F112" s="2119">
        <v>0.125</v>
      </c>
    </row>
    <row r="113" spans="1:6" ht="14.25" thickBot="1">
      <c r="A113" s="1529" t="s">
        <v>202</v>
      </c>
      <c r="B113" s="1523" t="s">
        <v>1232</v>
      </c>
      <c r="C113" s="2118">
        <v>0.13</v>
      </c>
      <c r="D113" s="2118">
        <v>0.13</v>
      </c>
      <c r="E113" s="2118">
        <v>0.13</v>
      </c>
      <c r="F113" s="2119">
        <v>0.13</v>
      </c>
    </row>
    <row r="114" spans="1:6" ht="14.25" thickBot="1">
      <c r="A114" s="1529" t="s">
        <v>202</v>
      </c>
      <c r="B114" s="1523" t="s">
        <v>1244</v>
      </c>
      <c r="C114" s="2118">
        <v>0.123</v>
      </c>
      <c r="D114" s="2118">
        <v>0.123</v>
      </c>
      <c r="E114" s="2118">
        <v>0.12</v>
      </c>
      <c r="F114" s="2119">
        <v>0.13</v>
      </c>
    </row>
    <row r="115" spans="1:6" ht="14.25" thickBot="1">
      <c r="A115" s="1529" t="s">
        <v>202</v>
      </c>
      <c r="B115" s="1523" t="s">
        <v>1255</v>
      </c>
      <c r="C115" s="2118">
        <v>0.125</v>
      </c>
      <c r="D115" s="2118">
        <v>0.125</v>
      </c>
      <c r="E115" s="2118">
        <v>0.11700000000000001</v>
      </c>
      <c r="F115" s="2119">
        <v>0.13</v>
      </c>
    </row>
    <row r="116" spans="1:6" ht="14.25" thickBot="1">
      <c r="A116" s="1529" t="s">
        <v>202</v>
      </c>
      <c r="B116" s="1523" t="s">
        <v>1266</v>
      </c>
      <c r="C116" s="2118">
        <v>0.11700000000000001</v>
      </c>
      <c r="D116" s="2118">
        <v>0.11700000000000001</v>
      </c>
      <c r="E116" s="2118">
        <v>8.7999999999999995E-2</v>
      </c>
      <c r="F116" s="2119">
        <v>0.13</v>
      </c>
    </row>
    <row r="117" spans="1:6" ht="14.25" thickBot="1">
      <c r="A117" s="1529" t="s">
        <v>202</v>
      </c>
      <c r="B117" s="1523" t="s">
        <v>1277</v>
      </c>
      <c r="C117" s="2118">
        <v>0.13</v>
      </c>
      <c r="D117" s="2118">
        <v>0.13</v>
      </c>
      <c r="E117" s="2118">
        <v>0.129</v>
      </c>
      <c r="F117" s="2119">
        <v>0.13</v>
      </c>
    </row>
    <row r="118" spans="1:6" ht="14.25" thickBot="1">
      <c r="A118" s="1529" t="s">
        <v>202</v>
      </c>
      <c r="B118" s="1523" t="s">
        <v>1289</v>
      </c>
      <c r="C118" s="2118">
        <v>0.123</v>
      </c>
      <c r="D118" s="2118">
        <v>0.123</v>
      </c>
      <c r="E118" s="2118">
        <v>0.11600000000000001</v>
      </c>
      <c r="F118" s="2119">
        <v>0.13</v>
      </c>
    </row>
    <row r="119" spans="1:6" ht="14.25" thickBot="1">
      <c r="A119" s="1529" t="s">
        <v>202</v>
      </c>
      <c r="B119" s="1523" t="s">
        <v>1299</v>
      </c>
      <c r="C119" s="2118">
        <v>0.127</v>
      </c>
      <c r="D119" s="2118">
        <v>0.127</v>
      </c>
      <c r="E119" s="2118">
        <v>0.124</v>
      </c>
      <c r="F119" s="2119">
        <v>0.13</v>
      </c>
    </row>
    <row r="120" spans="1:6" ht="14.25" thickBot="1">
      <c r="A120" s="1529" t="s">
        <v>202</v>
      </c>
      <c r="B120" s="1523" t="s">
        <v>1309</v>
      </c>
      <c r="C120" s="2118">
        <v>0.125</v>
      </c>
      <c r="D120" s="2118">
        <v>0.125</v>
      </c>
      <c r="E120" s="2118">
        <v>0.122</v>
      </c>
      <c r="F120" s="2119">
        <v>0.13</v>
      </c>
    </row>
    <row r="121" spans="1:6" ht="14.25" thickBot="1">
      <c r="A121" s="1529" t="s">
        <v>202</v>
      </c>
      <c r="B121" s="1523" t="s">
        <v>1319</v>
      </c>
      <c r="C121" s="2118">
        <v>0.13</v>
      </c>
      <c r="D121" s="2118">
        <v>0.13</v>
      </c>
      <c r="E121" s="2118">
        <v>0.13</v>
      </c>
      <c r="F121" s="2119">
        <v>0.13</v>
      </c>
    </row>
    <row r="122" spans="1:6" ht="14.25" thickBot="1">
      <c r="A122" s="1529" t="s">
        <v>202</v>
      </c>
      <c r="B122" s="1523" t="s">
        <v>1329</v>
      </c>
      <c r="C122" s="2118">
        <v>0.13</v>
      </c>
      <c r="D122" s="2118">
        <v>0.13</v>
      </c>
      <c r="E122" s="2118">
        <v>0.125</v>
      </c>
      <c r="F122" s="2119">
        <v>0.13</v>
      </c>
    </row>
    <row r="123" spans="1:6" ht="14.25" thickBot="1">
      <c r="A123" s="1529" t="s">
        <v>202</v>
      </c>
      <c r="B123" s="1523" t="s">
        <v>1340</v>
      </c>
      <c r="C123" s="2118">
        <v>0.129</v>
      </c>
      <c r="D123" s="2118">
        <v>0.129</v>
      </c>
      <c r="E123" s="2118">
        <v>0.123</v>
      </c>
      <c r="F123" s="2119">
        <v>0.13</v>
      </c>
    </row>
    <row r="124" spans="1:6" ht="14.25" thickBot="1">
      <c r="A124" s="1529" t="s">
        <v>202</v>
      </c>
      <c r="B124" s="1523" t="s">
        <v>1351</v>
      </c>
      <c r="C124" s="2118">
        <v>0.10199999999999999</v>
      </c>
      <c r="D124" s="2118">
        <v>0.10100000000000001</v>
      </c>
      <c r="E124" s="2118">
        <v>0.08</v>
      </c>
      <c r="F124" s="2130"/>
    </row>
    <row r="125" spans="1:6" ht="14.25" thickBot="1">
      <c r="A125" s="1529" t="s">
        <v>202</v>
      </c>
      <c r="B125" s="1523" t="s">
        <v>1361</v>
      </c>
      <c r="C125" s="2118">
        <v>0.13</v>
      </c>
      <c r="D125" s="2118">
        <v>0.13</v>
      </c>
      <c r="E125" s="2118">
        <v>0.129</v>
      </c>
      <c r="F125" s="2130"/>
    </row>
    <row r="126" spans="1:6" ht="14.25" thickBot="1">
      <c r="A126" s="1529" t="s">
        <v>202</v>
      </c>
      <c r="B126" s="1523" t="s">
        <v>1371</v>
      </c>
      <c r="C126" s="2118">
        <v>0.13</v>
      </c>
      <c r="D126" s="2118">
        <v>0.13</v>
      </c>
      <c r="E126" s="2118">
        <v>0.126</v>
      </c>
      <c r="F126" s="2130"/>
    </row>
    <row r="127" spans="1:6" ht="14.25" thickBot="1">
      <c r="A127" s="1529" t="s">
        <v>202</v>
      </c>
      <c r="B127" s="1523" t="s">
        <v>1381</v>
      </c>
      <c r="C127" s="2118">
        <v>0.125</v>
      </c>
      <c r="D127" s="2118">
        <v>0.125</v>
      </c>
      <c r="E127" s="2118">
        <v>0.121</v>
      </c>
      <c r="F127" s="2130"/>
    </row>
    <row r="128" spans="1:6" ht="14.25" thickBot="1">
      <c r="A128" s="1529" t="s">
        <v>202</v>
      </c>
      <c r="B128" s="1523" t="s">
        <v>1391</v>
      </c>
      <c r="C128" s="2118">
        <v>0.12</v>
      </c>
      <c r="D128" s="2118">
        <v>0.12</v>
      </c>
      <c r="E128" s="2118">
        <v>0.105</v>
      </c>
      <c r="F128" s="2130"/>
    </row>
    <row r="129" spans="1:6" ht="14.25" thickBot="1">
      <c r="A129" s="1529" t="s">
        <v>202</v>
      </c>
      <c r="B129" s="1523" t="s">
        <v>1400</v>
      </c>
      <c r="C129" s="2118">
        <v>0.13</v>
      </c>
      <c r="D129" s="2118">
        <v>0.13</v>
      </c>
      <c r="E129" s="2118">
        <v>0.126</v>
      </c>
      <c r="F129" s="2130"/>
    </row>
    <row r="130" spans="1:6" ht="14.25" thickBot="1">
      <c r="A130" s="1529" t="s">
        <v>202</v>
      </c>
      <c r="B130" s="1523" t="s">
        <v>1409</v>
      </c>
      <c r="C130" s="2118">
        <v>0.125</v>
      </c>
      <c r="D130" s="2118">
        <v>0.125</v>
      </c>
      <c r="E130" s="2118">
        <v>0.122</v>
      </c>
      <c r="F130" s="2130"/>
    </row>
    <row r="131" spans="1:6" ht="14.25" thickBot="1">
      <c r="A131" s="1529" t="s">
        <v>202</v>
      </c>
      <c r="B131" s="1523" t="s">
        <v>1417</v>
      </c>
      <c r="C131" s="2118">
        <v>0.127</v>
      </c>
      <c r="D131" s="2118">
        <v>0.126</v>
      </c>
      <c r="E131" s="2118">
        <v>0.123</v>
      </c>
      <c r="F131" s="2130"/>
    </row>
    <row r="132" spans="1:6" ht="14.25" thickBot="1">
      <c r="A132" s="1529" t="s">
        <v>202</v>
      </c>
      <c r="B132" s="1523" t="s">
        <v>1424</v>
      </c>
      <c r="C132" s="2118">
        <v>9.0999999999999998E-2</v>
      </c>
      <c r="D132" s="2118">
        <v>0.121</v>
      </c>
      <c r="E132" s="2118">
        <v>9.9000000000000005E-2</v>
      </c>
      <c r="F132" s="2130"/>
    </row>
    <row r="133" spans="1:6" ht="14.25" thickBot="1">
      <c r="A133" s="1529" t="s">
        <v>202</v>
      </c>
      <c r="B133" s="1523" t="s">
        <v>1431</v>
      </c>
      <c r="C133" s="2118">
        <v>0.13</v>
      </c>
      <c r="D133" s="2118">
        <v>0.13</v>
      </c>
      <c r="E133" s="2118">
        <v>0.129</v>
      </c>
      <c r="F133" s="2130"/>
    </row>
    <row r="134" spans="1:6" ht="14.25" thickBot="1">
      <c r="A134" s="1529" t="s">
        <v>202</v>
      </c>
      <c r="B134" s="1523" t="s">
        <v>2160</v>
      </c>
      <c r="C134" s="2118">
        <v>6.8000000000000005E-2</v>
      </c>
      <c r="D134" s="2118">
        <v>6.5000000000000002E-2</v>
      </c>
      <c r="E134" s="2118">
        <v>6.5000000000000002E-2</v>
      </c>
      <c r="F134" s="2119">
        <v>0.13</v>
      </c>
    </row>
    <row r="135" spans="1:6" ht="14.25" thickBot="1">
      <c r="A135" s="1529" t="s">
        <v>202</v>
      </c>
      <c r="B135" s="1523" t="s">
        <v>1445</v>
      </c>
      <c r="C135" s="2118">
        <v>0.123</v>
      </c>
      <c r="D135" s="2118">
        <v>0.123</v>
      </c>
      <c r="E135" s="2118">
        <v>0.11</v>
      </c>
      <c r="F135" s="2130"/>
    </row>
    <row r="136" spans="1:6" ht="14.25" thickBot="1">
      <c r="A136" s="1529" t="s">
        <v>202</v>
      </c>
      <c r="B136" s="1523" t="s">
        <v>1452</v>
      </c>
      <c r="C136" s="2118">
        <v>0.13</v>
      </c>
      <c r="D136" s="2118">
        <v>0.13</v>
      </c>
      <c r="E136" s="2118">
        <v>0.125</v>
      </c>
      <c r="F136" s="2130"/>
    </row>
    <row r="137" spans="1:6" ht="14.25" thickBot="1">
      <c r="A137" s="1529" t="s">
        <v>202</v>
      </c>
      <c r="B137" s="1523" t="s">
        <v>1459</v>
      </c>
      <c r="C137" s="2118">
        <v>0.121</v>
      </c>
      <c r="D137" s="2118">
        <v>0.122</v>
      </c>
      <c r="E137" s="2118">
        <v>0.115</v>
      </c>
      <c r="F137" s="2130"/>
    </row>
    <row r="138" spans="1:6" ht="14.25" thickBot="1">
      <c r="A138" s="1529" t="s">
        <v>202</v>
      </c>
      <c r="B138" s="1523" t="s">
        <v>2161</v>
      </c>
      <c r="C138" s="2118">
        <v>0.105</v>
      </c>
      <c r="D138" s="2118">
        <v>0.125</v>
      </c>
      <c r="E138" s="2118">
        <v>0.112</v>
      </c>
      <c r="F138" s="2130"/>
    </row>
    <row r="139" spans="1:6" ht="14.25" thickBot="1">
      <c r="A139" s="1529" t="s">
        <v>202</v>
      </c>
      <c r="B139" s="1523" t="s">
        <v>2162</v>
      </c>
      <c r="C139" s="2118">
        <v>0.127</v>
      </c>
      <c r="D139" s="2118">
        <v>0.127</v>
      </c>
      <c r="E139" s="2118">
        <v>0.122</v>
      </c>
      <c r="F139" s="2119">
        <v>0.13</v>
      </c>
    </row>
    <row r="140" spans="1:6" ht="14.25" thickBot="1">
      <c r="A140" s="1529" t="s">
        <v>202</v>
      </c>
      <c r="B140" s="1523" t="s">
        <v>2163</v>
      </c>
      <c r="C140" s="2118">
        <v>0.125</v>
      </c>
      <c r="D140" s="2118">
        <v>0.125</v>
      </c>
      <c r="E140" s="2118">
        <v>0.11899999999999999</v>
      </c>
      <c r="F140" s="2119">
        <v>0.13</v>
      </c>
    </row>
    <row r="141" spans="1:6" ht="14.25" thickBot="1">
      <c r="A141" s="1529" t="s">
        <v>202</v>
      </c>
      <c r="B141" s="1523" t="s">
        <v>1478</v>
      </c>
      <c r="C141" s="2118">
        <v>0.125</v>
      </c>
      <c r="D141" s="2118">
        <v>0.125</v>
      </c>
      <c r="E141" s="2118">
        <v>0.11700000000000001</v>
      </c>
      <c r="F141" s="2130"/>
    </row>
    <row r="142" spans="1:6" ht="14.25" thickBot="1">
      <c r="A142" s="1529" t="s">
        <v>202</v>
      </c>
      <c r="B142" s="1523" t="s">
        <v>1483</v>
      </c>
      <c r="C142" s="2118">
        <v>0.125</v>
      </c>
      <c r="D142" s="2118">
        <v>0.125</v>
      </c>
      <c r="E142" s="2118">
        <v>0.115</v>
      </c>
      <c r="F142" s="2130"/>
    </row>
    <row r="143" spans="1:6" ht="14.25" thickBot="1">
      <c r="A143" s="1529" t="s">
        <v>202</v>
      </c>
      <c r="B143" s="1523" t="s">
        <v>1488</v>
      </c>
      <c r="C143" s="2118">
        <v>0.121</v>
      </c>
      <c r="D143" s="2118">
        <v>0.121</v>
      </c>
      <c r="E143" s="2118">
        <v>0.108</v>
      </c>
      <c r="F143" s="2130"/>
    </row>
    <row r="144" spans="1:6" ht="14.25" thickBot="1">
      <c r="A144" s="1529" t="s">
        <v>202</v>
      </c>
      <c r="B144" s="2122" t="s">
        <v>2164</v>
      </c>
      <c r="C144" s="2123">
        <v>0.126</v>
      </c>
      <c r="D144" s="2123">
        <v>0.126</v>
      </c>
      <c r="E144" s="2123">
        <v>0.121</v>
      </c>
      <c r="F144" s="2130"/>
    </row>
    <row r="145" spans="1:6" ht="14.25" thickBot="1">
      <c r="A145" s="1539" t="s">
        <v>202</v>
      </c>
      <c r="B145" s="2124" t="s">
        <v>2165</v>
      </c>
      <c r="C145" s="2132"/>
      <c r="D145" s="2132"/>
      <c r="E145" s="2132"/>
      <c r="F145" s="2125">
        <v>0.05</v>
      </c>
    </row>
    <row r="146" spans="1:6" ht="24.75" thickBot="1">
      <c r="A146" s="2126" t="s">
        <v>202</v>
      </c>
      <c r="B146" s="1533" t="s">
        <v>2166</v>
      </c>
      <c r="C146" s="2131"/>
      <c r="D146" s="2131"/>
      <c r="E146" s="2131"/>
      <c r="F146" s="2127">
        <v>0.05</v>
      </c>
    </row>
    <row r="147" spans="1:6" ht="24.75" thickBot="1">
      <c r="A147" s="1529" t="s">
        <v>202</v>
      </c>
      <c r="B147" s="1523" t="s">
        <v>2167</v>
      </c>
      <c r="C147" s="2131"/>
      <c r="D147" s="2131"/>
      <c r="E147" s="2131"/>
      <c r="F147" s="2119">
        <v>0.05</v>
      </c>
    </row>
    <row r="148" spans="1:6" ht="24.75" thickBot="1">
      <c r="A148" s="1529" t="s">
        <v>202</v>
      </c>
      <c r="B148" s="1523" t="s">
        <v>2168</v>
      </c>
      <c r="C148" s="2131"/>
      <c r="D148" s="2131"/>
      <c r="E148" s="2131"/>
      <c r="F148" s="2119">
        <v>0.05</v>
      </c>
    </row>
    <row r="149" spans="1:6" ht="24.75" thickBot="1">
      <c r="A149" s="1529" t="s">
        <v>202</v>
      </c>
      <c r="B149" s="1523" t="s">
        <v>2169</v>
      </c>
      <c r="C149" s="2131"/>
      <c r="D149" s="2131"/>
      <c r="E149" s="2131"/>
      <c r="F149" s="2119">
        <v>0.05</v>
      </c>
    </row>
    <row r="150" spans="1:6" ht="24.75" thickBot="1">
      <c r="A150" s="1529" t="s">
        <v>202</v>
      </c>
      <c r="B150" s="1523" t="s">
        <v>2170</v>
      </c>
      <c r="C150" s="2131"/>
      <c r="D150" s="2131"/>
      <c r="E150" s="2131"/>
      <c r="F150" s="2119">
        <v>0.05</v>
      </c>
    </row>
    <row r="151" spans="1:6" ht="24.75" thickBot="1">
      <c r="A151" s="1529" t="s">
        <v>202</v>
      </c>
      <c r="B151" s="1523" t="s">
        <v>2171</v>
      </c>
      <c r="C151" s="2131"/>
      <c r="D151" s="2131"/>
      <c r="E151" s="2131"/>
      <c r="F151" s="2119">
        <v>0.05</v>
      </c>
    </row>
    <row r="152" spans="1:6" ht="24.75" thickBot="1">
      <c r="A152" s="1529" t="s">
        <v>202</v>
      </c>
      <c r="B152" s="1523" t="s">
        <v>1521</v>
      </c>
      <c r="C152" s="2131"/>
      <c r="D152" s="2131"/>
      <c r="E152" s="2131"/>
      <c r="F152" s="2119">
        <v>0.05</v>
      </c>
    </row>
    <row r="153" spans="1:6" ht="14.25" thickBot="1">
      <c r="A153" s="1529" t="s">
        <v>202</v>
      </c>
      <c r="B153" s="1523" t="s">
        <v>2172</v>
      </c>
      <c r="C153" s="2131"/>
      <c r="D153" s="2131"/>
      <c r="E153" s="2131"/>
      <c r="F153" s="2119">
        <v>0.05</v>
      </c>
    </row>
    <row r="154" spans="1:6" ht="14.25" thickBot="1">
      <c r="A154" s="1529" t="s">
        <v>202</v>
      </c>
      <c r="B154" s="1523" t="s">
        <v>2173</v>
      </c>
      <c r="C154" s="2131"/>
      <c r="D154" s="2131"/>
      <c r="E154" s="2131"/>
      <c r="F154" s="2119">
        <v>0.05</v>
      </c>
    </row>
    <row r="155" spans="1:6" ht="24.75" thickBot="1">
      <c r="A155" s="1529" t="s">
        <v>202</v>
      </c>
      <c r="B155" s="1523" t="s">
        <v>2174</v>
      </c>
      <c r="C155" s="2131"/>
      <c r="D155" s="2131"/>
      <c r="E155" s="2131"/>
      <c r="F155" s="2119">
        <v>0.05</v>
      </c>
    </row>
    <row r="156" spans="1:6" ht="24.75" thickBot="1">
      <c r="A156" s="1529" t="s">
        <v>202</v>
      </c>
      <c r="B156" s="1523" t="s">
        <v>2175</v>
      </c>
      <c r="C156" s="2131"/>
      <c r="D156" s="2131"/>
      <c r="E156" s="2131"/>
      <c r="F156" s="2119">
        <v>0.05</v>
      </c>
    </row>
    <row r="157" spans="1:6" ht="14.25" thickBot="1">
      <c r="A157" s="1539" t="s">
        <v>202</v>
      </c>
      <c r="B157" s="1535" t="s">
        <v>2176</v>
      </c>
      <c r="C157" s="2128"/>
      <c r="D157" s="2128"/>
      <c r="E157" s="2128"/>
      <c r="F157" s="2121">
        <v>0.05</v>
      </c>
    </row>
    <row r="158" spans="1:6" ht="14.25" thickBot="1">
      <c r="A158" s="1529" t="s">
        <v>1540</v>
      </c>
      <c r="B158" s="1530" t="s">
        <v>2177</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2178</v>
      </c>
      <c r="C171" s="2118">
        <v>0.127</v>
      </c>
      <c r="D171" s="2118">
        <v>0.126</v>
      </c>
      <c r="E171" s="2118">
        <v>0.126</v>
      </c>
      <c r="F171" s="2119">
        <v>0.11799999999999999</v>
      </c>
    </row>
    <row r="172" spans="1:6" ht="14.25" thickBot="1">
      <c r="A172" s="1529" t="s">
        <v>1540</v>
      </c>
      <c r="B172" s="1523" t="s">
        <v>2179</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2180</v>
      </c>
      <c r="C174" s="2118">
        <v>0.13</v>
      </c>
      <c r="D174" s="2118">
        <v>0.13</v>
      </c>
      <c r="E174" s="2118">
        <v>0.13</v>
      </c>
      <c r="F174" s="2119">
        <v>0.13</v>
      </c>
    </row>
    <row r="175" spans="1:6" ht="14.25" thickBot="1">
      <c r="A175" s="1529" t="s">
        <v>1540</v>
      </c>
      <c r="B175" s="1523" t="s">
        <v>2181</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2182</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2183</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2184</v>
      </c>
      <c r="C185" s="2118">
        <v>0.127</v>
      </c>
      <c r="D185" s="2118">
        <v>0.127</v>
      </c>
      <c r="E185" s="2118">
        <v>0.128</v>
      </c>
      <c r="F185" s="2119">
        <v>0.13</v>
      </c>
    </row>
    <row r="186" spans="1:6" ht="24.75" thickBot="1">
      <c r="A186" s="1529" t="s">
        <v>1540</v>
      </c>
      <c r="B186" s="1523" t="s">
        <v>2185</v>
      </c>
      <c r="C186" s="2131"/>
      <c r="D186" s="2131"/>
      <c r="E186" s="2131"/>
      <c r="F186" s="2119">
        <v>0.05</v>
      </c>
    </row>
    <row r="187" spans="1:6" ht="14.25" thickBot="1">
      <c r="A187" s="1529" t="s">
        <v>1540</v>
      </c>
      <c r="B187" s="1523" t="s">
        <v>2186</v>
      </c>
      <c r="C187" s="2131"/>
      <c r="D187" s="2131"/>
      <c r="E187" s="2131"/>
      <c r="F187" s="2119">
        <v>0.05</v>
      </c>
    </row>
    <row r="188" spans="1:6" ht="14.25" thickBot="1">
      <c r="A188" s="1529" t="s">
        <v>1540</v>
      </c>
      <c r="B188" s="1523" t="s">
        <v>2187</v>
      </c>
      <c r="C188" s="2131"/>
      <c r="D188" s="2131"/>
      <c r="E188" s="2131"/>
      <c r="F188" s="2119">
        <v>0.05</v>
      </c>
    </row>
    <row r="189" spans="1:6" ht="24.75" thickBot="1">
      <c r="A189" s="1529" t="s">
        <v>1540</v>
      </c>
      <c r="B189" s="1523" t="s">
        <v>2188</v>
      </c>
      <c r="C189" s="2131"/>
      <c r="D189" s="2131"/>
      <c r="E189" s="2131"/>
      <c r="F189" s="2119">
        <v>0.05</v>
      </c>
    </row>
    <row r="190" spans="1:6" ht="24.75" thickBot="1">
      <c r="A190" s="1529" t="s">
        <v>1540</v>
      </c>
      <c r="B190" s="1523" t="s">
        <v>2189</v>
      </c>
      <c r="C190" s="2131"/>
      <c r="D190" s="2131"/>
      <c r="E190" s="2131"/>
      <c r="F190" s="2119">
        <v>0.05</v>
      </c>
    </row>
    <row r="191" spans="1:6" ht="24.75" thickBot="1">
      <c r="A191" s="1529" t="s">
        <v>1540</v>
      </c>
      <c r="B191" s="1523" t="s">
        <v>2190</v>
      </c>
      <c r="C191" s="2131"/>
      <c r="D191" s="2131"/>
      <c r="E191" s="2131"/>
      <c r="F191" s="2119">
        <v>0.05</v>
      </c>
    </row>
    <row r="192" spans="1:6" ht="24.75" thickBot="1">
      <c r="A192" s="1529" t="s">
        <v>1540</v>
      </c>
      <c r="B192" s="1523" t="s">
        <v>2191</v>
      </c>
      <c r="C192" s="2131"/>
      <c r="D192" s="2131"/>
      <c r="E192" s="2131"/>
      <c r="F192" s="2119">
        <v>0.05</v>
      </c>
    </row>
    <row r="193" spans="1:6" ht="24.75" thickBot="1">
      <c r="A193" s="1529" t="s">
        <v>1540</v>
      </c>
      <c r="B193" s="1523" t="s">
        <v>2192</v>
      </c>
      <c r="C193" s="2131"/>
      <c r="D193" s="2131"/>
      <c r="E193" s="2131"/>
      <c r="F193" s="2119">
        <v>0.05</v>
      </c>
    </row>
    <row r="194" spans="1:6" ht="24.75" thickBot="1">
      <c r="A194" s="1529" t="s">
        <v>1540</v>
      </c>
      <c r="B194" s="1523" t="s">
        <v>2193</v>
      </c>
      <c r="C194" s="2131"/>
      <c r="D194" s="2131"/>
      <c r="E194" s="2131"/>
      <c r="F194" s="2119">
        <v>0.05</v>
      </c>
    </row>
    <row r="195" spans="1:6" ht="14.25" thickBot="1">
      <c r="A195" s="1529" t="s">
        <v>1540</v>
      </c>
      <c r="B195" s="1523" t="s">
        <v>2194</v>
      </c>
      <c r="C195" s="2131"/>
      <c r="D195" s="2131"/>
      <c r="E195" s="2131"/>
      <c r="F195" s="2119">
        <v>0.05</v>
      </c>
    </row>
    <row r="196" spans="1:6" ht="24.75" thickBot="1">
      <c r="A196" s="1529" t="s">
        <v>1540</v>
      </c>
      <c r="B196" s="1523" t="s">
        <v>2195</v>
      </c>
      <c r="C196" s="2131"/>
      <c r="D196" s="2131"/>
      <c r="E196" s="2131"/>
      <c r="F196" s="2119">
        <v>0.05</v>
      </c>
    </row>
    <row r="197" spans="1:6" ht="24.75" thickBot="1">
      <c r="A197" s="1529" t="s">
        <v>1540</v>
      </c>
      <c r="B197" s="1523" t="s">
        <v>2196</v>
      </c>
      <c r="C197" s="2131"/>
      <c r="D197" s="2131"/>
      <c r="E197" s="2131"/>
      <c r="F197" s="2119">
        <v>0.05</v>
      </c>
    </row>
    <row r="198" spans="1:6" ht="24.75" thickBot="1">
      <c r="A198" s="1529" t="s">
        <v>1540</v>
      </c>
      <c r="B198" s="1523" t="s">
        <v>2197</v>
      </c>
      <c r="C198" s="2131"/>
      <c r="D198" s="2131"/>
      <c r="E198" s="2131"/>
      <c r="F198" s="2119">
        <v>0.05</v>
      </c>
    </row>
    <row r="199" spans="1:6" ht="24.75" thickBot="1">
      <c r="A199" s="1529" t="s">
        <v>1540</v>
      </c>
      <c r="B199" s="1523" t="s">
        <v>2198</v>
      </c>
      <c r="C199" s="2131"/>
      <c r="D199" s="2131"/>
      <c r="E199" s="2131"/>
      <c r="F199" s="2119">
        <v>0.05</v>
      </c>
    </row>
    <row r="200" spans="1:6" ht="24.75" thickBot="1">
      <c r="A200" s="1529" t="s">
        <v>1540</v>
      </c>
      <c r="B200" s="1523" t="s">
        <v>2199</v>
      </c>
      <c r="C200" s="2131"/>
      <c r="D200" s="2131"/>
      <c r="E200" s="2131"/>
      <c r="F200" s="2119">
        <v>0.05</v>
      </c>
    </row>
    <row r="201" spans="1:6" ht="24.75" thickBot="1">
      <c r="A201" s="1529" t="s">
        <v>1540</v>
      </c>
      <c r="B201" s="1523" t="s">
        <v>2200</v>
      </c>
      <c r="C201" s="2131"/>
      <c r="D201" s="2131"/>
      <c r="E201" s="2131"/>
      <c r="F201" s="2119">
        <v>0.05</v>
      </c>
    </row>
    <row r="202" spans="1:6" ht="24.75" thickBot="1">
      <c r="A202" s="1529" t="s">
        <v>1540</v>
      </c>
      <c r="B202" s="1523" t="s">
        <v>2201</v>
      </c>
      <c r="C202" s="2131"/>
      <c r="D202" s="2131"/>
      <c r="E202" s="2131"/>
      <c r="F202" s="2119">
        <v>0.05</v>
      </c>
    </row>
    <row r="203" spans="1:6" ht="24.75" thickBot="1">
      <c r="A203" s="1529" t="s">
        <v>1540</v>
      </c>
      <c r="B203" s="1523" t="s">
        <v>2202</v>
      </c>
      <c r="C203" s="2131"/>
      <c r="D203" s="2131"/>
      <c r="E203" s="2131"/>
      <c r="F203" s="2119">
        <v>0.05</v>
      </c>
    </row>
    <row r="204" spans="1:6" ht="14.25" thickBot="1">
      <c r="A204" s="1529" t="s">
        <v>1540</v>
      </c>
      <c r="B204" s="1523" t="s">
        <v>2203</v>
      </c>
      <c r="C204" s="2131"/>
      <c r="D204" s="2131"/>
      <c r="E204" s="2131"/>
      <c r="F204" s="2119">
        <v>0.05</v>
      </c>
    </row>
    <row r="205" spans="1:6" ht="14.25" thickBot="1">
      <c r="A205" s="1539" t="s">
        <v>1540</v>
      </c>
      <c r="B205" s="1535" t="s">
        <v>2204</v>
      </c>
      <c r="C205" s="2128"/>
      <c r="D205" s="2128"/>
      <c r="E205" s="2128"/>
      <c r="F205" s="2121">
        <v>0.05</v>
      </c>
    </row>
    <row r="206" spans="1:6" ht="14.25" thickBot="1">
      <c r="A206" s="1529" t="s">
        <v>1542</v>
      </c>
      <c r="B206" s="1530" t="s">
        <v>2205</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2206</v>
      </c>
      <c r="C210" s="2118">
        <v>0.15</v>
      </c>
      <c r="D210" s="2118">
        <v>0.15</v>
      </c>
      <c r="E210" s="2118">
        <v>0.15</v>
      </c>
      <c r="F210" s="2119">
        <v>0.13800000000000001</v>
      </c>
    </row>
    <row r="211" spans="1:6" ht="14.25" thickBot="1">
      <c r="A211" s="1529" t="s">
        <v>1542</v>
      </c>
      <c r="B211" s="1523" t="s">
        <v>2207</v>
      </c>
      <c r="C211" s="2118">
        <v>0.13700000000000001</v>
      </c>
      <c r="D211" s="2118">
        <v>0.13500000000000001</v>
      </c>
      <c r="E211" s="2118">
        <v>0.13600000000000001</v>
      </c>
      <c r="F211" s="2119">
        <v>0.1</v>
      </c>
    </row>
    <row r="212" spans="1:6" ht="14.25" thickBot="1">
      <c r="A212" s="1529" t="s">
        <v>1542</v>
      </c>
      <c r="B212" s="1523" t="s">
        <v>2208</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2209</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2210</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2211</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2212</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2213</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2214</v>
      </c>
      <c r="C231" s="2118">
        <v>0.128</v>
      </c>
      <c r="D231" s="2118">
        <v>0.125</v>
      </c>
      <c r="E231" s="2118">
        <v>0.13200000000000001</v>
      </c>
      <c r="F231" s="2130"/>
    </row>
    <row r="232" spans="1:6" ht="14.25" thickBot="1">
      <c r="A232" s="1529" t="s">
        <v>1542</v>
      </c>
      <c r="B232" s="1523" t="s">
        <v>2215</v>
      </c>
      <c r="C232" s="2118">
        <v>0.14499999999999999</v>
      </c>
      <c r="D232" s="2118">
        <v>0.14399999999999999</v>
      </c>
      <c r="E232" s="2118">
        <v>0.14599999999999999</v>
      </c>
      <c r="F232" s="2119">
        <v>0.13800000000000001</v>
      </c>
    </row>
    <row r="233" spans="1:6" ht="14.25" thickBot="1">
      <c r="A233" s="1529" t="s">
        <v>1542</v>
      </c>
      <c r="B233" s="1523" t="s">
        <v>2216</v>
      </c>
      <c r="C233" s="2118">
        <v>0.14499999999999999</v>
      </c>
      <c r="D233" s="2118">
        <v>0.14299999999999999</v>
      </c>
      <c r="E233" s="2118">
        <v>0.14199999999999999</v>
      </c>
      <c r="F233" s="2130"/>
    </row>
    <row r="234" spans="1:6" ht="14.25" thickBot="1">
      <c r="A234" s="1529" t="s">
        <v>1542</v>
      </c>
      <c r="B234" s="1523" t="s">
        <v>2217</v>
      </c>
      <c r="C234" s="2118">
        <v>0.14000000000000001</v>
      </c>
      <c r="D234" s="2118">
        <v>0.14000000000000001</v>
      </c>
      <c r="E234" s="2118">
        <v>0.14399999999999999</v>
      </c>
      <c r="F234" s="2130"/>
    </row>
    <row r="235" spans="1:6" ht="14.25" thickBot="1">
      <c r="A235" s="1529" t="s">
        <v>1542</v>
      </c>
      <c r="B235" s="1523" t="s">
        <v>2218</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2219</v>
      </c>
      <c r="C237" s="2131"/>
      <c r="D237" s="2131"/>
      <c r="E237" s="2131"/>
      <c r="F237" s="2119">
        <v>0.05</v>
      </c>
    </row>
    <row r="238" spans="1:6" ht="24.75" thickBot="1">
      <c r="A238" s="1529" t="s">
        <v>1542</v>
      </c>
      <c r="B238" s="1523" t="s">
        <v>2220</v>
      </c>
      <c r="C238" s="2131"/>
      <c r="D238" s="2131"/>
      <c r="E238" s="2131"/>
      <c r="F238" s="2119">
        <v>0.05</v>
      </c>
    </row>
    <row r="239" spans="1:6" ht="24.75" thickBot="1">
      <c r="A239" s="1529" t="s">
        <v>1542</v>
      </c>
      <c r="B239" s="1523" t="s">
        <v>2221</v>
      </c>
      <c r="C239" s="2131"/>
      <c r="D239" s="2131"/>
      <c r="E239" s="2131"/>
      <c r="F239" s="2119">
        <v>0.05</v>
      </c>
    </row>
    <row r="240" spans="1:6" ht="24.75" thickBot="1">
      <c r="A240" s="1529" t="s">
        <v>1542</v>
      </c>
      <c r="B240" s="1523" t="s">
        <v>2222</v>
      </c>
      <c r="C240" s="2131"/>
      <c r="D240" s="2131"/>
      <c r="E240" s="2131"/>
      <c r="F240" s="2119">
        <v>0.05</v>
      </c>
    </row>
    <row r="241" spans="1:6" ht="24.75" thickBot="1">
      <c r="A241" s="1529" t="s">
        <v>1542</v>
      </c>
      <c r="B241" s="1523" t="s">
        <v>2223</v>
      </c>
      <c r="C241" s="2131"/>
      <c r="D241" s="2131"/>
      <c r="E241" s="2131"/>
      <c r="F241" s="2119">
        <v>0.05</v>
      </c>
    </row>
    <row r="242" spans="1:6" ht="24.75" thickBot="1">
      <c r="A242" s="1529" t="s">
        <v>1542</v>
      </c>
      <c r="B242" s="1523" t="s">
        <v>2224</v>
      </c>
      <c r="C242" s="2131"/>
      <c r="D242" s="2131"/>
      <c r="E242" s="2131"/>
      <c r="F242" s="2119">
        <v>0.05</v>
      </c>
    </row>
    <row r="243" spans="1:6" ht="24.75" thickBot="1">
      <c r="A243" s="1529" t="s">
        <v>1542</v>
      </c>
      <c r="B243" s="1523" t="s">
        <v>2225</v>
      </c>
      <c r="C243" s="2131"/>
      <c r="D243" s="2131"/>
      <c r="E243" s="2131"/>
      <c r="F243" s="2119">
        <v>0.05</v>
      </c>
    </row>
    <row r="244" spans="1:6" ht="24.75" thickBot="1">
      <c r="A244" s="1539" t="s">
        <v>1542</v>
      </c>
      <c r="B244" s="1535" t="s">
        <v>2226</v>
      </c>
      <c r="C244" s="2128"/>
      <c r="D244" s="2128"/>
      <c r="E244" s="2128"/>
      <c r="F244" s="2121">
        <v>0.05</v>
      </c>
    </row>
    <row r="245" spans="1:6" ht="14.25" thickBot="1">
      <c r="A245" s="1529" t="s">
        <v>1544</v>
      </c>
      <c r="B245" s="1530" t="s">
        <v>2227</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2228</v>
      </c>
      <c r="C247" s="2118">
        <v>0.15</v>
      </c>
      <c r="D247" s="2118">
        <v>0.15</v>
      </c>
      <c r="E247" s="2118">
        <v>0.15</v>
      </c>
      <c r="F247" s="2119">
        <v>0.15</v>
      </c>
    </row>
    <row r="248" spans="1:6" ht="14.25" thickBot="1">
      <c r="A248" s="1529" t="s">
        <v>1544</v>
      </c>
      <c r="B248" s="1523" t="s">
        <v>2229</v>
      </c>
      <c r="C248" s="2118">
        <v>0.15</v>
      </c>
      <c r="D248" s="2118">
        <v>0.15</v>
      </c>
      <c r="E248" s="2118">
        <v>0.15</v>
      </c>
      <c r="F248" s="2119">
        <v>0.14000000000000001</v>
      </c>
    </row>
    <row r="249" spans="1:6" ht="14.25" thickBot="1">
      <c r="A249" s="1529" t="s">
        <v>1544</v>
      </c>
      <c r="B249" s="1523" t="s">
        <v>2230</v>
      </c>
      <c r="C249" s="2118">
        <v>0.15</v>
      </c>
      <c r="D249" s="2118">
        <v>0.14899999999999999</v>
      </c>
      <c r="E249" s="2118">
        <v>0.15</v>
      </c>
      <c r="F249" s="2119">
        <v>0.1</v>
      </c>
    </row>
    <row r="250" spans="1:6" ht="14.25" thickBot="1">
      <c r="A250" s="1529" t="s">
        <v>1544</v>
      </c>
      <c r="B250" s="1523" t="s">
        <v>2231</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2232</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2233</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2234</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2235</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2236</v>
      </c>
      <c r="C273" s="2118">
        <v>0.14199999999999999</v>
      </c>
      <c r="D273" s="2118">
        <v>0.14299999999999999</v>
      </c>
      <c r="E273" s="2118">
        <v>0.15</v>
      </c>
      <c r="F273" s="2119">
        <v>0.1</v>
      </c>
    </row>
    <row r="274" spans="1:6" ht="14.25" thickBot="1">
      <c r="A274" s="1529" t="s">
        <v>1544</v>
      </c>
      <c r="B274" s="1523" t="s">
        <v>2237</v>
      </c>
      <c r="C274" s="2118">
        <v>0.14799999999999999</v>
      </c>
      <c r="D274" s="2118">
        <v>0.14799999999999999</v>
      </c>
      <c r="E274" s="2118">
        <v>0.15</v>
      </c>
      <c r="F274" s="2119">
        <v>6.7000000000000004E-2</v>
      </c>
    </row>
    <row r="275" spans="1:6" ht="14.25" thickBot="1">
      <c r="A275" s="1529" t="s">
        <v>1544</v>
      </c>
      <c r="B275" s="1523" t="s">
        <v>2238</v>
      </c>
      <c r="C275" s="2118">
        <v>0.15</v>
      </c>
      <c r="D275" s="2118">
        <v>0.15</v>
      </c>
      <c r="E275" s="2118">
        <v>0.15</v>
      </c>
      <c r="F275" s="2119">
        <v>0.15</v>
      </c>
    </row>
    <row r="276" spans="1:6" ht="14.25" thickBot="1">
      <c r="A276" s="1529" t="s">
        <v>1544</v>
      </c>
      <c r="B276" s="1523" t="s">
        <v>2239</v>
      </c>
      <c r="C276" s="2118">
        <v>0.14499999999999999</v>
      </c>
      <c r="D276" s="2118">
        <v>0.14299999999999999</v>
      </c>
      <c r="E276" s="2118">
        <v>0.15</v>
      </c>
      <c r="F276" s="2119">
        <v>5.8999999999999997E-2</v>
      </c>
    </row>
    <row r="277" spans="1:6" ht="14.25" thickBot="1">
      <c r="A277" s="1529" t="s">
        <v>1544</v>
      </c>
      <c r="B277" s="1523" t="s">
        <v>2240</v>
      </c>
      <c r="C277" s="2118">
        <v>0.15</v>
      </c>
      <c r="D277" s="2118">
        <v>0.15</v>
      </c>
      <c r="E277" s="2118">
        <v>0.15</v>
      </c>
      <c r="F277" s="2119">
        <v>0.121</v>
      </c>
    </row>
    <row r="278" spans="1:6" ht="14.25" thickBot="1">
      <c r="A278" s="1529" t="s">
        <v>1544</v>
      </c>
      <c r="B278" s="1523" t="s">
        <v>2241</v>
      </c>
      <c r="C278" s="2118">
        <v>0.15</v>
      </c>
      <c r="D278" s="2118">
        <v>0.15</v>
      </c>
      <c r="E278" s="2118">
        <v>0.15</v>
      </c>
      <c r="F278" s="2119">
        <v>0.13800000000000001</v>
      </c>
    </row>
    <row r="279" spans="1:6" ht="24.75" thickBot="1">
      <c r="A279" s="1529" t="s">
        <v>1544</v>
      </c>
      <c r="B279" s="1523" t="s">
        <v>2242</v>
      </c>
      <c r="C279" s="2131"/>
      <c r="D279" s="2131"/>
      <c r="E279" s="2131"/>
      <c r="F279" s="2119">
        <v>0.05</v>
      </c>
    </row>
    <row r="280" spans="1:6" ht="24.75" thickBot="1">
      <c r="A280" s="1529" t="s">
        <v>1544</v>
      </c>
      <c r="B280" s="1523" t="s">
        <v>2243</v>
      </c>
      <c r="C280" s="2131"/>
      <c r="D280" s="2131"/>
      <c r="E280" s="2131"/>
      <c r="F280" s="2119">
        <v>0.05</v>
      </c>
    </row>
    <row r="281" spans="1:6" ht="24.75" thickBot="1">
      <c r="A281" s="1529" t="s">
        <v>1544</v>
      </c>
      <c r="B281" s="1523" t="s">
        <v>2244</v>
      </c>
      <c r="C281" s="2131"/>
      <c r="D281" s="2131"/>
      <c r="E281" s="2131"/>
      <c r="F281" s="2119">
        <v>0.05</v>
      </c>
    </row>
    <row r="282" spans="1:6" ht="24.75" thickBot="1">
      <c r="A282" s="1529" t="s">
        <v>1544</v>
      </c>
      <c r="B282" s="1523" t="s">
        <v>2245</v>
      </c>
      <c r="C282" s="2131"/>
      <c r="D282" s="2131"/>
      <c r="E282" s="2131"/>
      <c r="F282" s="2119">
        <v>0.05</v>
      </c>
    </row>
    <row r="283" spans="1:6" ht="24.75" thickBot="1">
      <c r="A283" s="1529" t="s">
        <v>1544</v>
      </c>
      <c r="B283" s="1523" t="s">
        <v>2246</v>
      </c>
      <c r="C283" s="2131"/>
      <c r="D283" s="2131"/>
      <c r="E283" s="2131"/>
      <c r="F283" s="2119">
        <v>0.05</v>
      </c>
    </row>
    <row r="284" spans="1:6" ht="24.75" thickBot="1">
      <c r="A284" s="1529" t="s">
        <v>1544</v>
      </c>
      <c r="B284" s="1523" t="s">
        <v>2247</v>
      </c>
      <c r="C284" s="2131"/>
      <c r="D284" s="2131"/>
      <c r="E284" s="2131"/>
      <c r="F284" s="2119">
        <v>0.05</v>
      </c>
    </row>
    <row r="285" spans="1:6" ht="24.75" thickBot="1">
      <c r="A285" s="1529" t="s">
        <v>1544</v>
      </c>
      <c r="B285" s="1523" t="s">
        <v>2248</v>
      </c>
      <c r="C285" s="2131"/>
      <c r="D285" s="2131"/>
      <c r="E285" s="2131"/>
      <c r="F285" s="2119">
        <v>0.05</v>
      </c>
    </row>
    <row r="286" spans="1:6" ht="24.75" thickBot="1">
      <c r="A286" s="1529" t="s">
        <v>1544</v>
      </c>
      <c r="B286" s="1523" t="s">
        <v>2249</v>
      </c>
      <c r="C286" s="2131"/>
      <c r="D286" s="2131"/>
      <c r="E286" s="2131"/>
      <c r="F286" s="2119">
        <v>0.05</v>
      </c>
    </row>
    <row r="287" spans="1:6" ht="24.75" thickBot="1">
      <c r="A287" s="1529" t="s">
        <v>1544</v>
      </c>
      <c r="B287" s="1523" t="s">
        <v>2250</v>
      </c>
      <c r="C287" s="2131"/>
      <c r="D287" s="2131"/>
      <c r="E287" s="2131"/>
      <c r="F287" s="2119">
        <v>0.05</v>
      </c>
    </row>
    <row r="288" spans="1:6" ht="24.75" thickBot="1">
      <c r="A288" s="1529" t="s">
        <v>1544</v>
      </c>
      <c r="B288" s="1523" t="s">
        <v>2251</v>
      </c>
      <c r="C288" s="2131"/>
      <c r="D288" s="2131"/>
      <c r="E288" s="2131"/>
      <c r="F288" s="2119">
        <v>0.05</v>
      </c>
    </row>
    <row r="289" spans="1:6" ht="24.75" thickBot="1">
      <c r="A289" s="1539" t="s">
        <v>1544</v>
      </c>
      <c r="B289" s="1535" t="s">
        <v>2252</v>
      </c>
      <c r="C289" s="2128"/>
      <c r="D289" s="2128"/>
      <c r="E289" s="2128"/>
      <c r="F289" s="2121">
        <v>0.05</v>
      </c>
    </row>
    <row r="290" spans="1:6" ht="14.25" thickBot="1">
      <c r="A290" s="1529" t="s">
        <v>1548</v>
      </c>
      <c r="B290" s="1530" t="s">
        <v>2253</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2254</v>
      </c>
      <c r="C292" s="2118">
        <v>0.15</v>
      </c>
      <c r="D292" s="2118">
        <v>0.15</v>
      </c>
      <c r="E292" s="2118">
        <v>0.15</v>
      </c>
      <c r="F292" s="2119">
        <v>0.14699999999999999</v>
      </c>
    </row>
    <row r="293" spans="1:6" ht="14.25" thickBot="1">
      <c r="A293" s="1529" t="s">
        <v>1548</v>
      </c>
      <c r="B293" s="1523" t="s">
        <v>2255</v>
      </c>
      <c r="C293" s="2131"/>
      <c r="D293" s="2131"/>
      <c r="E293" s="2131"/>
      <c r="F293" s="2119">
        <v>0.1</v>
      </c>
    </row>
    <row r="294" spans="1:6" ht="14.25" thickBot="1">
      <c r="A294" s="1529" t="s">
        <v>1548</v>
      </c>
      <c r="B294" s="1523" t="s">
        <v>2256</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2257</v>
      </c>
      <c r="C296" s="2118">
        <v>0.15</v>
      </c>
      <c r="D296" s="2118">
        <v>0.15</v>
      </c>
      <c r="E296" s="2118">
        <v>0.15</v>
      </c>
      <c r="F296" s="2119">
        <v>0.15</v>
      </c>
    </row>
    <row r="297" spans="1:6" ht="14.25" thickBot="1">
      <c r="A297" s="1529" t="s">
        <v>1548</v>
      </c>
      <c r="B297" s="1523" t="s">
        <v>2258</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2259</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2260</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2261</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2262</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2263</v>
      </c>
      <c r="C310" s="2118">
        <v>0.15</v>
      </c>
      <c r="D310" s="2118">
        <v>0.15</v>
      </c>
      <c r="E310" s="2118">
        <v>0.15</v>
      </c>
      <c r="F310" s="2119">
        <v>0.13700000000000001</v>
      </c>
    </row>
    <row r="311" spans="1:6" ht="14.25" thickBot="1">
      <c r="A311" s="1529" t="s">
        <v>1548</v>
      </c>
      <c r="B311" s="1523" t="s">
        <v>2264</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2265</v>
      </c>
      <c r="C313" s="2118">
        <v>0.15</v>
      </c>
      <c r="D313" s="2118">
        <v>0.15</v>
      </c>
      <c r="E313" s="2118">
        <v>0.15</v>
      </c>
      <c r="F313" s="2119">
        <v>0.15</v>
      </c>
    </row>
    <row r="314" spans="1:6" ht="24.75" thickBot="1">
      <c r="A314" s="1529" t="s">
        <v>1548</v>
      </c>
      <c r="B314" s="1523" t="s">
        <v>2266</v>
      </c>
      <c r="C314" s="2131"/>
      <c r="D314" s="2131"/>
      <c r="E314" s="2131"/>
      <c r="F314" s="2119">
        <v>0.05</v>
      </c>
    </row>
    <row r="315" spans="1:6" ht="24.75" thickBot="1">
      <c r="A315" s="1529" t="s">
        <v>1548</v>
      </c>
      <c r="B315" s="1523" t="s">
        <v>2267</v>
      </c>
      <c r="C315" s="2131"/>
      <c r="D315" s="2131"/>
      <c r="E315" s="2131"/>
      <c r="F315" s="2119">
        <v>0.05</v>
      </c>
    </row>
    <row r="316" spans="1:6" ht="24.75" thickBot="1">
      <c r="A316" s="1539" t="s">
        <v>1548</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1237</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1304</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1324</v>
      </c>
      <c r="C328" s="2118">
        <v>0.15</v>
      </c>
      <c r="D328" s="2118">
        <v>0.15</v>
      </c>
      <c r="E328" s="2118">
        <v>0.15</v>
      </c>
      <c r="F328" s="2119">
        <v>0.14099999999999999</v>
      </c>
    </row>
    <row r="329" spans="1:6" ht="14.25" thickBot="1">
      <c r="A329" s="1529" t="s">
        <v>2269</v>
      </c>
      <c r="B329" s="1523" t="s">
        <v>1334</v>
      </c>
      <c r="C329" s="2118">
        <v>0.15</v>
      </c>
      <c r="D329" s="2118">
        <v>0.15</v>
      </c>
      <c r="E329" s="2118">
        <v>0.15</v>
      </c>
      <c r="F329" s="2119">
        <v>0.15</v>
      </c>
    </row>
    <row r="330" spans="1:6" ht="14.25" thickBot="1">
      <c r="A330" s="1529" t="s">
        <v>2269</v>
      </c>
      <c r="B330" s="1523" t="s">
        <v>1345</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1366</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1386</v>
      </c>
      <c r="C334" s="2118">
        <v>0.15</v>
      </c>
      <c r="D334" s="2118">
        <v>0.15</v>
      </c>
      <c r="E334" s="2118">
        <v>0.15</v>
      </c>
      <c r="F334" s="2119">
        <v>0.15</v>
      </c>
    </row>
    <row r="335" spans="1:6" ht="14.25" thickBot="1">
      <c r="A335" s="1529" t="s">
        <v>2269</v>
      </c>
      <c r="B335" s="1523" t="s">
        <v>1396</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1414</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42986</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0" t="s">
        <v>3036</v>
      </c>
      <c r="E1" s="3324" t="s">
        <v>3040</v>
      </c>
      <c r="F1" s="3325" t="s">
        <v>3044</v>
      </c>
    </row>
    <row r="2" spans="1:13" ht="20.25">
      <c r="A2" s="3331" t="s">
        <v>3037</v>
      </c>
    </row>
    <row r="3" spans="1:13" ht="16.5">
      <c r="A3" s="3332" t="s">
        <v>3038</v>
      </c>
    </row>
    <row r="4" spans="1:13" ht="14.25">
      <c r="A4" s="3322" t="s">
        <v>3039</v>
      </c>
      <c r="B4" s="3327" t="s">
        <v>3041</v>
      </c>
      <c r="C4" s="3328"/>
      <c r="D4" s="3329"/>
      <c r="E4" s="3327" t="s">
        <v>141</v>
      </c>
      <c r="F4" s="3328"/>
      <c r="G4" s="3329"/>
      <c r="H4" s="3327" t="s">
        <v>3042</v>
      </c>
      <c r="I4" s="3328"/>
      <c r="J4" s="3329"/>
      <c r="K4" s="3327" t="s">
        <v>39</v>
      </c>
      <c r="L4" s="3328"/>
      <c r="M4" s="3329"/>
    </row>
    <row r="5" spans="1:13" ht="14.25">
      <c r="A5" s="3323" t="s">
        <v>3043</v>
      </c>
      <c r="B5" s="3322" t="s">
        <v>3045</v>
      </c>
      <c r="C5" s="3322" t="s">
        <v>3046</v>
      </c>
      <c r="D5" s="3322" t="s">
        <v>3047</v>
      </c>
      <c r="E5" s="3322" t="s">
        <v>3045</v>
      </c>
      <c r="F5" s="3322" t="s">
        <v>3046</v>
      </c>
      <c r="G5" s="3322" t="s">
        <v>3047</v>
      </c>
      <c r="H5" s="3322" t="s">
        <v>3045</v>
      </c>
      <c r="I5" s="3322" t="s">
        <v>3046</v>
      </c>
      <c r="J5" s="3322" t="s">
        <v>3047</v>
      </c>
      <c r="K5" s="3322" t="s">
        <v>3045</v>
      </c>
      <c r="L5" s="3322" t="s">
        <v>3046</v>
      </c>
      <c r="M5" s="3322" t="s">
        <v>3047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202</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P180"/>
  <sheetViews>
    <sheetView topLeftCell="A13" workbookViewId="0">
      <selection activeCell="O19" sqref="O19"/>
    </sheetView>
  </sheetViews>
  <sheetFormatPr defaultRowHeight="13.5"/>
  <cols>
    <col min="1" max="1" width="12.75" bestFit="1" customWidth="1"/>
    <col min="5" max="5" width="13.875" customWidth="1"/>
    <col min="8" max="8" width="12" customWidth="1"/>
    <col min="14" max="14" width="16.125" customWidth="1"/>
    <col min="15" max="15" width="13.375" customWidth="1"/>
  </cols>
  <sheetData>
    <row r="1" spans="1:14">
      <c r="A1" s="3371" t="s">
        <v>3134</v>
      </c>
    </row>
    <row r="2" spans="1:14">
      <c r="A2" s="3810" t="s">
        <v>3076</v>
      </c>
      <c r="B2" s="3810"/>
      <c r="C2" s="3810"/>
      <c r="D2" s="3810"/>
      <c r="E2" s="3810"/>
      <c r="N2" s="3360" t="s">
        <v>3084</v>
      </c>
    </row>
    <row r="3" spans="1:14">
      <c r="A3" s="3356" t="s">
        <v>3077</v>
      </c>
      <c r="B3" s="3357" t="s">
        <v>3078</v>
      </c>
      <c r="C3" s="3357" t="s">
        <v>3079</v>
      </c>
      <c r="D3" s="3357" t="s">
        <v>3080</v>
      </c>
      <c r="E3" s="3358" t="s">
        <v>3081</v>
      </c>
      <c r="F3" s="3373" t="s">
        <v>3135</v>
      </c>
      <c r="G3" s="3381" t="s">
        <v>3159</v>
      </c>
      <c r="H3" s="3375" t="s">
        <v>3188</v>
      </c>
      <c r="I3" s="3375" t="s">
        <v>3317</v>
      </c>
      <c r="J3" s="3375" t="s">
        <v>3318</v>
      </c>
      <c r="K3" s="3422" t="s">
        <v>3319</v>
      </c>
      <c r="N3">
        <v>92783.56</v>
      </c>
    </row>
    <row r="4" spans="1:14">
      <c r="A4" s="3357">
        <v>1</v>
      </c>
      <c r="B4" s="3357">
        <v>2</v>
      </c>
      <c r="C4" s="3357" t="s">
        <v>3082</v>
      </c>
      <c r="D4" s="3357">
        <v>1996</v>
      </c>
      <c r="E4" s="3358">
        <v>10269.85</v>
      </c>
      <c r="F4" s="3374"/>
      <c r="G4" s="3374">
        <v>1996</v>
      </c>
      <c r="H4" s="3375" t="s">
        <v>3189</v>
      </c>
      <c r="I4" s="3374">
        <v>2000</v>
      </c>
      <c r="J4" s="3385">
        <f>ROUND(1-(2017-G4)/50,2)</f>
        <v>0.57999999999999996</v>
      </c>
      <c r="N4" s="3360" t="s">
        <v>3085</v>
      </c>
    </row>
    <row r="5" spans="1:14" ht="94.5">
      <c r="A5" s="3376">
        <v>2</v>
      </c>
      <c r="B5" s="3376">
        <v>2</v>
      </c>
      <c r="C5" s="3376" t="s">
        <v>3082</v>
      </c>
      <c r="D5" s="3376">
        <v>1996</v>
      </c>
      <c r="E5" s="3377">
        <v>2899.45</v>
      </c>
      <c r="F5" s="3378" t="s">
        <v>3137</v>
      </c>
      <c r="G5" s="3378">
        <v>1996</v>
      </c>
      <c r="H5" s="3375" t="s">
        <v>3190</v>
      </c>
      <c r="I5" s="3374">
        <v>3000</v>
      </c>
      <c r="J5" s="3385">
        <f t="shared" ref="J5:J10" si="0">ROUND(1-(2017-G5)/50,2)</f>
        <v>0.57999999999999996</v>
      </c>
      <c r="K5">
        <f>G21</f>
        <v>10590</v>
      </c>
      <c r="N5" s="3400">
        <f>E11/N3</f>
        <v>0.24096887422728774</v>
      </c>
    </row>
    <row r="6" spans="1:14" ht="27">
      <c r="A6" s="3357">
        <v>3</v>
      </c>
      <c r="B6" s="3357">
        <v>1</v>
      </c>
      <c r="C6" s="3357" t="s">
        <v>3082</v>
      </c>
      <c r="D6" s="3357">
        <v>1996</v>
      </c>
      <c r="E6" s="3358">
        <v>722.85</v>
      </c>
      <c r="F6" s="3374"/>
      <c r="G6" s="3374">
        <v>1996</v>
      </c>
      <c r="H6" s="3384" t="s">
        <v>3191</v>
      </c>
      <c r="I6" s="3374">
        <v>2000</v>
      </c>
      <c r="J6" s="3385">
        <f t="shared" si="0"/>
        <v>0.57999999999999996</v>
      </c>
    </row>
    <row r="7" spans="1:14">
      <c r="A7" s="3357">
        <v>4</v>
      </c>
      <c r="B7" s="3357">
        <v>2</v>
      </c>
      <c r="C7" s="3357" t="s">
        <v>3082</v>
      </c>
      <c r="D7" s="3357">
        <v>1996</v>
      </c>
      <c r="E7" s="3358">
        <v>2818.07</v>
      </c>
      <c r="F7" s="3374"/>
      <c r="G7" s="3374">
        <v>1996</v>
      </c>
      <c r="H7" s="3375" t="s">
        <v>3192</v>
      </c>
      <c r="I7" s="3374">
        <v>2500</v>
      </c>
      <c r="J7" s="3385">
        <f t="shared" si="0"/>
        <v>0.57999999999999996</v>
      </c>
      <c r="N7" s="3360" t="s">
        <v>3086</v>
      </c>
    </row>
    <row r="8" spans="1:14">
      <c r="A8" s="3357">
        <v>5</v>
      </c>
      <c r="B8" s="3357">
        <v>1</v>
      </c>
      <c r="C8" s="3357" t="s">
        <v>3082</v>
      </c>
      <c r="D8" s="3357">
        <v>1997</v>
      </c>
      <c r="E8" s="3358">
        <v>1344.29</v>
      </c>
      <c r="F8" s="3374"/>
      <c r="G8" s="3374">
        <v>1997</v>
      </c>
      <c r="H8" s="3375" t="s">
        <v>3193</v>
      </c>
      <c r="I8" s="3374">
        <v>1300</v>
      </c>
      <c r="J8" s="3385">
        <f t="shared" si="0"/>
        <v>0.6</v>
      </c>
      <c r="N8" s="3362">
        <v>0.15</v>
      </c>
    </row>
    <row r="9" spans="1:14" ht="81">
      <c r="A9" s="3376">
        <v>6</v>
      </c>
      <c r="B9" s="3376">
        <v>1</v>
      </c>
      <c r="C9" s="3376" t="s">
        <v>3082</v>
      </c>
      <c r="D9" s="3376">
        <v>1997</v>
      </c>
      <c r="E9" s="3377">
        <v>1075.06</v>
      </c>
      <c r="F9" s="3378" t="s">
        <v>3138</v>
      </c>
      <c r="G9" s="3378">
        <v>1997</v>
      </c>
      <c r="H9" s="3375" t="s">
        <v>3194</v>
      </c>
      <c r="I9" s="3374">
        <v>1300</v>
      </c>
      <c r="J9" s="3385">
        <f t="shared" si="0"/>
        <v>0.6</v>
      </c>
      <c r="K9">
        <v>3900</v>
      </c>
    </row>
    <row r="10" spans="1:14">
      <c r="A10" s="3357">
        <v>7</v>
      </c>
      <c r="B10" s="3357">
        <v>4</v>
      </c>
      <c r="C10" s="3357" t="s">
        <v>3082</v>
      </c>
      <c r="D10" s="3357">
        <v>2002</v>
      </c>
      <c r="E10" s="3358">
        <v>3228.38</v>
      </c>
      <c r="F10" s="3374"/>
      <c r="G10" s="3374">
        <v>2002</v>
      </c>
      <c r="H10" s="3375" t="s">
        <v>3192</v>
      </c>
      <c r="I10" s="3374">
        <v>2500</v>
      </c>
      <c r="J10" s="3385">
        <f t="shared" si="0"/>
        <v>0.7</v>
      </c>
    </row>
    <row r="11" spans="1:14">
      <c r="A11" s="3807" t="s">
        <v>3083</v>
      </c>
      <c r="B11" s="3807"/>
      <c r="C11" s="3807"/>
      <c r="D11" s="3807"/>
      <c r="E11" s="3358">
        <f>SUM(E4:E10)</f>
        <v>22357.950000000004</v>
      </c>
      <c r="F11" s="3374"/>
      <c r="G11" s="3374"/>
      <c r="H11" s="3374"/>
      <c r="I11" s="3374">
        <f>ROUND((E4*I4+K5*I5+E6*I6+E7*I7+E8*I8+E10*I10+I9*K9*0.3)/(E11-E9-E5),0)</f>
        <v>3924</v>
      </c>
      <c r="J11" s="3374">
        <f>ROUND((E4*J4+E6*J6+E7*J7+E8*J8+E10*J10)/(E11-E5-E9),2)</f>
        <v>0.6</v>
      </c>
    </row>
    <row r="14" spans="1:14">
      <c r="A14" s="3815" t="s">
        <v>3087</v>
      </c>
      <c r="B14" s="3815"/>
      <c r="C14" s="3815"/>
      <c r="D14" s="3815"/>
      <c r="E14" s="3815"/>
      <c r="F14" s="3815"/>
      <c r="G14" s="3815"/>
      <c r="H14" s="3815"/>
      <c r="I14" s="3815"/>
      <c r="J14" s="3815"/>
      <c r="K14" s="3815"/>
      <c r="L14" s="3806" t="s">
        <v>3135</v>
      </c>
    </row>
    <row r="15" spans="1:14">
      <c r="A15" s="3816" t="s">
        <v>218</v>
      </c>
      <c r="B15" s="3363" t="s">
        <v>3088</v>
      </c>
      <c r="C15" s="3363" t="s">
        <v>3089</v>
      </c>
      <c r="D15" s="3816" t="s">
        <v>3090</v>
      </c>
      <c r="E15" s="3363" t="s">
        <v>3091</v>
      </c>
      <c r="F15" s="3363" t="s">
        <v>3092</v>
      </c>
      <c r="G15" s="3816" t="s">
        <v>3093</v>
      </c>
      <c r="H15" s="3816" t="s">
        <v>3094</v>
      </c>
      <c r="I15" s="3364"/>
      <c r="J15" s="3816" t="s">
        <v>3095</v>
      </c>
      <c r="K15" s="3816" t="s">
        <v>3039</v>
      </c>
      <c r="L15" s="3807"/>
    </row>
    <row r="16" spans="1:14" ht="22.5">
      <c r="A16" s="3816"/>
      <c r="B16" s="3363" t="s">
        <v>3096</v>
      </c>
      <c r="C16" s="3363" t="s">
        <v>3097</v>
      </c>
      <c r="D16" s="3816"/>
      <c r="E16" s="3363" t="s">
        <v>3098</v>
      </c>
      <c r="F16" s="3363" t="s">
        <v>3099</v>
      </c>
      <c r="G16" s="3816"/>
      <c r="H16" s="3816"/>
      <c r="I16" s="3365" t="s">
        <v>3100</v>
      </c>
      <c r="J16" s="3816"/>
      <c r="K16" s="3816"/>
      <c r="L16" s="3807"/>
    </row>
    <row r="17" spans="1:12" ht="22.5">
      <c r="A17" s="3808">
        <v>1</v>
      </c>
      <c r="B17" s="3808" t="s">
        <v>3101</v>
      </c>
      <c r="C17" s="3817" t="s">
        <v>3102</v>
      </c>
      <c r="D17" s="3366" t="s">
        <v>3103</v>
      </c>
      <c r="E17" s="3808" t="s">
        <v>3104</v>
      </c>
      <c r="F17" s="3808">
        <v>3</v>
      </c>
      <c r="G17" s="3818">
        <v>1717.3</v>
      </c>
      <c r="H17" s="3808">
        <v>2012.5</v>
      </c>
      <c r="I17" s="3808" t="s">
        <v>150</v>
      </c>
      <c r="J17" s="3814" t="s">
        <v>3105</v>
      </c>
      <c r="K17" s="3808" t="s">
        <v>3106</v>
      </c>
      <c r="L17" s="3808"/>
    </row>
    <row r="18" spans="1:12" ht="22.5">
      <c r="A18" s="3808"/>
      <c r="B18" s="3808"/>
      <c r="C18" s="3817"/>
      <c r="D18" s="3366" t="s">
        <v>3107</v>
      </c>
      <c r="E18" s="3808"/>
      <c r="F18" s="3808"/>
      <c r="G18" s="3818"/>
      <c r="H18" s="3808"/>
      <c r="I18" s="3808"/>
      <c r="J18" s="3814"/>
      <c r="K18" s="3808"/>
      <c r="L18" s="3808"/>
    </row>
    <row r="19" spans="1:12" ht="22.5">
      <c r="A19" s="3808">
        <v>2</v>
      </c>
      <c r="B19" s="3808" t="s">
        <v>3101</v>
      </c>
      <c r="C19" s="3817" t="s">
        <v>3108</v>
      </c>
      <c r="D19" s="3366" t="s">
        <v>3103</v>
      </c>
      <c r="E19" s="3808" t="s">
        <v>3109</v>
      </c>
      <c r="F19" s="3808">
        <v>2</v>
      </c>
      <c r="G19" s="3818">
        <v>1155.67</v>
      </c>
      <c r="H19" s="3819">
        <v>35765</v>
      </c>
      <c r="I19" s="3808" t="s">
        <v>3110</v>
      </c>
      <c r="J19" s="3814" t="s">
        <v>3105</v>
      </c>
      <c r="K19" s="3808" t="s">
        <v>3111</v>
      </c>
      <c r="L19" s="3808"/>
    </row>
    <row r="20" spans="1:12" ht="22.5">
      <c r="A20" s="3808"/>
      <c r="B20" s="3808"/>
      <c r="C20" s="3817"/>
      <c r="D20" s="3366" t="s">
        <v>3107</v>
      </c>
      <c r="E20" s="3808"/>
      <c r="F20" s="3808"/>
      <c r="G20" s="3818"/>
      <c r="H20" s="3819"/>
      <c r="I20" s="3808"/>
      <c r="J20" s="3814"/>
      <c r="K20" s="3808"/>
      <c r="L20" s="3808"/>
    </row>
    <row r="21" spans="1:12" ht="22.5">
      <c r="A21" s="3809">
        <v>3</v>
      </c>
      <c r="B21" s="3809" t="s">
        <v>3101</v>
      </c>
      <c r="C21" s="3811" t="s">
        <v>3112</v>
      </c>
      <c r="D21" s="3372" t="s">
        <v>3103</v>
      </c>
      <c r="E21" s="3809" t="s">
        <v>3104</v>
      </c>
      <c r="F21" s="3809">
        <v>6</v>
      </c>
      <c r="G21" s="3820">
        <v>10590</v>
      </c>
      <c r="H21" s="3812">
        <v>40298</v>
      </c>
      <c r="I21" s="3809" t="s">
        <v>3113</v>
      </c>
      <c r="J21" s="3809" t="s">
        <v>3114</v>
      </c>
      <c r="K21" s="3809" t="s">
        <v>3106</v>
      </c>
      <c r="L21" s="3809" t="s">
        <v>3136</v>
      </c>
    </row>
    <row r="22" spans="1:12" ht="22.5">
      <c r="A22" s="3809"/>
      <c r="B22" s="3809"/>
      <c r="C22" s="3811"/>
      <c r="D22" s="3372" t="s">
        <v>3107</v>
      </c>
      <c r="E22" s="3809"/>
      <c r="F22" s="3809"/>
      <c r="G22" s="3820"/>
      <c r="H22" s="3812"/>
      <c r="I22" s="3809"/>
      <c r="J22" s="3809"/>
      <c r="K22" s="3809"/>
      <c r="L22" s="3809"/>
    </row>
    <row r="23" spans="1:12" ht="22.5">
      <c r="A23" s="3808">
        <v>4</v>
      </c>
      <c r="B23" s="3808" t="s">
        <v>3101</v>
      </c>
      <c r="C23" s="3817" t="s">
        <v>3115</v>
      </c>
      <c r="D23" s="3366" t="s">
        <v>3103</v>
      </c>
      <c r="E23" s="3808" t="s">
        <v>3116</v>
      </c>
      <c r="F23" s="3808">
        <v>1</v>
      </c>
      <c r="G23" s="3808">
        <v>370</v>
      </c>
      <c r="H23" s="3819">
        <v>38352</v>
      </c>
      <c r="I23" s="3808" t="s">
        <v>3117</v>
      </c>
      <c r="J23" s="3814" t="s">
        <v>3118</v>
      </c>
      <c r="K23" s="3808" t="s">
        <v>3111</v>
      </c>
      <c r="L23" s="3808"/>
    </row>
    <row r="24" spans="1:12" ht="22.5">
      <c r="A24" s="3808"/>
      <c r="B24" s="3808"/>
      <c r="C24" s="3817"/>
      <c r="D24" s="3366" t="s">
        <v>3107</v>
      </c>
      <c r="E24" s="3808"/>
      <c r="F24" s="3808"/>
      <c r="G24" s="3808"/>
      <c r="H24" s="3819"/>
      <c r="I24" s="3808"/>
      <c r="J24" s="3814"/>
      <c r="K24" s="3808"/>
      <c r="L24" s="3808"/>
    </row>
    <row r="25" spans="1:12" ht="22.5">
      <c r="A25" s="3808">
        <v>5</v>
      </c>
      <c r="B25" s="3808" t="s">
        <v>3101</v>
      </c>
      <c r="C25" s="3817" t="s">
        <v>3119</v>
      </c>
      <c r="D25" s="3366" t="s">
        <v>3103</v>
      </c>
      <c r="E25" s="3808" t="s">
        <v>3116</v>
      </c>
      <c r="F25" s="3808">
        <v>2</v>
      </c>
      <c r="G25" s="3808">
        <v>530</v>
      </c>
      <c r="H25" s="3819">
        <v>37894</v>
      </c>
      <c r="I25" s="3808" t="s">
        <v>3117</v>
      </c>
      <c r="J25" s="3814" t="s">
        <v>3118</v>
      </c>
      <c r="K25" s="3808" t="s">
        <v>3111</v>
      </c>
      <c r="L25" s="3808"/>
    </row>
    <row r="26" spans="1:12" ht="22.5">
      <c r="A26" s="3808"/>
      <c r="B26" s="3808"/>
      <c r="C26" s="3817"/>
      <c r="D26" s="3366" t="s">
        <v>3107</v>
      </c>
      <c r="E26" s="3808"/>
      <c r="F26" s="3808"/>
      <c r="G26" s="3808"/>
      <c r="H26" s="3819"/>
      <c r="I26" s="3808"/>
      <c r="J26" s="3814"/>
      <c r="K26" s="3808"/>
      <c r="L26" s="3808"/>
    </row>
    <row r="27" spans="1:12" ht="22.5">
      <c r="A27" s="3808">
        <v>6</v>
      </c>
      <c r="B27" s="3808" t="s">
        <v>3101</v>
      </c>
      <c r="C27" s="3817" t="s">
        <v>3120</v>
      </c>
      <c r="D27" s="3366" t="s">
        <v>3103</v>
      </c>
      <c r="E27" s="3808" t="s">
        <v>3109</v>
      </c>
      <c r="F27" s="3808">
        <v>1</v>
      </c>
      <c r="G27" s="3808">
        <v>150</v>
      </c>
      <c r="H27" s="3819">
        <v>40140</v>
      </c>
      <c r="I27" s="3808" t="s">
        <v>3121</v>
      </c>
      <c r="J27" s="3814" t="s">
        <v>3105</v>
      </c>
      <c r="K27" s="3808" t="s">
        <v>3111</v>
      </c>
      <c r="L27" s="3808"/>
    </row>
    <row r="28" spans="1:12" ht="22.5">
      <c r="A28" s="3808"/>
      <c r="B28" s="3808"/>
      <c r="C28" s="3817"/>
      <c r="D28" s="3366" t="s">
        <v>3107</v>
      </c>
      <c r="E28" s="3808"/>
      <c r="F28" s="3808"/>
      <c r="G28" s="3808"/>
      <c r="H28" s="3819"/>
      <c r="I28" s="3808"/>
      <c r="J28" s="3814"/>
      <c r="K28" s="3808"/>
      <c r="L28" s="3808"/>
    </row>
    <row r="29" spans="1:12" ht="22.5">
      <c r="A29" s="3808">
        <v>7</v>
      </c>
      <c r="B29" s="3808" t="s">
        <v>3101</v>
      </c>
      <c r="C29" s="3817" t="s">
        <v>3122</v>
      </c>
      <c r="D29" s="3366" t="s">
        <v>3103</v>
      </c>
      <c r="E29" s="3808" t="s">
        <v>3109</v>
      </c>
      <c r="F29" s="3808">
        <v>1</v>
      </c>
      <c r="G29" s="3808">
        <v>246.6</v>
      </c>
      <c r="H29" s="3819">
        <v>37179</v>
      </c>
      <c r="I29" s="3808" t="s">
        <v>3123</v>
      </c>
      <c r="J29" s="3814" t="s">
        <v>3105</v>
      </c>
      <c r="K29" s="3808" t="s">
        <v>3111</v>
      </c>
      <c r="L29" s="3808"/>
    </row>
    <row r="30" spans="1:12" ht="22.5">
      <c r="A30" s="3808"/>
      <c r="B30" s="3808"/>
      <c r="C30" s="3817"/>
      <c r="D30" s="3366" t="s">
        <v>3107</v>
      </c>
      <c r="E30" s="3808"/>
      <c r="F30" s="3808"/>
      <c r="G30" s="3808"/>
      <c r="H30" s="3819"/>
      <c r="I30" s="3808"/>
      <c r="J30" s="3814"/>
      <c r="K30" s="3808"/>
      <c r="L30" s="3808"/>
    </row>
    <row r="31" spans="1:12">
      <c r="A31" s="3367" t="s">
        <v>183</v>
      </c>
      <c r="B31" s="3367"/>
      <c r="C31" s="3367"/>
      <c r="D31" s="3367"/>
      <c r="E31" s="3367"/>
      <c r="F31" s="3367"/>
      <c r="G31" s="3368">
        <v>14759.57</v>
      </c>
      <c r="H31" s="3367"/>
      <c r="I31" s="3367"/>
      <c r="J31" s="3367"/>
      <c r="K31" s="3367"/>
      <c r="L31" s="3367"/>
    </row>
    <row r="33" spans="1:16">
      <c r="A33" s="3809"/>
      <c r="B33" s="3809"/>
      <c r="C33" s="3811" t="s">
        <v>3139</v>
      </c>
      <c r="D33" s="3372"/>
      <c r="E33" s="3809"/>
      <c r="F33" s="3809">
        <v>1</v>
      </c>
      <c r="G33" s="3809">
        <v>3900</v>
      </c>
      <c r="H33" s="3812" t="s">
        <v>3140</v>
      </c>
      <c r="I33" s="3809" t="s">
        <v>3141</v>
      </c>
      <c r="J33" s="3813" t="s">
        <v>3142</v>
      </c>
      <c r="K33" s="3809" t="s">
        <v>3143</v>
      </c>
      <c r="L33" s="3809" t="s">
        <v>3144</v>
      </c>
    </row>
    <row r="34" spans="1:16">
      <c r="A34" s="3809"/>
      <c r="B34" s="3809"/>
      <c r="C34" s="3811"/>
      <c r="D34" s="3372"/>
      <c r="E34" s="3809"/>
      <c r="F34" s="3809"/>
      <c r="G34" s="3809"/>
      <c r="H34" s="3812"/>
      <c r="I34" s="3809"/>
      <c r="J34" s="3813"/>
      <c r="K34" s="3809"/>
      <c r="L34" s="3809"/>
    </row>
    <row r="37" spans="1:16">
      <c r="A37" s="3379" t="s">
        <v>3145</v>
      </c>
    </row>
    <row r="38" spans="1:16">
      <c r="A38" s="3810" t="s">
        <v>3146</v>
      </c>
      <c r="B38" s="3810"/>
      <c r="C38" s="3810"/>
      <c r="D38" s="3810"/>
      <c r="E38" s="3810"/>
      <c r="G38" s="3360" t="s">
        <v>3155</v>
      </c>
      <c r="I38" s="3821" t="s">
        <v>3195</v>
      </c>
      <c r="J38" s="3821"/>
      <c r="K38" s="3821"/>
      <c r="L38" s="3821"/>
      <c r="M38" s="3821"/>
      <c r="N38" s="3386"/>
    </row>
    <row r="39" spans="1:16" ht="27">
      <c r="A39" s="3356" t="s">
        <v>3147</v>
      </c>
      <c r="B39" s="3356" t="s">
        <v>3148</v>
      </c>
      <c r="C39" s="3356" t="s">
        <v>3149</v>
      </c>
      <c r="D39" s="3356" t="s">
        <v>3150</v>
      </c>
      <c r="E39" s="3380" t="s">
        <v>3151</v>
      </c>
      <c r="G39">
        <v>82323.28</v>
      </c>
      <c r="J39" t="s">
        <v>3196</v>
      </c>
      <c r="K39">
        <v>6377.35</v>
      </c>
      <c r="L39" t="s">
        <v>3197</v>
      </c>
      <c r="M39">
        <v>6711.29</v>
      </c>
    </row>
    <row r="40" spans="1:16">
      <c r="A40" s="3359">
        <v>1</v>
      </c>
      <c r="B40" s="3359">
        <v>1</v>
      </c>
      <c r="C40" s="3359" t="s">
        <v>3152</v>
      </c>
      <c r="D40" s="3359">
        <v>1997</v>
      </c>
      <c r="E40" s="3358">
        <v>61.39</v>
      </c>
      <c r="G40" s="3360" t="s">
        <v>3156</v>
      </c>
      <c r="I40" s="3387" t="s">
        <v>3198</v>
      </c>
      <c r="J40" s="3387" t="s">
        <v>3199</v>
      </c>
      <c r="K40" s="3387" t="s">
        <v>3200</v>
      </c>
      <c r="L40" s="3387" t="s">
        <v>3201</v>
      </c>
      <c r="M40" s="3387" t="s">
        <v>3202</v>
      </c>
      <c r="N40" s="3387" t="s">
        <v>3203</v>
      </c>
      <c r="O40" s="3387" t="s">
        <v>3204</v>
      </c>
      <c r="P40" t="s">
        <v>3205</v>
      </c>
    </row>
    <row r="41" spans="1:16">
      <c r="A41" s="3359">
        <v>2</v>
      </c>
      <c r="B41" s="3359">
        <v>1</v>
      </c>
      <c r="C41" s="3359" t="s">
        <v>3152</v>
      </c>
      <c r="D41" s="3359">
        <v>1997</v>
      </c>
      <c r="E41" s="3358">
        <v>301.76</v>
      </c>
      <c r="G41" s="3361">
        <f>E161/G39</f>
        <v>0.15470860733440175</v>
      </c>
      <c r="I41" s="3387">
        <v>1</v>
      </c>
      <c r="J41" s="3387">
        <v>1</v>
      </c>
      <c r="K41" s="3387" t="s">
        <v>3206</v>
      </c>
      <c r="L41" s="3387">
        <v>1997</v>
      </c>
      <c r="M41" s="3387">
        <v>61.39</v>
      </c>
      <c r="N41" s="3387">
        <v>0</v>
      </c>
      <c r="O41" s="3388" t="s">
        <v>3207</v>
      </c>
      <c r="P41">
        <f>ROUND(N41*M41,0)</f>
        <v>0</v>
      </c>
    </row>
    <row r="42" spans="1:16">
      <c r="A42" s="3359">
        <v>3</v>
      </c>
      <c r="B42" s="3359">
        <v>1</v>
      </c>
      <c r="C42" s="3359" t="s">
        <v>3152</v>
      </c>
      <c r="D42" s="3359">
        <v>1997</v>
      </c>
      <c r="E42" s="3358">
        <v>83.09</v>
      </c>
      <c r="I42" s="3387">
        <v>2</v>
      </c>
      <c r="J42" s="3387">
        <v>1</v>
      </c>
      <c r="K42" s="3387" t="s">
        <v>3206</v>
      </c>
      <c r="L42" s="3389">
        <v>1997</v>
      </c>
      <c r="M42" s="3389">
        <v>301.76</v>
      </c>
      <c r="N42" s="3389">
        <v>0</v>
      </c>
      <c r="O42" s="3388" t="s">
        <v>3207</v>
      </c>
      <c r="P42">
        <f t="shared" ref="P42:P105" si="1">ROUND(N42*M42,0)</f>
        <v>0</v>
      </c>
    </row>
    <row r="43" spans="1:16">
      <c r="A43" s="3359">
        <v>4</v>
      </c>
      <c r="B43" s="3359">
        <v>1</v>
      </c>
      <c r="C43" s="3359" t="s">
        <v>3153</v>
      </c>
      <c r="D43" s="3359">
        <v>1997</v>
      </c>
      <c r="E43" s="3358">
        <v>43.48</v>
      </c>
      <c r="I43" s="3387">
        <v>3</v>
      </c>
      <c r="J43" s="3387">
        <v>1</v>
      </c>
      <c r="K43" s="3387" t="s">
        <v>3206</v>
      </c>
      <c r="L43" s="3387">
        <v>1997</v>
      </c>
      <c r="M43" s="3387">
        <v>83.09</v>
      </c>
      <c r="N43" s="3387">
        <v>0</v>
      </c>
      <c r="O43" s="3388" t="s">
        <v>3207</v>
      </c>
      <c r="P43">
        <f t="shared" si="1"/>
        <v>0</v>
      </c>
    </row>
    <row r="44" spans="1:16">
      <c r="A44" s="3359">
        <v>5</v>
      </c>
      <c r="B44" s="3359">
        <v>1</v>
      </c>
      <c r="C44" s="3359" t="s">
        <v>3153</v>
      </c>
      <c r="D44" s="3359">
        <v>1997</v>
      </c>
      <c r="E44" s="3358">
        <v>82.34</v>
      </c>
      <c r="I44" s="3387">
        <v>4</v>
      </c>
      <c r="J44" s="3387">
        <v>1</v>
      </c>
      <c r="K44" s="3387" t="s">
        <v>3208</v>
      </c>
      <c r="L44" s="3387">
        <v>1997</v>
      </c>
      <c r="M44" s="3387">
        <v>43.48</v>
      </c>
      <c r="N44" s="3387">
        <v>1200</v>
      </c>
      <c r="O44" s="3387"/>
      <c r="P44">
        <f t="shared" si="1"/>
        <v>52176</v>
      </c>
    </row>
    <row r="45" spans="1:16">
      <c r="A45" s="3359">
        <v>6</v>
      </c>
      <c r="B45" s="3359">
        <v>1</v>
      </c>
      <c r="C45" s="3359" t="s">
        <v>3153</v>
      </c>
      <c r="D45" s="3359">
        <v>1997</v>
      </c>
      <c r="E45" s="3358">
        <v>58.52</v>
      </c>
      <c r="I45" s="3387">
        <v>5</v>
      </c>
      <c r="J45" s="3387">
        <v>1</v>
      </c>
      <c r="K45" s="3387" t="s">
        <v>3208</v>
      </c>
      <c r="L45" s="3387">
        <v>1997</v>
      </c>
      <c r="M45" s="3387">
        <v>82.34</v>
      </c>
      <c r="N45" s="3387">
        <v>1200</v>
      </c>
      <c r="O45" s="3387"/>
      <c r="P45">
        <f t="shared" si="1"/>
        <v>98808</v>
      </c>
    </row>
    <row r="46" spans="1:16">
      <c r="A46" s="3359">
        <v>7</v>
      </c>
      <c r="B46" s="3359">
        <v>1</v>
      </c>
      <c r="C46" s="3359" t="s">
        <v>3153</v>
      </c>
      <c r="D46" s="3359">
        <v>1997</v>
      </c>
      <c r="E46" s="3358">
        <v>90.78</v>
      </c>
      <c r="I46" s="3390">
        <v>6</v>
      </c>
      <c r="J46" s="3390">
        <v>1</v>
      </c>
      <c r="K46" s="3390" t="s">
        <v>3208</v>
      </c>
      <c r="L46" s="3390">
        <v>1997</v>
      </c>
      <c r="M46" s="3390">
        <v>58.52</v>
      </c>
      <c r="N46" s="3387">
        <v>1200</v>
      </c>
      <c r="O46" s="3387"/>
      <c r="P46">
        <f t="shared" si="1"/>
        <v>70224</v>
      </c>
    </row>
    <row r="47" spans="1:16">
      <c r="A47" s="3359">
        <v>8</v>
      </c>
      <c r="B47" s="3359">
        <v>1</v>
      </c>
      <c r="C47" s="3359" t="s">
        <v>3153</v>
      </c>
      <c r="D47" s="3359">
        <v>1997</v>
      </c>
      <c r="E47" s="3358">
        <v>91.28</v>
      </c>
      <c r="I47" s="3387">
        <v>7</v>
      </c>
      <c r="J47" s="3387">
        <v>1</v>
      </c>
      <c r="K47" s="3387" t="s">
        <v>3208</v>
      </c>
      <c r="L47" s="3387">
        <v>1997</v>
      </c>
      <c r="M47" s="3387">
        <v>90.78</v>
      </c>
      <c r="N47" s="3387">
        <v>1200</v>
      </c>
      <c r="O47" s="3387"/>
      <c r="P47">
        <f t="shared" si="1"/>
        <v>108936</v>
      </c>
    </row>
    <row r="48" spans="1:16">
      <c r="A48" s="3359">
        <v>9</v>
      </c>
      <c r="B48" s="3359">
        <v>2</v>
      </c>
      <c r="C48" s="3359" t="s">
        <v>3153</v>
      </c>
      <c r="D48" s="3359">
        <v>1997</v>
      </c>
      <c r="E48" s="3358">
        <v>72.239999999999995</v>
      </c>
      <c r="I48" s="3387">
        <v>8</v>
      </c>
      <c r="J48" s="3387">
        <v>1</v>
      </c>
      <c r="K48" s="3387" t="s">
        <v>3208</v>
      </c>
      <c r="L48" s="3387">
        <v>1997</v>
      </c>
      <c r="M48" s="3387">
        <v>91.28</v>
      </c>
      <c r="N48" s="3387">
        <v>1200</v>
      </c>
      <c r="O48" s="3387"/>
      <c r="P48">
        <f t="shared" si="1"/>
        <v>109536</v>
      </c>
    </row>
    <row r="49" spans="1:16">
      <c r="A49" s="3359">
        <v>10</v>
      </c>
      <c r="B49" s="3359">
        <v>1</v>
      </c>
      <c r="C49" s="3359" t="s">
        <v>3153</v>
      </c>
      <c r="D49" s="3359">
        <v>1997</v>
      </c>
      <c r="E49" s="3358">
        <v>49.41</v>
      </c>
      <c r="I49" s="3387">
        <v>9</v>
      </c>
      <c r="J49" s="3387">
        <v>2</v>
      </c>
      <c r="K49" s="3387" t="s">
        <v>3208</v>
      </c>
      <c r="L49" s="3387">
        <v>1997</v>
      </c>
      <c r="M49" s="3387">
        <v>72.239999999999995</v>
      </c>
      <c r="N49" s="3387">
        <v>1200</v>
      </c>
      <c r="O49" s="3387"/>
      <c r="P49">
        <f t="shared" si="1"/>
        <v>86688</v>
      </c>
    </row>
    <row r="50" spans="1:16">
      <c r="A50" s="3359">
        <v>11</v>
      </c>
      <c r="B50" s="3359">
        <v>1</v>
      </c>
      <c r="C50" s="3359" t="s">
        <v>3153</v>
      </c>
      <c r="D50" s="3359">
        <v>1997</v>
      </c>
      <c r="E50" s="3358">
        <v>26.6</v>
      </c>
      <c r="I50" s="3387">
        <v>10</v>
      </c>
      <c r="J50" s="3387">
        <v>1</v>
      </c>
      <c r="K50" s="3387" t="s">
        <v>3208</v>
      </c>
      <c r="L50" s="3387">
        <v>1997</v>
      </c>
      <c r="M50" s="3387">
        <v>49.41</v>
      </c>
      <c r="N50" s="3387">
        <v>1200</v>
      </c>
      <c r="O50" s="3387"/>
      <c r="P50">
        <f t="shared" si="1"/>
        <v>59292</v>
      </c>
    </row>
    <row r="51" spans="1:16">
      <c r="A51" s="3359">
        <v>17</v>
      </c>
      <c r="B51" s="3359">
        <v>1</v>
      </c>
      <c r="C51" s="3359" t="s">
        <v>3153</v>
      </c>
      <c r="D51" s="3359">
        <v>1997</v>
      </c>
      <c r="E51" s="3358">
        <v>44.55</v>
      </c>
      <c r="I51" s="3387">
        <v>11</v>
      </c>
      <c r="J51" s="3387">
        <v>1</v>
      </c>
      <c r="K51" s="3387" t="s">
        <v>3208</v>
      </c>
      <c r="L51" s="3387">
        <v>1997</v>
      </c>
      <c r="M51" s="3387">
        <v>26.6</v>
      </c>
      <c r="N51" s="3387">
        <v>0</v>
      </c>
      <c r="O51" s="3388" t="s">
        <v>3207</v>
      </c>
      <c r="P51">
        <f t="shared" si="1"/>
        <v>0</v>
      </c>
    </row>
    <row r="52" spans="1:16">
      <c r="A52" s="3359">
        <v>18</v>
      </c>
      <c r="B52" s="3359">
        <v>1</v>
      </c>
      <c r="C52" s="3359" t="s">
        <v>3153</v>
      </c>
      <c r="D52" s="3359">
        <v>1997</v>
      </c>
      <c r="E52" s="3358">
        <v>93.55</v>
      </c>
      <c r="I52" s="3391">
        <v>12</v>
      </c>
      <c r="J52" s="3391">
        <v>1</v>
      </c>
      <c r="K52" s="3391" t="s">
        <v>3208</v>
      </c>
      <c r="L52" s="3391">
        <v>1997</v>
      </c>
      <c r="M52" s="3391">
        <v>49.84</v>
      </c>
      <c r="N52" s="3387">
        <v>1200</v>
      </c>
      <c r="O52" s="3387"/>
      <c r="P52">
        <f t="shared" si="1"/>
        <v>59808</v>
      </c>
    </row>
    <row r="53" spans="1:16">
      <c r="A53" s="3359">
        <v>19</v>
      </c>
      <c r="B53" s="3359">
        <v>2</v>
      </c>
      <c r="C53" s="3359" t="s">
        <v>3153</v>
      </c>
      <c r="D53" s="3359">
        <v>1997</v>
      </c>
      <c r="E53" s="3358">
        <v>1246.02</v>
      </c>
      <c r="I53" s="3391">
        <v>13</v>
      </c>
      <c r="J53" s="3391">
        <v>1</v>
      </c>
      <c r="K53" s="3391" t="s">
        <v>3208</v>
      </c>
      <c r="L53" s="3391">
        <v>1997</v>
      </c>
      <c r="M53" s="3391">
        <v>97.25</v>
      </c>
      <c r="N53" s="3387">
        <v>1200</v>
      </c>
      <c r="O53" s="3387"/>
      <c r="P53">
        <f t="shared" si="1"/>
        <v>116700</v>
      </c>
    </row>
    <row r="54" spans="1:16">
      <c r="A54" s="3359">
        <v>20</v>
      </c>
      <c r="B54" s="3359">
        <v>1</v>
      </c>
      <c r="C54" s="3359" t="s">
        <v>3153</v>
      </c>
      <c r="D54" s="3359">
        <v>1997</v>
      </c>
      <c r="E54" s="3358">
        <v>21.42</v>
      </c>
      <c r="I54" s="3391">
        <v>14</v>
      </c>
      <c r="J54" s="3391">
        <v>1</v>
      </c>
      <c r="K54" s="3391" t="s">
        <v>3208</v>
      </c>
      <c r="L54" s="3391">
        <v>1997</v>
      </c>
      <c r="M54" s="3391">
        <v>49.97</v>
      </c>
      <c r="N54" s="3387">
        <v>1200</v>
      </c>
      <c r="O54" s="3387"/>
      <c r="P54">
        <f t="shared" si="1"/>
        <v>59964</v>
      </c>
    </row>
    <row r="55" spans="1:16">
      <c r="A55" s="3359">
        <v>21</v>
      </c>
      <c r="B55" s="3359">
        <v>1</v>
      </c>
      <c r="C55" s="3359" t="s">
        <v>3153</v>
      </c>
      <c r="D55" s="3359">
        <v>1997</v>
      </c>
      <c r="E55" s="3358">
        <v>38.01</v>
      </c>
      <c r="I55" s="3391">
        <v>15</v>
      </c>
      <c r="J55" s="3391">
        <v>1</v>
      </c>
      <c r="K55" s="3391" t="s">
        <v>3208</v>
      </c>
      <c r="L55" s="3391">
        <v>1997</v>
      </c>
      <c r="M55" s="3391">
        <v>31.75</v>
      </c>
      <c r="N55" s="3387">
        <v>1200</v>
      </c>
      <c r="O55" s="3387"/>
      <c r="P55">
        <f t="shared" si="1"/>
        <v>38100</v>
      </c>
    </row>
    <row r="56" spans="1:16">
      <c r="A56" s="3359">
        <v>22</v>
      </c>
      <c r="B56" s="3359">
        <v>1</v>
      </c>
      <c r="C56" s="3359" t="s">
        <v>3153</v>
      </c>
      <c r="D56" s="3359">
        <v>1997</v>
      </c>
      <c r="E56" s="3358">
        <v>120.32</v>
      </c>
      <c r="I56" s="3391">
        <v>16</v>
      </c>
      <c r="J56" s="3391">
        <v>1</v>
      </c>
      <c r="K56" s="3391" t="s">
        <v>3208</v>
      </c>
      <c r="L56" s="3391">
        <v>1997</v>
      </c>
      <c r="M56" s="3391">
        <v>76.95</v>
      </c>
      <c r="N56" s="3387">
        <v>1200</v>
      </c>
      <c r="O56" s="3387"/>
      <c r="P56">
        <f t="shared" si="1"/>
        <v>92340</v>
      </c>
    </row>
    <row r="57" spans="1:16">
      <c r="A57" s="3359">
        <v>23</v>
      </c>
      <c r="B57" s="3359">
        <v>1</v>
      </c>
      <c r="C57" s="3359" t="s">
        <v>3153</v>
      </c>
      <c r="D57" s="3359">
        <v>1997</v>
      </c>
      <c r="E57" s="3358">
        <v>70.05</v>
      </c>
      <c r="I57" s="3387">
        <v>17</v>
      </c>
      <c r="J57" s="3387">
        <v>1</v>
      </c>
      <c r="K57" s="3387" t="s">
        <v>3208</v>
      </c>
      <c r="L57" s="3387">
        <v>1997</v>
      </c>
      <c r="M57" s="3387">
        <v>44.55</v>
      </c>
      <c r="N57" s="3387">
        <v>1200</v>
      </c>
      <c r="O57" s="3387"/>
      <c r="P57">
        <f t="shared" si="1"/>
        <v>53460</v>
      </c>
    </row>
    <row r="58" spans="1:16">
      <c r="A58" s="3359">
        <v>24</v>
      </c>
      <c r="B58" s="3359">
        <v>1</v>
      </c>
      <c r="C58" s="3359" t="s">
        <v>3153</v>
      </c>
      <c r="D58" s="3359">
        <v>1997</v>
      </c>
      <c r="E58" s="3358">
        <v>64.290000000000006</v>
      </c>
      <c r="I58" s="3387">
        <v>18</v>
      </c>
      <c r="J58" s="3387">
        <v>1</v>
      </c>
      <c r="K58" s="3387" t="s">
        <v>3208</v>
      </c>
      <c r="L58" s="3387">
        <v>1997</v>
      </c>
      <c r="M58" s="3387">
        <v>93.55</v>
      </c>
      <c r="N58" s="3387">
        <v>1200</v>
      </c>
      <c r="O58" s="3387"/>
      <c r="P58">
        <f t="shared" si="1"/>
        <v>112260</v>
      </c>
    </row>
    <row r="59" spans="1:16">
      <c r="A59" s="3359">
        <v>25</v>
      </c>
      <c r="B59" s="3359">
        <v>1</v>
      </c>
      <c r="C59" s="3359" t="s">
        <v>3153</v>
      </c>
      <c r="D59" s="3359">
        <v>1997</v>
      </c>
      <c r="E59" s="3358">
        <v>66.209999999999994</v>
      </c>
      <c r="I59" s="3387">
        <v>19</v>
      </c>
      <c r="J59" s="3387">
        <v>2</v>
      </c>
      <c r="K59" s="3387" t="s">
        <v>3208</v>
      </c>
      <c r="L59" s="3387">
        <v>1997</v>
      </c>
      <c r="M59" s="3387">
        <v>1246.02</v>
      </c>
      <c r="N59" s="3387">
        <v>1200</v>
      </c>
      <c r="O59" s="3387"/>
      <c r="P59">
        <f t="shared" si="1"/>
        <v>1495224</v>
      </c>
    </row>
    <row r="60" spans="1:16">
      <c r="A60" s="3359">
        <v>26</v>
      </c>
      <c r="B60" s="3359">
        <v>1</v>
      </c>
      <c r="C60" s="3359" t="s">
        <v>3153</v>
      </c>
      <c r="D60" s="3359">
        <v>1997</v>
      </c>
      <c r="E60" s="3358">
        <v>132.13</v>
      </c>
      <c r="I60" s="3387">
        <v>20</v>
      </c>
      <c r="J60" s="3387">
        <v>1</v>
      </c>
      <c r="K60" s="3387" t="s">
        <v>3208</v>
      </c>
      <c r="L60" s="3387">
        <v>1997</v>
      </c>
      <c r="M60" s="3387">
        <v>21.42</v>
      </c>
      <c r="N60" s="3387">
        <v>1200</v>
      </c>
      <c r="O60" s="3387"/>
      <c r="P60">
        <f t="shared" si="1"/>
        <v>25704</v>
      </c>
    </row>
    <row r="61" spans="1:16">
      <c r="A61" s="3359">
        <v>27</v>
      </c>
      <c r="B61" s="3359">
        <v>1</v>
      </c>
      <c r="C61" s="3359" t="s">
        <v>3153</v>
      </c>
      <c r="D61" s="3359">
        <v>1997</v>
      </c>
      <c r="E61" s="3358">
        <v>27.9</v>
      </c>
      <c r="I61" s="3387">
        <v>21</v>
      </c>
      <c r="J61" s="3387">
        <v>1</v>
      </c>
      <c r="K61" s="3387" t="s">
        <v>3208</v>
      </c>
      <c r="L61" s="3387">
        <v>1997</v>
      </c>
      <c r="M61" s="3387">
        <v>38.01</v>
      </c>
      <c r="N61" s="3387">
        <v>1200</v>
      </c>
      <c r="O61" s="3387"/>
      <c r="P61">
        <f t="shared" si="1"/>
        <v>45612</v>
      </c>
    </row>
    <row r="62" spans="1:16">
      <c r="A62" s="3359">
        <v>28</v>
      </c>
      <c r="B62" s="3359">
        <v>1</v>
      </c>
      <c r="C62" s="3359" t="s">
        <v>3153</v>
      </c>
      <c r="D62" s="3359">
        <v>1997</v>
      </c>
      <c r="E62" s="3358">
        <v>31.4</v>
      </c>
      <c r="I62" s="3390">
        <v>22</v>
      </c>
      <c r="J62" s="3390">
        <v>1</v>
      </c>
      <c r="K62" s="3390" t="s">
        <v>3208</v>
      </c>
      <c r="L62" s="3390">
        <v>1997</v>
      </c>
      <c r="M62" s="3390">
        <v>120.32</v>
      </c>
      <c r="N62" s="3387">
        <v>1200</v>
      </c>
      <c r="O62" s="3387"/>
      <c r="P62">
        <f t="shared" si="1"/>
        <v>144384</v>
      </c>
    </row>
    <row r="63" spans="1:16">
      <c r="A63" s="3359">
        <v>29</v>
      </c>
      <c r="B63" s="3359">
        <v>1</v>
      </c>
      <c r="C63" s="3359" t="s">
        <v>3153</v>
      </c>
      <c r="D63" s="3359">
        <v>1997</v>
      </c>
      <c r="E63" s="3358">
        <v>18.670000000000002</v>
      </c>
      <c r="I63" s="3387">
        <v>23</v>
      </c>
      <c r="J63" s="3387">
        <v>1</v>
      </c>
      <c r="K63" s="3387" t="s">
        <v>3208</v>
      </c>
      <c r="L63" s="3387">
        <v>1997</v>
      </c>
      <c r="M63" s="3387">
        <v>70.05</v>
      </c>
      <c r="N63" s="3387">
        <v>1200</v>
      </c>
      <c r="O63" s="3387"/>
      <c r="P63">
        <f t="shared" si="1"/>
        <v>84060</v>
      </c>
    </row>
    <row r="64" spans="1:16">
      <c r="A64" s="3359">
        <v>30</v>
      </c>
      <c r="B64" s="3359">
        <v>1</v>
      </c>
      <c r="C64" s="3359" t="s">
        <v>3153</v>
      </c>
      <c r="D64" s="3359">
        <v>1997</v>
      </c>
      <c r="E64" s="3358">
        <v>97.5</v>
      </c>
      <c r="I64" s="3387">
        <v>24</v>
      </c>
      <c r="J64" s="3387">
        <v>1</v>
      </c>
      <c r="K64" s="3387" t="s">
        <v>3208</v>
      </c>
      <c r="L64" s="3387">
        <v>1997</v>
      </c>
      <c r="M64" s="3387">
        <v>64.290000000000006</v>
      </c>
      <c r="N64" s="3387">
        <v>1200</v>
      </c>
      <c r="O64" s="3387"/>
      <c r="P64">
        <f t="shared" si="1"/>
        <v>77148</v>
      </c>
    </row>
    <row r="65" spans="1:16">
      <c r="A65" s="3359">
        <v>31</v>
      </c>
      <c r="B65" s="3359">
        <v>1</v>
      </c>
      <c r="C65" s="3359" t="s">
        <v>3153</v>
      </c>
      <c r="D65" s="3359">
        <v>1997</v>
      </c>
      <c r="E65" s="3358">
        <v>36.43</v>
      </c>
      <c r="I65" s="3387">
        <v>25</v>
      </c>
      <c r="J65" s="3387">
        <v>1</v>
      </c>
      <c r="K65" s="3387" t="s">
        <v>3208</v>
      </c>
      <c r="L65" s="3387">
        <v>1997</v>
      </c>
      <c r="M65" s="3387">
        <v>66.209999999999994</v>
      </c>
      <c r="N65" s="3387">
        <v>1200</v>
      </c>
      <c r="O65" s="3387"/>
      <c r="P65">
        <f t="shared" si="1"/>
        <v>79452</v>
      </c>
    </row>
    <row r="66" spans="1:16">
      <c r="A66" s="3359">
        <v>32</v>
      </c>
      <c r="B66" s="3359">
        <v>1</v>
      </c>
      <c r="C66" s="3359" t="s">
        <v>3153</v>
      </c>
      <c r="D66" s="3359">
        <v>1997</v>
      </c>
      <c r="E66" s="3358">
        <v>28.5</v>
      </c>
      <c r="I66" s="3387">
        <v>26</v>
      </c>
      <c r="J66" s="3387">
        <v>1</v>
      </c>
      <c r="K66" s="3387" t="s">
        <v>3208</v>
      </c>
      <c r="L66" s="3387">
        <v>1997</v>
      </c>
      <c r="M66" s="3387">
        <v>132.13</v>
      </c>
      <c r="N66" s="3387">
        <v>0</v>
      </c>
      <c r="O66" s="3388" t="s">
        <v>3207</v>
      </c>
      <c r="P66">
        <f t="shared" si="1"/>
        <v>0</v>
      </c>
    </row>
    <row r="67" spans="1:16">
      <c r="A67" s="3359">
        <v>33</v>
      </c>
      <c r="B67" s="3359">
        <v>1</v>
      </c>
      <c r="C67" s="3359" t="s">
        <v>3153</v>
      </c>
      <c r="D67" s="3359">
        <v>1997</v>
      </c>
      <c r="E67" s="3358">
        <v>106.9</v>
      </c>
      <c r="I67" s="3387">
        <v>27</v>
      </c>
      <c r="J67" s="3387">
        <v>1</v>
      </c>
      <c r="K67" s="3387" t="s">
        <v>3208</v>
      </c>
      <c r="L67" s="3387">
        <v>1997</v>
      </c>
      <c r="M67" s="3387">
        <v>27.9</v>
      </c>
      <c r="N67" s="3387">
        <v>0</v>
      </c>
      <c r="O67" s="3388" t="s">
        <v>3207</v>
      </c>
      <c r="P67">
        <f t="shared" si="1"/>
        <v>0</v>
      </c>
    </row>
    <row r="68" spans="1:16">
      <c r="A68" s="3359">
        <v>34</v>
      </c>
      <c r="B68" s="3359">
        <v>1</v>
      </c>
      <c r="C68" s="3359" t="s">
        <v>3153</v>
      </c>
      <c r="D68" s="3359">
        <v>1997</v>
      </c>
      <c r="E68" s="3358">
        <v>30.78</v>
      </c>
      <c r="I68" s="3387">
        <v>28</v>
      </c>
      <c r="J68" s="3387">
        <v>1</v>
      </c>
      <c r="K68" s="3387" t="s">
        <v>3208</v>
      </c>
      <c r="L68" s="3387">
        <v>1997</v>
      </c>
      <c r="M68" s="3387">
        <v>31.4</v>
      </c>
      <c r="N68" s="3387">
        <v>1200</v>
      </c>
      <c r="O68" s="3387"/>
      <c r="P68">
        <f t="shared" si="1"/>
        <v>37680</v>
      </c>
    </row>
    <row r="69" spans="1:16">
      <c r="A69" s="3359">
        <v>35</v>
      </c>
      <c r="B69" s="3359">
        <v>1</v>
      </c>
      <c r="C69" s="3359" t="s">
        <v>3153</v>
      </c>
      <c r="D69" s="3359">
        <v>1997</v>
      </c>
      <c r="E69" s="3358">
        <v>33.700000000000003</v>
      </c>
      <c r="I69" s="3387">
        <v>29</v>
      </c>
      <c r="J69" s="3387">
        <v>1</v>
      </c>
      <c r="K69" s="3387" t="s">
        <v>3208</v>
      </c>
      <c r="L69" s="3387">
        <v>1997</v>
      </c>
      <c r="M69" s="3387">
        <v>18.670000000000002</v>
      </c>
      <c r="N69" s="3387">
        <v>1200</v>
      </c>
      <c r="O69" s="3387"/>
      <c r="P69">
        <f t="shared" si="1"/>
        <v>22404</v>
      </c>
    </row>
    <row r="70" spans="1:16">
      <c r="A70" s="3359">
        <v>36</v>
      </c>
      <c r="B70" s="3359">
        <v>1</v>
      </c>
      <c r="C70" s="3359" t="s">
        <v>3153</v>
      </c>
      <c r="D70" s="3359">
        <v>1997</v>
      </c>
      <c r="E70" s="3358">
        <v>33.64</v>
      </c>
      <c r="I70" s="3387">
        <v>30</v>
      </c>
      <c r="J70" s="3387">
        <v>1</v>
      </c>
      <c r="K70" s="3387" t="s">
        <v>3208</v>
      </c>
      <c r="L70" s="3387">
        <v>1997</v>
      </c>
      <c r="M70" s="3387">
        <v>97.5</v>
      </c>
      <c r="N70" s="3387">
        <v>1200</v>
      </c>
      <c r="O70" s="3387"/>
      <c r="P70">
        <f t="shared" si="1"/>
        <v>117000</v>
      </c>
    </row>
    <row r="71" spans="1:16">
      <c r="A71" s="3359">
        <v>37</v>
      </c>
      <c r="B71" s="3359">
        <v>2</v>
      </c>
      <c r="C71" s="3359" t="s">
        <v>3153</v>
      </c>
      <c r="D71" s="3359">
        <v>1997</v>
      </c>
      <c r="E71" s="3358">
        <v>129.12</v>
      </c>
      <c r="I71" s="3387">
        <v>31</v>
      </c>
      <c r="J71" s="3387">
        <v>1</v>
      </c>
      <c r="K71" s="3387" t="s">
        <v>3208</v>
      </c>
      <c r="L71" s="3387">
        <v>1997</v>
      </c>
      <c r="M71" s="3387">
        <v>36.43</v>
      </c>
      <c r="N71" s="3387">
        <v>1200</v>
      </c>
      <c r="O71" s="3387"/>
      <c r="P71">
        <f t="shared" si="1"/>
        <v>43716</v>
      </c>
    </row>
    <row r="72" spans="1:16">
      <c r="A72" s="3359">
        <v>38</v>
      </c>
      <c r="B72" s="3359">
        <v>1</v>
      </c>
      <c r="C72" s="3359" t="s">
        <v>3153</v>
      </c>
      <c r="D72" s="3359">
        <v>1997</v>
      </c>
      <c r="E72" s="3358">
        <v>32.31</v>
      </c>
      <c r="I72" s="3387">
        <v>32</v>
      </c>
      <c r="J72" s="3387">
        <v>1</v>
      </c>
      <c r="K72" s="3387" t="s">
        <v>3208</v>
      </c>
      <c r="L72" s="3387">
        <v>1997</v>
      </c>
      <c r="M72" s="3387">
        <v>28.5</v>
      </c>
      <c r="N72" s="3387">
        <v>1200</v>
      </c>
      <c r="O72" s="3387"/>
      <c r="P72">
        <f t="shared" si="1"/>
        <v>34200</v>
      </c>
    </row>
    <row r="73" spans="1:16">
      <c r="A73" s="3359">
        <v>39</v>
      </c>
      <c r="B73" s="3359">
        <v>1</v>
      </c>
      <c r="C73" s="3359" t="s">
        <v>3153</v>
      </c>
      <c r="D73" s="3359">
        <v>1997</v>
      </c>
      <c r="E73" s="3358">
        <v>76.38</v>
      </c>
      <c r="I73" s="3387">
        <v>33</v>
      </c>
      <c r="J73" s="3387">
        <v>1</v>
      </c>
      <c r="K73" s="3387" t="s">
        <v>3208</v>
      </c>
      <c r="L73" s="3387">
        <v>1997</v>
      </c>
      <c r="M73" s="3387">
        <v>106.9</v>
      </c>
      <c r="N73" s="3387">
        <v>1200</v>
      </c>
      <c r="O73" s="3387"/>
      <c r="P73">
        <f t="shared" si="1"/>
        <v>128280</v>
      </c>
    </row>
    <row r="74" spans="1:16">
      <c r="A74" s="3359">
        <v>40</v>
      </c>
      <c r="B74" s="3359">
        <v>1</v>
      </c>
      <c r="C74" s="3359" t="s">
        <v>3153</v>
      </c>
      <c r="D74" s="3359">
        <v>1997</v>
      </c>
      <c r="E74" s="3358">
        <v>44.51</v>
      </c>
      <c r="I74" s="3387">
        <v>34</v>
      </c>
      <c r="J74" s="3387">
        <v>1</v>
      </c>
      <c r="K74" s="3387" t="s">
        <v>3208</v>
      </c>
      <c r="L74" s="3387">
        <v>1997</v>
      </c>
      <c r="M74" s="3387">
        <v>30.78</v>
      </c>
      <c r="N74" s="3387">
        <v>1200</v>
      </c>
      <c r="O74" s="3387"/>
      <c r="P74">
        <f t="shared" si="1"/>
        <v>36936</v>
      </c>
    </row>
    <row r="75" spans="1:16">
      <c r="A75" s="3359">
        <v>41</v>
      </c>
      <c r="B75" s="3359">
        <v>2</v>
      </c>
      <c r="C75" s="3359" t="s">
        <v>3153</v>
      </c>
      <c r="D75" s="3359">
        <v>1997</v>
      </c>
      <c r="E75" s="3358">
        <v>78.459999999999994</v>
      </c>
      <c r="I75" s="3387">
        <v>35</v>
      </c>
      <c r="J75" s="3387">
        <v>1</v>
      </c>
      <c r="K75" s="3387" t="s">
        <v>3208</v>
      </c>
      <c r="L75" s="3387">
        <v>1997</v>
      </c>
      <c r="M75" s="3387">
        <v>33.700000000000003</v>
      </c>
      <c r="N75" s="3387">
        <v>1200</v>
      </c>
      <c r="O75" s="3387"/>
      <c r="P75">
        <f t="shared" si="1"/>
        <v>40440</v>
      </c>
    </row>
    <row r="76" spans="1:16">
      <c r="A76" s="3359">
        <v>42</v>
      </c>
      <c r="B76" s="3359">
        <v>1</v>
      </c>
      <c r="C76" s="3359" t="s">
        <v>3153</v>
      </c>
      <c r="D76" s="3359">
        <v>1997</v>
      </c>
      <c r="E76" s="3358">
        <v>35.270000000000003</v>
      </c>
      <c r="I76" s="3387">
        <v>36</v>
      </c>
      <c r="J76" s="3387">
        <v>1</v>
      </c>
      <c r="K76" s="3387" t="s">
        <v>3208</v>
      </c>
      <c r="L76" s="3387">
        <v>1997</v>
      </c>
      <c r="M76" s="3387">
        <v>33.64</v>
      </c>
      <c r="N76" s="3387">
        <v>1200</v>
      </c>
      <c r="O76" s="3387"/>
      <c r="P76">
        <f t="shared" si="1"/>
        <v>40368</v>
      </c>
    </row>
    <row r="77" spans="1:16">
      <c r="A77" s="3359">
        <v>43</v>
      </c>
      <c r="B77" s="3359">
        <v>1</v>
      </c>
      <c r="C77" s="3359" t="s">
        <v>3153</v>
      </c>
      <c r="D77" s="3359">
        <v>1997</v>
      </c>
      <c r="E77" s="3358">
        <v>29.96</v>
      </c>
      <c r="I77" s="3387">
        <v>37</v>
      </c>
      <c r="J77" s="3387">
        <v>2</v>
      </c>
      <c r="K77" s="3387" t="s">
        <v>3208</v>
      </c>
      <c r="L77" s="3387">
        <v>1997</v>
      </c>
      <c r="M77" s="3387">
        <v>129.12</v>
      </c>
      <c r="N77" s="3387">
        <v>1200</v>
      </c>
      <c r="O77" s="3387"/>
      <c r="P77">
        <f t="shared" si="1"/>
        <v>154944</v>
      </c>
    </row>
    <row r="78" spans="1:16">
      <c r="A78" s="3359">
        <v>44</v>
      </c>
      <c r="B78" s="3359">
        <v>1</v>
      </c>
      <c r="C78" s="3359" t="s">
        <v>3153</v>
      </c>
      <c r="D78" s="3359">
        <v>1997</v>
      </c>
      <c r="E78" s="3358">
        <v>15.6</v>
      </c>
      <c r="I78" s="3387">
        <v>38</v>
      </c>
      <c r="J78" s="3387">
        <v>1</v>
      </c>
      <c r="K78" s="3387" t="s">
        <v>3208</v>
      </c>
      <c r="L78" s="3387">
        <v>1997</v>
      </c>
      <c r="M78" s="3387">
        <v>32.31</v>
      </c>
      <c r="N78" s="3387">
        <v>1200</v>
      </c>
      <c r="O78" s="3387"/>
      <c r="P78">
        <f t="shared" si="1"/>
        <v>38772</v>
      </c>
    </row>
    <row r="79" spans="1:16">
      <c r="A79" s="3359">
        <v>45</v>
      </c>
      <c r="B79" s="3359">
        <v>2</v>
      </c>
      <c r="C79" s="3359" t="s">
        <v>3153</v>
      </c>
      <c r="D79" s="3359">
        <v>1997</v>
      </c>
      <c r="E79" s="3358">
        <v>144.44</v>
      </c>
      <c r="I79" s="3390">
        <v>39</v>
      </c>
      <c r="J79" s="3390">
        <v>1</v>
      </c>
      <c r="K79" s="3390" t="s">
        <v>3208</v>
      </c>
      <c r="L79" s="3390">
        <v>1997</v>
      </c>
      <c r="M79" s="3390">
        <v>76.38</v>
      </c>
      <c r="N79" s="3387">
        <v>1200</v>
      </c>
      <c r="O79" s="3387"/>
      <c r="P79">
        <f t="shared" si="1"/>
        <v>91656</v>
      </c>
    </row>
    <row r="80" spans="1:16">
      <c r="A80" s="3359">
        <v>46</v>
      </c>
      <c r="B80" s="3359">
        <v>1</v>
      </c>
      <c r="C80" s="3359" t="s">
        <v>3153</v>
      </c>
      <c r="D80" s="3359">
        <v>1997</v>
      </c>
      <c r="E80" s="3358">
        <v>50.57</v>
      </c>
      <c r="I80" s="3387">
        <v>40</v>
      </c>
      <c r="J80" s="3387">
        <v>1</v>
      </c>
      <c r="K80" s="3387" t="s">
        <v>3208</v>
      </c>
      <c r="L80" s="3387">
        <v>1997</v>
      </c>
      <c r="M80" s="3387">
        <v>44.51</v>
      </c>
      <c r="N80" s="3387">
        <v>1200</v>
      </c>
      <c r="O80" s="3387"/>
      <c r="P80">
        <f t="shared" si="1"/>
        <v>53412</v>
      </c>
    </row>
    <row r="81" spans="1:16">
      <c r="A81" s="3359">
        <v>48</v>
      </c>
      <c r="B81" s="3359">
        <v>1</v>
      </c>
      <c r="C81" s="3359" t="s">
        <v>3153</v>
      </c>
      <c r="D81" s="3359">
        <v>1997</v>
      </c>
      <c r="E81" s="3358">
        <v>17.53</v>
      </c>
      <c r="I81" s="3387">
        <v>41</v>
      </c>
      <c r="J81" s="3387">
        <v>2</v>
      </c>
      <c r="K81" s="3387" t="s">
        <v>3208</v>
      </c>
      <c r="L81" s="3387">
        <v>1997</v>
      </c>
      <c r="M81" s="3387">
        <v>78.459999999999994</v>
      </c>
      <c r="N81" s="3387">
        <v>1200</v>
      </c>
      <c r="O81" s="3387"/>
      <c r="P81">
        <f t="shared" si="1"/>
        <v>94152</v>
      </c>
    </row>
    <row r="82" spans="1:16">
      <c r="A82" s="3359">
        <v>49</v>
      </c>
      <c r="B82" s="3359">
        <v>1</v>
      </c>
      <c r="C82" s="3359" t="s">
        <v>3153</v>
      </c>
      <c r="D82" s="3359">
        <v>1997</v>
      </c>
      <c r="E82" s="3358">
        <v>12.35</v>
      </c>
      <c r="I82" s="3387">
        <v>42</v>
      </c>
      <c r="J82" s="3387">
        <v>1</v>
      </c>
      <c r="K82" s="3387" t="s">
        <v>3208</v>
      </c>
      <c r="L82" s="3387">
        <v>1997</v>
      </c>
      <c r="M82" s="3387">
        <v>35.270000000000003</v>
      </c>
      <c r="N82" s="3387">
        <v>1200</v>
      </c>
      <c r="O82" s="3387"/>
      <c r="P82">
        <f t="shared" si="1"/>
        <v>42324</v>
      </c>
    </row>
    <row r="83" spans="1:16">
      <c r="A83" s="3359">
        <v>50</v>
      </c>
      <c r="B83" s="3359">
        <v>1</v>
      </c>
      <c r="C83" s="3359" t="s">
        <v>3153</v>
      </c>
      <c r="D83" s="3359">
        <v>1997</v>
      </c>
      <c r="E83" s="3358">
        <v>28.77</v>
      </c>
      <c r="I83" s="3387">
        <v>43</v>
      </c>
      <c r="J83" s="3387">
        <v>1</v>
      </c>
      <c r="K83" s="3387" t="s">
        <v>3208</v>
      </c>
      <c r="L83" s="3387">
        <v>1997</v>
      </c>
      <c r="M83" s="3387">
        <v>29.96</v>
      </c>
      <c r="N83" s="3387">
        <v>1200</v>
      </c>
      <c r="O83" s="3387"/>
      <c r="P83">
        <f t="shared" si="1"/>
        <v>35952</v>
      </c>
    </row>
    <row r="84" spans="1:16">
      <c r="A84" s="3359">
        <v>51</v>
      </c>
      <c r="B84" s="3359">
        <v>1</v>
      </c>
      <c r="C84" s="3359" t="s">
        <v>3153</v>
      </c>
      <c r="D84" s="3359">
        <v>1997</v>
      </c>
      <c r="E84" s="3358">
        <v>38.090000000000003</v>
      </c>
      <c r="I84" s="3387">
        <v>44</v>
      </c>
      <c r="J84" s="3387">
        <v>1</v>
      </c>
      <c r="K84" s="3387" t="s">
        <v>3208</v>
      </c>
      <c r="L84" s="3387">
        <v>1997</v>
      </c>
      <c r="M84" s="3387">
        <v>15.6</v>
      </c>
      <c r="N84" s="3387">
        <v>1200</v>
      </c>
      <c r="O84" s="3387"/>
      <c r="P84">
        <f t="shared" si="1"/>
        <v>18720</v>
      </c>
    </row>
    <row r="85" spans="1:16">
      <c r="A85" s="3359">
        <v>52</v>
      </c>
      <c r="B85" s="3359">
        <v>1</v>
      </c>
      <c r="C85" s="3359" t="s">
        <v>3153</v>
      </c>
      <c r="D85" s="3359">
        <v>1997</v>
      </c>
      <c r="E85" s="3358">
        <v>12.37</v>
      </c>
      <c r="I85" s="3387">
        <v>45</v>
      </c>
      <c r="J85" s="3387">
        <v>2</v>
      </c>
      <c r="K85" s="3387" t="s">
        <v>3208</v>
      </c>
      <c r="L85" s="3387">
        <v>1997</v>
      </c>
      <c r="M85" s="3387">
        <v>144.44</v>
      </c>
      <c r="N85" s="3387">
        <v>1200</v>
      </c>
      <c r="O85" s="3387"/>
      <c r="P85">
        <f t="shared" si="1"/>
        <v>173328</v>
      </c>
    </row>
    <row r="86" spans="1:16">
      <c r="A86" s="3359">
        <v>53</v>
      </c>
      <c r="B86" s="3359">
        <v>1</v>
      </c>
      <c r="C86" s="3359" t="s">
        <v>3153</v>
      </c>
      <c r="D86" s="3359">
        <v>1997</v>
      </c>
      <c r="E86" s="3358">
        <v>20.36</v>
      </c>
      <c r="I86" s="3387">
        <v>46</v>
      </c>
      <c r="J86" s="3387">
        <v>1</v>
      </c>
      <c r="K86" s="3387" t="s">
        <v>3208</v>
      </c>
      <c r="L86" s="3387">
        <v>1997</v>
      </c>
      <c r="M86" s="3387">
        <v>50.57</v>
      </c>
      <c r="N86" s="3387">
        <v>1200</v>
      </c>
      <c r="O86" s="3387"/>
      <c r="P86">
        <f t="shared" si="1"/>
        <v>60684</v>
      </c>
    </row>
    <row r="87" spans="1:16">
      <c r="A87" s="3359">
        <v>54</v>
      </c>
      <c r="B87" s="3359">
        <v>1</v>
      </c>
      <c r="C87" s="3359" t="s">
        <v>3153</v>
      </c>
      <c r="D87" s="3359">
        <v>1997</v>
      </c>
      <c r="E87" s="3358">
        <v>36.75</v>
      </c>
      <c r="I87" s="3391">
        <v>47</v>
      </c>
      <c r="J87" s="3391">
        <v>1</v>
      </c>
      <c r="K87" s="3391" t="s">
        <v>3208</v>
      </c>
      <c r="L87" s="3391">
        <v>1997</v>
      </c>
      <c r="M87" s="3391">
        <v>46.76</v>
      </c>
      <c r="N87" s="3387">
        <v>1200</v>
      </c>
      <c r="O87" s="3387"/>
      <c r="P87">
        <f t="shared" si="1"/>
        <v>56112</v>
      </c>
    </row>
    <row r="88" spans="1:16">
      <c r="A88" s="3359">
        <v>55</v>
      </c>
      <c r="B88" s="3359">
        <v>1</v>
      </c>
      <c r="C88" s="3359" t="s">
        <v>3153</v>
      </c>
      <c r="D88" s="3359">
        <v>1997</v>
      </c>
      <c r="E88" s="3358">
        <v>18.91</v>
      </c>
      <c r="I88" s="3387">
        <v>48</v>
      </c>
      <c r="J88" s="3387">
        <v>1</v>
      </c>
      <c r="K88" s="3387" t="s">
        <v>3208</v>
      </c>
      <c r="L88" s="3387">
        <v>1997</v>
      </c>
      <c r="M88" s="3387">
        <v>17.53</v>
      </c>
      <c r="N88" s="3387">
        <v>1200</v>
      </c>
      <c r="O88" s="3387"/>
      <c r="P88">
        <f t="shared" si="1"/>
        <v>21036</v>
      </c>
    </row>
    <row r="89" spans="1:16">
      <c r="A89" s="3359">
        <v>56</v>
      </c>
      <c r="B89" s="3359">
        <v>1</v>
      </c>
      <c r="C89" s="3359" t="s">
        <v>3153</v>
      </c>
      <c r="D89" s="3359">
        <v>1997</v>
      </c>
      <c r="E89" s="3358">
        <v>17.62</v>
      </c>
      <c r="I89" s="3387">
        <v>49</v>
      </c>
      <c r="J89" s="3387">
        <v>1</v>
      </c>
      <c r="K89" s="3387" t="s">
        <v>3208</v>
      </c>
      <c r="L89" s="3387">
        <v>1997</v>
      </c>
      <c r="M89" s="3387">
        <v>12.35</v>
      </c>
      <c r="N89" s="3387">
        <v>1200</v>
      </c>
      <c r="O89" s="3387"/>
      <c r="P89">
        <f t="shared" si="1"/>
        <v>14820</v>
      </c>
    </row>
    <row r="90" spans="1:16">
      <c r="A90" s="3359">
        <v>57</v>
      </c>
      <c r="B90" s="3359">
        <v>1</v>
      </c>
      <c r="C90" s="3359" t="s">
        <v>3153</v>
      </c>
      <c r="D90" s="3359">
        <v>1997</v>
      </c>
      <c r="E90" s="3358">
        <v>33.54</v>
      </c>
      <c r="I90" s="3387">
        <v>50</v>
      </c>
      <c r="J90" s="3387">
        <v>1</v>
      </c>
      <c r="K90" s="3387" t="s">
        <v>3208</v>
      </c>
      <c r="L90" s="3387">
        <v>1997</v>
      </c>
      <c r="M90" s="3387">
        <v>28.77</v>
      </c>
      <c r="N90" s="3387">
        <v>1200</v>
      </c>
      <c r="O90" s="3387"/>
      <c r="P90">
        <f t="shared" si="1"/>
        <v>34524</v>
      </c>
    </row>
    <row r="91" spans="1:16">
      <c r="A91" s="3359">
        <v>58</v>
      </c>
      <c r="B91" s="3359">
        <v>1</v>
      </c>
      <c r="C91" s="3359" t="s">
        <v>3153</v>
      </c>
      <c r="D91" s="3359">
        <v>1997</v>
      </c>
      <c r="E91" s="3358">
        <v>24.14</v>
      </c>
      <c r="I91" s="3387">
        <v>51</v>
      </c>
      <c r="J91" s="3387">
        <v>1</v>
      </c>
      <c r="K91" s="3387" t="s">
        <v>3208</v>
      </c>
      <c r="L91" s="3387">
        <v>1997</v>
      </c>
      <c r="M91" s="3387">
        <v>38.090000000000003</v>
      </c>
      <c r="N91" s="3387">
        <v>1200</v>
      </c>
      <c r="O91" s="3387"/>
      <c r="P91">
        <f t="shared" si="1"/>
        <v>45708</v>
      </c>
    </row>
    <row r="92" spans="1:16">
      <c r="A92" s="3359">
        <v>59</v>
      </c>
      <c r="B92" s="3359">
        <v>1</v>
      </c>
      <c r="C92" s="3359" t="s">
        <v>3153</v>
      </c>
      <c r="D92" s="3359">
        <v>1997</v>
      </c>
      <c r="E92" s="3358">
        <v>31.75</v>
      </c>
      <c r="I92" s="3387">
        <v>52</v>
      </c>
      <c r="J92" s="3387">
        <v>1</v>
      </c>
      <c r="K92" s="3387" t="s">
        <v>3208</v>
      </c>
      <c r="L92" s="3387">
        <v>1997</v>
      </c>
      <c r="M92" s="3387">
        <v>12.37</v>
      </c>
      <c r="N92" s="3387">
        <v>1200</v>
      </c>
      <c r="O92" s="3387"/>
      <c r="P92">
        <f t="shared" si="1"/>
        <v>14844</v>
      </c>
    </row>
    <row r="93" spans="1:16">
      <c r="A93" s="3359">
        <v>60</v>
      </c>
      <c r="B93" s="3359">
        <v>2</v>
      </c>
      <c r="C93" s="3359" t="s">
        <v>3153</v>
      </c>
      <c r="D93" s="3359">
        <v>1997</v>
      </c>
      <c r="E93" s="3358">
        <v>79.58</v>
      </c>
      <c r="I93" s="3387">
        <v>53</v>
      </c>
      <c r="J93" s="3387">
        <v>1</v>
      </c>
      <c r="K93" s="3387" t="s">
        <v>3208</v>
      </c>
      <c r="L93" s="3387">
        <v>1997</v>
      </c>
      <c r="M93" s="3387">
        <v>20.36</v>
      </c>
      <c r="N93" s="3387">
        <v>1200</v>
      </c>
      <c r="O93" s="3387"/>
      <c r="P93">
        <f t="shared" si="1"/>
        <v>24432</v>
      </c>
    </row>
    <row r="94" spans="1:16">
      <c r="A94" s="3359">
        <v>61</v>
      </c>
      <c r="B94" s="3359">
        <v>1</v>
      </c>
      <c r="C94" s="3359" t="s">
        <v>3153</v>
      </c>
      <c r="D94" s="3359">
        <v>1997</v>
      </c>
      <c r="E94" s="3358">
        <v>83.92</v>
      </c>
      <c r="I94" s="3387">
        <v>54</v>
      </c>
      <c r="J94" s="3387">
        <v>1</v>
      </c>
      <c r="K94" s="3387" t="s">
        <v>3208</v>
      </c>
      <c r="L94" s="3387">
        <v>1997</v>
      </c>
      <c r="M94" s="3387">
        <v>36.75</v>
      </c>
      <c r="N94" s="3387">
        <v>1200</v>
      </c>
      <c r="O94" s="3387"/>
      <c r="P94">
        <f t="shared" si="1"/>
        <v>44100</v>
      </c>
    </row>
    <row r="95" spans="1:16">
      <c r="A95" s="3359">
        <v>62</v>
      </c>
      <c r="B95" s="3359">
        <v>1</v>
      </c>
      <c r="C95" s="3359" t="s">
        <v>3153</v>
      </c>
      <c r="D95" s="3359">
        <v>1997</v>
      </c>
      <c r="E95" s="3358">
        <v>63.58</v>
      </c>
      <c r="I95" s="3390">
        <v>55</v>
      </c>
      <c r="J95" s="3390">
        <v>1</v>
      </c>
      <c r="K95" s="3390" t="s">
        <v>3208</v>
      </c>
      <c r="L95" s="3390">
        <v>1997</v>
      </c>
      <c r="M95" s="3390">
        <v>18.91</v>
      </c>
      <c r="N95" s="3387">
        <v>1200</v>
      </c>
      <c r="O95" s="3387"/>
      <c r="P95">
        <f t="shared" si="1"/>
        <v>22692</v>
      </c>
    </row>
    <row r="96" spans="1:16">
      <c r="A96" s="3359">
        <v>63</v>
      </c>
      <c r="B96" s="3359">
        <v>1</v>
      </c>
      <c r="C96" s="3359" t="s">
        <v>3153</v>
      </c>
      <c r="D96" s="3359">
        <v>1997</v>
      </c>
      <c r="E96" s="3358">
        <v>63.72</v>
      </c>
      <c r="I96" s="3387">
        <v>56</v>
      </c>
      <c r="J96" s="3387">
        <v>1</v>
      </c>
      <c r="K96" s="3387" t="s">
        <v>3208</v>
      </c>
      <c r="L96" s="3387">
        <v>1997</v>
      </c>
      <c r="M96" s="3387">
        <v>17.62</v>
      </c>
      <c r="N96" s="3387">
        <v>1200</v>
      </c>
      <c r="O96" s="3387"/>
      <c r="P96">
        <f t="shared" si="1"/>
        <v>21144</v>
      </c>
    </row>
    <row r="97" spans="1:16">
      <c r="A97" s="3359">
        <v>64</v>
      </c>
      <c r="B97" s="3359">
        <v>1</v>
      </c>
      <c r="C97" s="3359" t="s">
        <v>3153</v>
      </c>
      <c r="D97" s="3359">
        <v>1997</v>
      </c>
      <c r="E97" s="3358">
        <v>112.21</v>
      </c>
      <c r="I97" s="3387">
        <v>57</v>
      </c>
      <c r="J97" s="3387">
        <v>1</v>
      </c>
      <c r="K97" s="3387" t="s">
        <v>3208</v>
      </c>
      <c r="L97" s="3387">
        <v>1997</v>
      </c>
      <c r="M97" s="3387">
        <v>33.54</v>
      </c>
      <c r="N97" s="3387">
        <v>1200</v>
      </c>
      <c r="O97" s="3387"/>
      <c r="P97">
        <f t="shared" si="1"/>
        <v>40248</v>
      </c>
    </row>
    <row r="98" spans="1:16">
      <c r="A98" s="3359">
        <v>65</v>
      </c>
      <c r="B98" s="3359">
        <v>2</v>
      </c>
      <c r="C98" s="3359" t="s">
        <v>3153</v>
      </c>
      <c r="D98" s="3359">
        <v>1997</v>
      </c>
      <c r="E98" s="3358">
        <v>70.2</v>
      </c>
      <c r="I98" s="3387">
        <v>58</v>
      </c>
      <c r="J98" s="3387">
        <v>1</v>
      </c>
      <c r="K98" s="3387" t="s">
        <v>3208</v>
      </c>
      <c r="L98" s="3387">
        <v>1997</v>
      </c>
      <c r="M98" s="3387">
        <v>24.14</v>
      </c>
      <c r="N98" s="3387">
        <v>1200</v>
      </c>
      <c r="O98" s="3387"/>
      <c r="P98">
        <f t="shared" si="1"/>
        <v>28968</v>
      </c>
    </row>
    <row r="99" spans="1:16">
      <c r="A99" s="3359">
        <v>66</v>
      </c>
      <c r="B99" s="3359">
        <v>1</v>
      </c>
      <c r="C99" s="3359" t="s">
        <v>3153</v>
      </c>
      <c r="D99" s="3359">
        <v>1997</v>
      </c>
      <c r="E99" s="3358">
        <v>209.37</v>
      </c>
      <c r="I99" s="3387">
        <v>59</v>
      </c>
      <c r="J99" s="3387">
        <v>1</v>
      </c>
      <c r="K99" s="3387" t="s">
        <v>3208</v>
      </c>
      <c r="L99" s="3387">
        <v>1997</v>
      </c>
      <c r="M99" s="3387">
        <v>31.75</v>
      </c>
      <c r="N99" s="3387">
        <v>1200</v>
      </c>
      <c r="O99" s="3387"/>
      <c r="P99">
        <f t="shared" si="1"/>
        <v>38100</v>
      </c>
    </row>
    <row r="100" spans="1:16">
      <c r="A100" s="3359">
        <v>67</v>
      </c>
      <c r="B100" s="3359">
        <v>1</v>
      </c>
      <c r="C100" s="3359" t="s">
        <v>3153</v>
      </c>
      <c r="D100" s="3359">
        <v>1997</v>
      </c>
      <c r="E100" s="3358">
        <v>69.94</v>
      </c>
      <c r="I100" s="3387">
        <v>60</v>
      </c>
      <c r="J100" s="3387">
        <v>2</v>
      </c>
      <c r="K100" s="3387" t="s">
        <v>3208</v>
      </c>
      <c r="L100" s="3387">
        <v>1997</v>
      </c>
      <c r="M100" s="3387">
        <v>79.58</v>
      </c>
      <c r="N100" s="3387">
        <v>1200</v>
      </c>
      <c r="O100" s="3387"/>
      <c r="P100">
        <f t="shared" si="1"/>
        <v>95496</v>
      </c>
    </row>
    <row r="101" spans="1:16">
      <c r="A101" s="3359">
        <v>68</v>
      </c>
      <c r="B101" s="3359">
        <v>1</v>
      </c>
      <c r="C101" s="3359" t="s">
        <v>3153</v>
      </c>
      <c r="D101" s="3359">
        <v>1997</v>
      </c>
      <c r="E101" s="3358">
        <v>208.57</v>
      </c>
      <c r="I101" s="3387">
        <v>61</v>
      </c>
      <c r="J101" s="3387">
        <v>1</v>
      </c>
      <c r="K101" s="3387" t="s">
        <v>3208</v>
      </c>
      <c r="L101" s="3387">
        <v>1997</v>
      </c>
      <c r="M101" s="3387">
        <v>83.92</v>
      </c>
      <c r="N101" s="3387">
        <v>1200</v>
      </c>
      <c r="O101" s="3387"/>
      <c r="P101">
        <f t="shared" si="1"/>
        <v>100704</v>
      </c>
    </row>
    <row r="102" spans="1:16">
      <c r="A102" s="3359">
        <v>69</v>
      </c>
      <c r="B102" s="3359">
        <v>1</v>
      </c>
      <c r="C102" s="3359" t="s">
        <v>3153</v>
      </c>
      <c r="D102" s="3359">
        <v>1997</v>
      </c>
      <c r="E102" s="3358">
        <v>95.65</v>
      </c>
      <c r="I102" s="3387">
        <v>62</v>
      </c>
      <c r="J102" s="3387">
        <v>1</v>
      </c>
      <c r="K102" s="3387" t="s">
        <v>3208</v>
      </c>
      <c r="L102" s="3387">
        <v>1997</v>
      </c>
      <c r="M102" s="3387">
        <v>63.58</v>
      </c>
      <c r="N102" s="3387">
        <v>1200</v>
      </c>
      <c r="O102" s="3387"/>
      <c r="P102">
        <f t="shared" si="1"/>
        <v>76296</v>
      </c>
    </row>
    <row r="103" spans="1:16">
      <c r="A103" s="3359">
        <v>70</v>
      </c>
      <c r="B103" s="3359">
        <v>1</v>
      </c>
      <c r="C103" s="3359" t="s">
        <v>3153</v>
      </c>
      <c r="D103" s="3359">
        <v>1997</v>
      </c>
      <c r="E103" s="3358">
        <v>77.13</v>
      </c>
      <c r="I103" s="3387">
        <v>63</v>
      </c>
      <c r="J103" s="3387">
        <v>1</v>
      </c>
      <c r="K103" s="3387" t="s">
        <v>3208</v>
      </c>
      <c r="L103" s="3387">
        <v>1997</v>
      </c>
      <c r="M103" s="3387">
        <v>63.72</v>
      </c>
      <c r="N103" s="3387">
        <v>1200</v>
      </c>
      <c r="O103" s="3387"/>
      <c r="P103">
        <f t="shared" si="1"/>
        <v>76464</v>
      </c>
    </row>
    <row r="104" spans="1:16">
      <c r="A104" s="3359">
        <v>71</v>
      </c>
      <c r="B104" s="3359">
        <v>1</v>
      </c>
      <c r="C104" s="3359" t="s">
        <v>3153</v>
      </c>
      <c r="D104" s="3359">
        <v>1997</v>
      </c>
      <c r="E104" s="3358">
        <v>120.77</v>
      </c>
      <c r="I104" s="3387">
        <v>64</v>
      </c>
      <c r="J104" s="3387">
        <v>1</v>
      </c>
      <c r="K104" s="3387" t="s">
        <v>3208</v>
      </c>
      <c r="L104" s="3387">
        <v>1997</v>
      </c>
      <c r="M104" s="3387">
        <v>112.21</v>
      </c>
      <c r="N104" s="3387">
        <v>1200</v>
      </c>
      <c r="O104" s="3387"/>
      <c r="P104">
        <f t="shared" si="1"/>
        <v>134652</v>
      </c>
    </row>
    <row r="105" spans="1:16">
      <c r="A105" s="3359">
        <v>72</v>
      </c>
      <c r="B105" s="3359">
        <v>1</v>
      </c>
      <c r="C105" s="3359" t="s">
        <v>3153</v>
      </c>
      <c r="D105" s="3359">
        <v>1997</v>
      </c>
      <c r="E105" s="3358">
        <v>24.64</v>
      </c>
      <c r="I105" s="3387">
        <v>65</v>
      </c>
      <c r="J105" s="3387">
        <v>2</v>
      </c>
      <c r="K105" s="3387" t="s">
        <v>3208</v>
      </c>
      <c r="L105" s="3387">
        <v>1997</v>
      </c>
      <c r="M105" s="3387">
        <v>70.2</v>
      </c>
      <c r="N105" s="3387">
        <v>1200</v>
      </c>
      <c r="O105" s="3387"/>
      <c r="P105">
        <f t="shared" si="1"/>
        <v>84240</v>
      </c>
    </row>
    <row r="106" spans="1:16">
      <c r="A106" s="3359">
        <v>73</v>
      </c>
      <c r="B106" s="3359">
        <v>1</v>
      </c>
      <c r="C106" s="3359" t="s">
        <v>3153</v>
      </c>
      <c r="D106" s="3359">
        <v>1997</v>
      </c>
      <c r="E106" s="3358">
        <v>60.68</v>
      </c>
      <c r="I106" s="3387">
        <v>66</v>
      </c>
      <c r="J106" s="3387">
        <v>1</v>
      </c>
      <c r="K106" s="3387" t="s">
        <v>3208</v>
      </c>
      <c r="L106" s="3387">
        <v>1997</v>
      </c>
      <c r="M106" s="3387">
        <v>209.37</v>
      </c>
      <c r="N106" s="3387">
        <v>1200</v>
      </c>
      <c r="O106" s="3387"/>
      <c r="P106">
        <f t="shared" ref="P106:P167" si="2">ROUND(N106*M106,0)</f>
        <v>251244</v>
      </c>
    </row>
    <row r="107" spans="1:16">
      <c r="A107" s="3359">
        <v>74</v>
      </c>
      <c r="B107" s="3359">
        <v>1</v>
      </c>
      <c r="C107" s="3359" t="s">
        <v>3153</v>
      </c>
      <c r="D107" s="3359">
        <v>1997</v>
      </c>
      <c r="E107" s="3358">
        <v>32.44</v>
      </c>
      <c r="I107" s="3387">
        <v>67</v>
      </c>
      <c r="J107" s="3387">
        <v>1</v>
      </c>
      <c r="K107" s="3387" t="s">
        <v>3208</v>
      </c>
      <c r="L107" s="3387">
        <v>1997</v>
      </c>
      <c r="M107" s="3387">
        <v>69.94</v>
      </c>
      <c r="N107" s="3387">
        <v>1200</v>
      </c>
      <c r="O107" s="3387"/>
      <c r="P107">
        <f t="shared" si="2"/>
        <v>83928</v>
      </c>
    </row>
    <row r="108" spans="1:16">
      <c r="A108" s="3359">
        <v>75</v>
      </c>
      <c r="B108" s="3359">
        <v>1</v>
      </c>
      <c r="C108" s="3359" t="s">
        <v>3153</v>
      </c>
      <c r="D108" s="3359">
        <v>1997</v>
      </c>
      <c r="E108" s="3358">
        <v>162.61000000000001</v>
      </c>
      <c r="I108" s="3387">
        <v>68</v>
      </c>
      <c r="J108" s="3387">
        <v>1</v>
      </c>
      <c r="K108" s="3387" t="s">
        <v>3208</v>
      </c>
      <c r="L108" s="3387">
        <v>1997</v>
      </c>
      <c r="M108" s="3387">
        <v>208.57</v>
      </c>
      <c r="N108" s="3387">
        <v>1200</v>
      </c>
      <c r="O108" s="3387"/>
      <c r="P108">
        <f t="shared" si="2"/>
        <v>250284</v>
      </c>
    </row>
    <row r="109" spans="1:16">
      <c r="A109" s="3359">
        <v>76</v>
      </c>
      <c r="B109" s="3359">
        <v>1</v>
      </c>
      <c r="C109" s="3359" t="s">
        <v>3153</v>
      </c>
      <c r="D109" s="3359">
        <v>1997</v>
      </c>
      <c r="E109" s="3358">
        <v>82.51</v>
      </c>
      <c r="I109" s="3387">
        <v>69</v>
      </c>
      <c r="J109" s="3387">
        <v>1</v>
      </c>
      <c r="K109" s="3387" t="s">
        <v>3208</v>
      </c>
      <c r="L109" s="3387">
        <v>1997</v>
      </c>
      <c r="M109" s="3387">
        <v>95.65</v>
      </c>
      <c r="N109" s="3387">
        <v>1200</v>
      </c>
      <c r="O109" s="3387"/>
      <c r="P109">
        <f t="shared" si="2"/>
        <v>114780</v>
      </c>
    </row>
    <row r="110" spans="1:16">
      <c r="A110" s="3359">
        <v>77</v>
      </c>
      <c r="B110" s="3359">
        <v>1</v>
      </c>
      <c r="C110" s="3359" t="s">
        <v>3153</v>
      </c>
      <c r="D110" s="3359">
        <v>1997</v>
      </c>
      <c r="E110" s="3358">
        <v>101.18</v>
      </c>
      <c r="I110" s="3387">
        <v>70</v>
      </c>
      <c r="J110" s="3387">
        <v>1</v>
      </c>
      <c r="K110" s="3387" t="s">
        <v>3208</v>
      </c>
      <c r="L110" s="3387">
        <v>1997</v>
      </c>
      <c r="M110" s="3387">
        <v>77.13</v>
      </c>
      <c r="N110" s="3387">
        <v>1200</v>
      </c>
      <c r="O110" s="3387"/>
      <c r="P110">
        <f t="shared" si="2"/>
        <v>92556</v>
      </c>
    </row>
    <row r="111" spans="1:16">
      <c r="A111" s="3359">
        <v>78</v>
      </c>
      <c r="B111" s="3359">
        <v>1</v>
      </c>
      <c r="C111" s="3359" t="s">
        <v>3153</v>
      </c>
      <c r="D111" s="3359">
        <v>1997</v>
      </c>
      <c r="E111" s="3358">
        <v>11.68</v>
      </c>
      <c r="I111" s="3390">
        <v>71</v>
      </c>
      <c r="J111" s="3390">
        <v>1</v>
      </c>
      <c r="K111" s="3390" t="s">
        <v>3208</v>
      </c>
      <c r="L111" s="3390">
        <v>1997</v>
      </c>
      <c r="M111" s="3390">
        <v>120.77</v>
      </c>
      <c r="N111" s="3387">
        <v>1200</v>
      </c>
      <c r="O111" s="3387"/>
      <c r="P111">
        <f t="shared" si="2"/>
        <v>144924</v>
      </c>
    </row>
    <row r="112" spans="1:16">
      <c r="A112" s="3359">
        <v>79</v>
      </c>
      <c r="B112" s="3359">
        <v>1</v>
      </c>
      <c r="C112" s="3359" t="s">
        <v>3153</v>
      </c>
      <c r="D112" s="3359">
        <v>1997</v>
      </c>
      <c r="E112" s="3358">
        <v>141.13</v>
      </c>
      <c r="I112" s="3387">
        <v>72</v>
      </c>
      <c r="J112" s="3387">
        <v>1</v>
      </c>
      <c r="K112" s="3387" t="s">
        <v>3208</v>
      </c>
      <c r="L112" s="3387">
        <v>1997</v>
      </c>
      <c r="M112" s="3387">
        <v>24.64</v>
      </c>
      <c r="N112" s="3387">
        <v>1200</v>
      </c>
      <c r="O112" s="3387"/>
      <c r="P112">
        <f t="shared" si="2"/>
        <v>29568</v>
      </c>
    </row>
    <row r="113" spans="1:16">
      <c r="A113" s="3359">
        <v>80</v>
      </c>
      <c r="B113" s="3359">
        <v>1</v>
      </c>
      <c r="C113" s="3359" t="s">
        <v>3153</v>
      </c>
      <c r="D113" s="3359">
        <v>1997</v>
      </c>
      <c r="E113" s="3358">
        <v>118</v>
      </c>
      <c r="I113" s="3387">
        <v>73</v>
      </c>
      <c r="J113" s="3387">
        <v>1</v>
      </c>
      <c r="K113" s="3387" t="s">
        <v>3208</v>
      </c>
      <c r="L113" s="3387">
        <v>1997</v>
      </c>
      <c r="M113" s="3387">
        <v>60.68</v>
      </c>
      <c r="N113" s="3387">
        <v>1200</v>
      </c>
      <c r="O113" s="3387"/>
      <c r="P113">
        <f t="shared" si="2"/>
        <v>72816</v>
      </c>
    </row>
    <row r="114" spans="1:16">
      <c r="A114" s="3359">
        <v>81</v>
      </c>
      <c r="B114" s="3359">
        <v>1</v>
      </c>
      <c r="C114" s="3359" t="s">
        <v>3153</v>
      </c>
      <c r="D114" s="3359">
        <v>1997</v>
      </c>
      <c r="E114" s="3358">
        <v>52.55</v>
      </c>
      <c r="I114" s="3387">
        <v>74</v>
      </c>
      <c r="J114" s="3387">
        <v>1</v>
      </c>
      <c r="K114" s="3387" t="s">
        <v>3208</v>
      </c>
      <c r="L114" s="3387">
        <v>1997</v>
      </c>
      <c r="M114" s="3387">
        <v>32.44</v>
      </c>
      <c r="N114" s="3387">
        <v>1200</v>
      </c>
      <c r="O114" s="3387"/>
      <c r="P114">
        <f t="shared" si="2"/>
        <v>38928</v>
      </c>
    </row>
    <row r="115" spans="1:16">
      <c r="A115" s="3359">
        <v>82</v>
      </c>
      <c r="B115" s="3359">
        <v>1</v>
      </c>
      <c r="C115" s="3359" t="s">
        <v>3153</v>
      </c>
      <c r="D115" s="3359">
        <v>1997</v>
      </c>
      <c r="E115" s="3358">
        <v>12.61</v>
      </c>
      <c r="I115" s="3387">
        <v>75</v>
      </c>
      <c r="J115" s="3387">
        <v>1</v>
      </c>
      <c r="K115" s="3387" t="s">
        <v>3208</v>
      </c>
      <c r="L115" s="3387">
        <v>1997</v>
      </c>
      <c r="M115" s="3387">
        <v>162.61000000000001</v>
      </c>
      <c r="N115" s="3387">
        <v>1200</v>
      </c>
      <c r="O115" s="3387"/>
      <c r="P115">
        <f t="shared" si="2"/>
        <v>195132</v>
      </c>
    </row>
    <row r="116" spans="1:16">
      <c r="A116" s="3359">
        <v>83</v>
      </c>
      <c r="B116" s="3359">
        <v>1</v>
      </c>
      <c r="C116" s="3359" t="s">
        <v>3153</v>
      </c>
      <c r="D116" s="3359">
        <v>1997</v>
      </c>
      <c r="E116" s="3358">
        <v>27.98</v>
      </c>
      <c r="I116" s="3387">
        <v>76</v>
      </c>
      <c r="J116" s="3387">
        <v>1</v>
      </c>
      <c r="K116" s="3387" t="s">
        <v>3208</v>
      </c>
      <c r="L116" s="3387">
        <v>1997</v>
      </c>
      <c r="M116" s="3387">
        <v>82.51</v>
      </c>
      <c r="N116" s="3387">
        <v>1200</v>
      </c>
      <c r="O116" s="3387"/>
      <c r="P116">
        <f t="shared" si="2"/>
        <v>99012</v>
      </c>
    </row>
    <row r="117" spans="1:16">
      <c r="A117" s="3359">
        <v>84</v>
      </c>
      <c r="B117" s="3359">
        <v>2</v>
      </c>
      <c r="C117" s="3359" t="s">
        <v>3153</v>
      </c>
      <c r="D117" s="3359">
        <v>1997</v>
      </c>
      <c r="E117" s="3358">
        <v>298.95</v>
      </c>
      <c r="I117" s="3387">
        <v>77</v>
      </c>
      <c r="J117" s="3387">
        <v>1</v>
      </c>
      <c r="K117" s="3387" t="s">
        <v>3208</v>
      </c>
      <c r="L117" s="3387">
        <v>1997</v>
      </c>
      <c r="M117" s="3387">
        <v>101.18</v>
      </c>
      <c r="N117" s="3387">
        <v>1200</v>
      </c>
      <c r="O117" s="3387"/>
      <c r="P117">
        <f t="shared" si="2"/>
        <v>121416</v>
      </c>
    </row>
    <row r="118" spans="1:16">
      <c r="A118" s="3359">
        <v>85</v>
      </c>
      <c r="B118" s="3359">
        <v>1</v>
      </c>
      <c r="C118" s="3359" t="s">
        <v>3153</v>
      </c>
      <c r="D118" s="3359">
        <v>1997</v>
      </c>
      <c r="E118" s="3358">
        <v>93.22</v>
      </c>
      <c r="I118" s="3387">
        <v>78</v>
      </c>
      <c r="J118" s="3387">
        <v>1</v>
      </c>
      <c r="K118" s="3387" t="s">
        <v>3208</v>
      </c>
      <c r="L118" s="3387">
        <v>1997</v>
      </c>
      <c r="M118" s="3387">
        <v>11.68</v>
      </c>
      <c r="N118" s="3387">
        <v>1200</v>
      </c>
      <c r="O118" s="3387"/>
      <c r="P118">
        <f t="shared" si="2"/>
        <v>14016</v>
      </c>
    </row>
    <row r="119" spans="1:16">
      <c r="A119" s="3359">
        <v>86</v>
      </c>
      <c r="B119" s="3359">
        <v>1</v>
      </c>
      <c r="C119" s="3359" t="s">
        <v>3153</v>
      </c>
      <c r="D119" s="3359">
        <v>1997</v>
      </c>
      <c r="E119" s="3358">
        <v>101.32</v>
      </c>
      <c r="I119" s="3387">
        <v>79</v>
      </c>
      <c r="J119" s="3387">
        <v>1</v>
      </c>
      <c r="K119" s="3387" t="s">
        <v>3208</v>
      </c>
      <c r="L119" s="3387">
        <v>1997</v>
      </c>
      <c r="M119" s="3387">
        <v>141.13</v>
      </c>
      <c r="N119" s="3387">
        <v>1200</v>
      </c>
      <c r="O119" s="3387"/>
      <c r="P119">
        <f t="shared" si="2"/>
        <v>169356</v>
      </c>
    </row>
    <row r="120" spans="1:16">
      <c r="A120" s="3359">
        <v>87</v>
      </c>
      <c r="B120" s="3359">
        <v>1</v>
      </c>
      <c r="C120" s="3359" t="s">
        <v>3153</v>
      </c>
      <c r="D120" s="3359">
        <v>1997</v>
      </c>
      <c r="E120" s="3358">
        <v>83.03</v>
      </c>
      <c r="I120" s="3387">
        <v>80</v>
      </c>
      <c r="J120" s="3387">
        <v>1</v>
      </c>
      <c r="K120" s="3387" t="s">
        <v>3208</v>
      </c>
      <c r="L120" s="3387">
        <v>1997</v>
      </c>
      <c r="M120" s="3387">
        <v>118</v>
      </c>
      <c r="N120" s="3387">
        <v>1200</v>
      </c>
      <c r="O120" s="3387"/>
      <c r="P120">
        <f t="shared" si="2"/>
        <v>141600</v>
      </c>
    </row>
    <row r="121" spans="1:16">
      <c r="A121" s="3359">
        <v>88</v>
      </c>
      <c r="B121" s="3359">
        <v>1</v>
      </c>
      <c r="C121" s="3359" t="s">
        <v>3153</v>
      </c>
      <c r="D121" s="3359">
        <v>1997</v>
      </c>
      <c r="E121" s="3358">
        <v>82.51</v>
      </c>
      <c r="I121" s="3387">
        <v>81</v>
      </c>
      <c r="J121" s="3387">
        <v>1</v>
      </c>
      <c r="K121" s="3387" t="s">
        <v>3208</v>
      </c>
      <c r="L121" s="3387">
        <v>1997</v>
      </c>
      <c r="M121" s="3387">
        <v>52.55</v>
      </c>
      <c r="N121" s="3387">
        <v>1200</v>
      </c>
      <c r="O121" s="3387"/>
      <c r="P121">
        <f t="shared" si="2"/>
        <v>63060</v>
      </c>
    </row>
    <row r="122" spans="1:16">
      <c r="A122" s="3359">
        <v>89</v>
      </c>
      <c r="B122" s="3359">
        <v>1</v>
      </c>
      <c r="C122" s="3359" t="s">
        <v>3153</v>
      </c>
      <c r="D122" s="3359">
        <v>1997</v>
      </c>
      <c r="E122" s="3358">
        <v>9.82</v>
      </c>
      <c r="I122" s="3387">
        <v>82</v>
      </c>
      <c r="J122" s="3387">
        <v>1</v>
      </c>
      <c r="K122" s="3387" t="s">
        <v>3208</v>
      </c>
      <c r="L122" s="3387">
        <v>1997</v>
      </c>
      <c r="M122" s="3387">
        <v>12.61</v>
      </c>
      <c r="N122" s="3387">
        <v>1200</v>
      </c>
      <c r="O122" s="3387"/>
      <c r="P122">
        <f t="shared" si="2"/>
        <v>15132</v>
      </c>
    </row>
    <row r="123" spans="1:16">
      <c r="A123" s="3359">
        <v>90</v>
      </c>
      <c r="B123" s="3359">
        <v>1</v>
      </c>
      <c r="C123" s="3359" t="s">
        <v>3153</v>
      </c>
      <c r="D123" s="3359">
        <v>1997</v>
      </c>
      <c r="E123" s="3358">
        <v>9.82</v>
      </c>
      <c r="I123" s="3387">
        <v>83</v>
      </c>
      <c r="J123" s="3387">
        <v>1</v>
      </c>
      <c r="K123" s="3387" t="s">
        <v>3208</v>
      </c>
      <c r="L123" s="3387">
        <v>1997</v>
      </c>
      <c r="M123" s="3387">
        <v>27.98</v>
      </c>
      <c r="N123" s="3387">
        <v>1200</v>
      </c>
      <c r="O123" s="3387"/>
      <c r="P123">
        <f t="shared" si="2"/>
        <v>33576</v>
      </c>
    </row>
    <row r="124" spans="1:16">
      <c r="A124" s="3359">
        <v>91</v>
      </c>
      <c r="B124" s="3359">
        <v>1</v>
      </c>
      <c r="C124" s="3359" t="s">
        <v>3153</v>
      </c>
      <c r="D124" s="3359">
        <v>1997</v>
      </c>
      <c r="E124" s="3358">
        <v>244.11</v>
      </c>
      <c r="I124" s="3387">
        <v>84</v>
      </c>
      <c r="J124" s="3387">
        <v>2</v>
      </c>
      <c r="K124" s="3387" t="s">
        <v>3208</v>
      </c>
      <c r="L124" s="3387">
        <v>1997</v>
      </c>
      <c r="M124" s="3387">
        <v>298.95</v>
      </c>
      <c r="N124" s="3387">
        <v>1200</v>
      </c>
      <c r="O124" s="3387"/>
      <c r="P124">
        <f t="shared" si="2"/>
        <v>358740</v>
      </c>
    </row>
    <row r="125" spans="1:16">
      <c r="A125" s="3359">
        <v>92</v>
      </c>
      <c r="B125" s="3359">
        <v>1</v>
      </c>
      <c r="C125" s="3359" t="s">
        <v>3153</v>
      </c>
      <c r="D125" s="3359">
        <v>1997</v>
      </c>
      <c r="E125" s="3358">
        <v>16.84</v>
      </c>
      <c r="I125" s="3387">
        <v>85</v>
      </c>
      <c r="J125" s="3387">
        <v>1</v>
      </c>
      <c r="K125" s="3387" t="s">
        <v>3208</v>
      </c>
      <c r="L125" s="3387">
        <v>1997</v>
      </c>
      <c r="M125" s="3387">
        <v>93.22</v>
      </c>
      <c r="N125" s="3387">
        <v>1200</v>
      </c>
      <c r="O125" s="3387"/>
      <c r="P125">
        <f t="shared" si="2"/>
        <v>111864</v>
      </c>
    </row>
    <row r="126" spans="1:16">
      <c r="A126" s="3359">
        <v>93</v>
      </c>
      <c r="B126" s="3359">
        <v>2</v>
      </c>
      <c r="C126" s="3359" t="s">
        <v>3153</v>
      </c>
      <c r="D126" s="3359">
        <v>1997</v>
      </c>
      <c r="E126" s="3358">
        <v>70.52</v>
      </c>
      <c r="I126" s="3390">
        <v>86</v>
      </c>
      <c r="J126" s="3390">
        <v>1</v>
      </c>
      <c r="K126" s="3390" t="s">
        <v>3208</v>
      </c>
      <c r="L126" s="3390">
        <v>1997</v>
      </c>
      <c r="M126" s="3390">
        <v>101.32</v>
      </c>
      <c r="N126" s="3387">
        <v>1200</v>
      </c>
      <c r="O126" s="3387"/>
      <c r="P126">
        <f t="shared" si="2"/>
        <v>121584</v>
      </c>
    </row>
    <row r="127" spans="1:16">
      <c r="A127" s="3359">
        <v>94</v>
      </c>
      <c r="B127" s="3359">
        <v>2</v>
      </c>
      <c r="C127" s="3359" t="s">
        <v>3153</v>
      </c>
      <c r="D127" s="3359">
        <v>1997</v>
      </c>
      <c r="E127" s="3358">
        <v>37.64</v>
      </c>
      <c r="I127" s="3387">
        <v>87</v>
      </c>
      <c r="J127" s="3387">
        <v>1</v>
      </c>
      <c r="K127" s="3387" t="s">
        <v>3208</v>
      </c>
      <c r="L127" s="3387">
        <v>1997</v>
      </c>
      <c r="M127" s="3387">
        <v>83.03</v>
      </c>
      <c r="N127" s="3387">
        <v>1200</v>
      </c>
      <c r="O127" s="3387"/>
      <c r="P127">
        <f t="shared" si="2"/>
        <v>99636</v>
      </c>
    </row>
    <row r="128" spans="1:16">
      <c r="A128" s="3359">
        <v>95</v>
      </c>
      <c r="B128" s="3359">
        <v>2</v>
      </c>
      <c r="C128" s="3359" t="s">
        <v>3153</v>
      </c>
      <c r="D128" s="3359">
        <v>1997</v>
      </c>
      <c r="E128" s="3358">
        <v>178.44</v>
      </c>
      <c r="I128" s="3387">
        <v>88</v>
      </c>
      <c r="J128" s="3387">
        <v>1</v>
      </c>
      <c r="K128" s="3387" t="s">
        <v>3208</v>
      </c>
      <c r="L128" s="3387">
        <v>1997</v>
      </c>
      <c r="M128" s="3387">
        <v>82.51</v>
      </c>
      <c r="N128" s="3387">
        <v>1200</v>
      </c>
      <c r="O128" s="3387"/>
      <c r="P128">
        <f t="shared" si="2"/>
        <v>99012</v>
      </c>
    </row>
    <row r="129" spans="1:16">
      <c r="A129" s="3359">
        <v>96</v>
      </c>
      <c r="B129" s="3359">
        <v>1</v>
      </c>
      <c r="C129" s="3359" t="s">
        <v>3153</v>
      </c>
      <c r="D129" s="3359">
        <v>1997</v>
      </c>
      <c r="E129" s="3358">
        <v>61.02</v>
      </c>
      <c r="I129" s="3387">
        <v>89</v>
      </c>
      <c r="J129" s="3387">
        <v>1</v>
      </c>
      <c r="K129" s="3387" t="s">
        <v>3208</v>
      </c>
      <c r="L129" s="3387">
        <v>1997</v>
      </c>
      <c r="M129" s="3387">
        <v>9.82</v>
      </c>
      <c r="N129" s="3387">
        <v>1200</v>
      </c>
      <c r="O129" s="3387"/>
      <c r="P129">
        <f t="shared" si="2"/>
        <v>11784</v>
      </c>
    </row>
    <row r="130" spans="1:16">
      <c r="A130" s="3359">
        <v>97</v>
      </c>
      <c r="B130" s="3359">
        <v>1</v>
      </c>
      <c r="C130" s="3359" t="s">
        <v>3153</v>
      </c>
      <c r="D130" s="3359">
        <v>1997</v>
      </c>
      <c r="E130" s="3358">
        <v>39.94</v>
      </c>
      <c r="I130" s="3387">
        <v>90</v>
      </c>
      <c r="J130" s="3387">
        <v>1</v>
      </c>
      <c r="K130" s="3387" t="s">
        <v>3208</v>
      </c>
      <c r="L130" s="3387">
        <v>1997</v>
      </c>
      <c r="M130" s="3387">
        <v>9.82</v>
      </c>
      <c r="N130" s="3387">
        <v>1200</v>
      </c>
      <c r="O130" s="3387"/>
      <c r="P130">
        <f t="shared" si="2"/>
        <v>11784</v>
      </c>
    </row>
    <row r="131" spans="1:16">
      <c r="A131" s="3359">
        <v>98</v>
      </c>
      <c r="B131" s="3359">
        <v>1</v>
      </c>
      <c r="C131" s="3359" t="s">
        <v>3153</v>
      </c>
      <c r="D131" s="3359">
        <v>1997</v>
      </c>
      <c r="E131" s="3358">
        <v>45.06</v>
      </c>
      <c r="I131" s="3387">
        <v>91</v>
      </c>
      <c r="J131" s="3387">
        <v>1</v>
      </c>
      <c r="K131" s="3387" t="s">
        <v>3208</v>
      </c>
      <c r="L131" s="3387">
        <v>1997</v>
      </c>
      <c r="M131" s="3387">
        <v>244.11</v>
      </c>
      <c r="N131" s="3387">
        <v>1200</v>
      </c>
      <c r="O131" s="3387"/>
      <c r="P131">
        <f t="shared" si="2"/>
        <v>292932</v>
      </c>
    </row>
    <row r="132" spans="1:16">
      <c r="A132" s="3359">
        <v>99</v>
      </c>
      <c r="B132" s="3359">
        <v>11</v>
      </c>
      <c r="C132" s="3359" t="s">
        <v>3153</v>
      </c>
      <c r="D132" s="3359">
        <v>1997</v>
      </c>
      <c r="E132" s="3358">
        <v>12.26</v>
      </c>
      <c r="I132" s="3387">
        <v>92</v>
      </c>
      <c r="J132" s="3387">
        <v>1</v>
      </c>
      <c r="K132" s="3387" t="s">
        <v>3208</v>
      </c>
      <c r="L132" s="3387">
        <v>1997</v>
      </c>
      <c r="M132" s="3387">
        <v>16.84</v>
      </c>
      <c r="N132" s="3387">
        <v>1200</v>
      </c>
      <c r="O132" s="3387"/>
      <c r="P132">
        <f t="shared" si="2"/>
        <v>20208</v>
      </c>
    </row>
    <row r="133" spans="1:16">
      <c r="A133" s="3359">
        <v>100</v>
      </c>
      <c r="B133" s="3359">
        <v>1</v>
      </c>
      <c r="C133" s="3359" t="s">
        <v>3153</v>
      </c>
      <c r="D133" s="3359">
        <v>1997</v>
      </c>
      <c r="E133" s="3358">
        <v>111.3</v>
      </c>
      <c r="I133" s="3387">
        <v>93</v>
      </c>
      <c r="J133" s="3387">
        <v>2</v>
      </c>
      <c r="K133" s="3387" t="s">
        <v>3208</v>
      </c>
      <c r="L133" s="3387">
        <v>1997</v>
      </c>
      <c r="M133" s="3387">
        <v>70.52</v>
      </c>
      <c r="N133" s="3387">
        <v>1200</v>
      </c>
      <c r="O133" s="3387"/>
      <c r="P133">
        <f t="shared" si="2"/>
        <v>84624</v>
      </c>
    </row>
    <row r="134" spans="1:16">
      <c r="A134" s="3359">
        <v>101</v>
      </c>
      <c r="B134" s="3359">
        <v>1</v>
      </c>
      <c r="C134" s="3359" t="s">
        <v>3153</v>
      </c>
      <c r="D134" s="3359">
        <v>1997</v>
      </c>
      <c r="E134" s="3358">
        <v>16.239999999999998</v>
      </c>
      <c r="I134" s="3387">
        <v>94</v>
      </c>
      <c r="J134" s="3387">
        <v>2</v>
      </c>
      <c r="K134" s="3387" t="s">
        <v>3208</v>
      </c>
      <c r="L134" s="3387">
        <v>1997</v>
      </c>
      <c r="M134" s="3387">
        <v>37.64</v>
      </c>
      <c r="N134" s="3387">
        <v>1200</v>
      </c>
      <c r="O134" s="3387"/>
      <c r="P134">
        <f t="shared" si="2"/>
        <v>45168</v>
      </c>
    </row>
    <row r="135" spans="1:16">
      <c r="A135" s="3359">
        <v>102</v>
      </c>
      <c r="B135" s="3359">
        <v>2</v>
      </c>
      <c r="C135" s="3359" t="s">
        <v>3153</v>
      </c>
      <c r="D135" s="3359">
        <v>1997</v>
      </c>
      <c r="E135" s="3358">
        <v>1246.02</v>
      </c>
      <c r="I135" s="3387">
        <v>95</v>
      </c>
      <c r="J135" s="3387">
        <v>2</v>
      </c>
      <c r="K135" s="3387" t="s">
        <v>3208</v>
      </c>
      <c r="L135" s="3387">
        <v>1997</v>
      </c>
      <c r="M135" s="3387">
        <v>178.44</v>
      </c>
      <c r="N135" s="3387">
        <v>1200</v>
      </c>
      <c r="O135" s="3387"/>
      <c r="P135">
        <f t="shared" si="2"/>
        <v>214128</v>
      </c>
    </row>
    <row r="136" spans="1:16">
      <c r="A136" s="3359">
        <v>103</v>
      </c>
      <c r="B136" s="3359">
        <v>1</v>
      </c>
      <c r="C136" s="3359" t="s">
        <v>3153</v>
      </c>
      <c r="D136" s="3359">
        <v>1997</v>
      </c>
      <c r="E136" s="3358">
        <v>22.31</v>
      </c>
      <c r="I136" s="3387">
        <v>96</v>
      </c>
      <c r="J136" s="3387">
        <v>1</v>
      </c>
      <c r="K136" s="3387" t="s">
        <v>3208</v>
      </c>
      <c r="L136" s="3387">
        <v>1997</v>
      </c>
      <c r="M136" s="3387">
        <v>61.02</v>
      </c>
      <c r="N136" s="3387">
        <v>1200</v>
      </c>
      <c r="O136" s="3387"/>
      <c r="P136">
        <f t="shared" si="2"/>
        <v>73224</v>
      </c>
    </row>
    <row r="137" spans="1:16">
      <c r="A137" s="3359">
        <v>104</v>
      </c>
      <c r="B137" s="3359">
        <v>2</v>
      </c>
      <c r="C137" s="3359" t="s">
        <v>3153</v>
      </c>
      <c r="D137" s="3359">
        <v>1997</v>
      </c>
      <c r="E137" s="3358">
        <v>96.7</v>
      </c>
      <c r="I137" s="3387">
        <v>97</v>
      </c>
      <c r="J137" s="3387">
        <v>1</v>
      </c>
      <c r="K137" s="3387" t="s">
        <v>3208</v>
      </c>
      <c r="L137" s="3387">
        <v>1997</v>
      </c>
      <c r="M137" s="3387">
        <v>39.94</v>
      </c>
      <c r="N137" s="3387">
        <v>1200</v>
      </c>
      <c r="O137" s="3387"/>
      <c r="P137">
        <f t="shared" si="2"/>
        <v>47928</v>
      </c>
    </row>
    <row r="138" spans="1:16">
      <c r="A138" s="3359">
        <v>105</v>
      </c>
      <c r="B138" s="3359">
        <v>2</v>
      </c>
      <c r="C138" s="3359" t="s">
        <v>3153</v>
      </c>
      <c r="D138" s="3359">
        <v>1997</v>
      </c>
      <c r="E138" s="3358">
        <v>236.2</v>
      </c>
      <c r="I138" s="3387">
        <v>98</v>
      </c>
      <c r="J138" s="3387">
        <v>1</v>
      </c>
      <c r="K138" s="3387" t="s">
        <v>3208</v>
      </c>
      <c r="L138" s="3387">
        <v>1997</v>
      </c>
      <c r="M138" s="3387">
        <v>45.06</v>
      </c>
      <c r="N138" s="3387">
        <v>1200</v>
      </c>
      <c r="O138" s="3387"/>
      <c r="P138">
        <f t="shared" si="2"/>
        <v>54072</v>
      </c>
    </row>
    <row r="139" spans="1:16">
      <c r="A139" s="3359">
        <v>106</v>
      </c>
      <c r="B139" s="3359">
        <v>1</v>
      </c>
      <c r="C139" s="3359" t="s">
        <v>3153</v>
      </c>
      <c r="D139" s="3359">
        <v>1997</v>
      </c>
      <c r="E139" s="3358">
        <v>58.62</v>
      </c>
      <c r="I139" s="3387">
        <v>99</v>
      </c>
      <c r="J139" s="3387">
        <v>11</v>
      </c>
      <c r="K139" s="3387" t="s">
        <v>3208</v>
      </c>
      <c r="L139" s="3387">
        <v>1997</v>
      </c>
      <c r="M139" s="3387">
        <v>12.26</v>
      </c>
      <c r="N139" s="3387">
        <v>1200</v>
      </c>
      <c r="O139" s="3387"/>
      <c r="P139">
        <f t="shared" si="2"/>
        <v>14712</v>
      </c>
    </row>
    <row r="140" spans="1:16">
      <c r="A140" s="3359">
        <v>107</v>
      </c>
      <c r="B140" s="3359">
        <v>1</v>
      </c>
      <c r="C140" s="3359" t="s">
        <v>3153</v>
      </c>
      <c r="D140" s="3359">
        <v>1997</v>
      </c>
      <c r="E140" s="3358">
        <v>45.59</v>
      </c>
      <c r="I140" s="3387">
        <v>100</v>
      </c>
      <c r="J140" s="3387">
        <v>1</v>
      </c>
      <c r="K140" s="3387" t="s">
        <v>3208</v>
      </c>
      <c r="L140" s="3387">
        <v>1997</v>
      </c>
      <c r="M140" s="3387">
        <v>111.3</v>
      </c>
      <c r="N140" s="3387">
        <v>1200</v>
      </c>
      <c r="O140" s="3387"/>
      <c r="P140">
        <f t="shared" si="2"/>
        <v>133560</v>
      </c>
    </row>
    <row r="141" spans="1:16">
      <c r="A141" s="3359">
        <v>108</v>
      </c>
      <c r="B141" s="3359">
        <v>2</v>
      </c>
      <c r="C141" s="3359" t="s">
        <v>3153</v>
      </c>
      <c r="D141" s="3359">
        <v>1997</v>
      </c>
      <c r="E141" s="3358">
        <v>121.86</v>
      </c>
      <c r="I141" s="3390">
        <v>101</v>
      </c>
      <c r="J141" s="3390">
        <v>1</v>
      </c>
      <c r="K141" s="3390" t="s">
        <v>3208</v>
      </c>
      <c r="L141" s="3390">
        <v>1997</v>
      </c>
      <c r="M141" s="3390">
        <v>16.239999999999998</v>
      </c>
      <c r="N141" s="3387">
        <v>1200</v>
      </c>
      <c r="O141" s="3387"/>
      <c r="P141">
        <f t="shared" si="2"/>
        <v>19488</v>
      </c>
    </row>
    <row r="142" spans="1:16">
      <c r="A142" s="3359">
        <v>109</v>
      </c>
      <c r="B142" s="3359">
        <v>2</v>
      </c>
      <c r="C142" s="3359" t="s">
        <v>3153</v>
      </c>
      <c r="D142" s="3359">
        <v>1997</v>
      </c>
      <c r="E142" s="3358">
        <v>299.18</v>
      </c>
      <c r="I142" s="3387">
        <v>102</v>
      </c>
      <c r="J142" s="3387">
        <v>2</v>
      </c>
      <c r="K142" s="3387" t="s">
        <v>3208</v>
      </c>
      <c r="L142" s="3387">
        <v>1997</v>
      </c>
      <c r="M142" s="3387">
        <v>1246.02</v>
      </c>
      <c r="N142" s="3387">
        <v>1200</v>
      </c>
      <c r="O142" s="3387"/>
      <c r="P142">
        <f t="shared" si="2"/>
        <v>1495224</v>
      </c>
    </row>
    <row r="143" spans="1:16">
      <c r="A143" s="3359">
        <v>110</v>
      </c>
      <c r="B143" s="3359">
        <v>1</v>
      </c>
      <c r="C143" s="3359" t="s">
        <v>3153</v>
      </c>
      <c r="D143" s="3359">
        <v>1997</v>
      </c>
      <c r="E143" s="3358">
        <v>94.42</v>
      </c>
      <c r="I143" s="3387">
        <v>103</v>
      </c>
      <c r="J143" s="3387">
        <v>1</v>
      </c>
      <c r="K143" s="3387" t="s">
        <v>3208</v>
      </c>
      <c r="L143" s="3387">
        <v>1997</v>
      </c>
      <c r="M143" s="3387">
        <v>22.31</v>
      </c>
      <c r="N143" s="3387">
        <v>1200</v>
      </c>
      <c r="O143" s="3387"/>
      <c r="P143">
        <f t="shared" si="2"/>
        <v>26772</v>
      </c>
    </row>
    <row r="144" spans="1:16">
      <c r="A144" s="3359">
        <v>111</v>
      </c>
      <c r="B144" s="3359">
        <v>1</v>
      </c>
      <c r="C144" s="3359" t="s">
        <v>3153</v>
      </c>
      <c r="D144" s="3359">
        <v>1997</v>
      </c>
      <c r="E144" s="3358">
        <v>33.76</v>
      </c>
      <c r="I144" s="3387">
        <v>104</v>
      </c>
      <c r="J144" s="3387">
        <v>2</v>
      </c>
      <c r="K144" s="3387" t="s">
        <v>3208</v>
      </c>
      <c r="L144" s="3387">
        <v>1997</v>
      </c>
      <c r="M144" s="3387">
        <v>96.7</v>
      </c>
      <c r="N144" s="3387">
        <v>1200</v>
      </c>
      <c r="O144" s="3387"/>
      <c r="P144">
        <f t="shared" si="2"/>
        <v>116040</v>
      </c>
    </row>
    <row r="145" spans="1:16">
      <c r="A145" s="3359">
        <v>112</v>
      </c>
      <c r="B145" s="3359">
        <v>1</v>
      </c>
      <c r="C145" s="3359" t="s">
        <v>3153</v>
      </c>
      <c r="D145" s="3359">
        <v>1997</v>
      </c>
      <c r="E145" s="3358">
        <v>265.08999999999997</v>
      </c>
      <c r="I145" s="3387">
        <v>105</v>
      </c>
      <c r="J145" s="3387">
        <v>2</v>
      </c>
      <c r="K145" s="3387" t="s">
        <v>3208</v>
      </c>
      <c r="L145" s="3387">
        <v>1997</v>
      </c>
      <c r="M145" s="3387">
        <v>236.2</v>
      </c>
      <c r="N145" s="3387">
        <v>1200</v>
      </c>
      <c r="O145" s="3387"/>
      <c r="P145">
        <f t="shared" si="2"/>
        <v>283440</v>
      </c>
    </row>
    <row r="146" spans="1:16">
      <c r="A146" s="3359">
        <v>113</v>
      </c>
      <c r="B146" s="3359">
        <v>2</v>
      </c>
      <c r="C146" s="3359" t="s">
        <v>3153</v>
      </c>
      <c r="D146" s="3359">
        <v>1997</v>
      </c>
      <c r="E146" s="3358">
        <v>124.94</v>
      </c>
      <c r="I146" s="3387">
        <v>106</v>
      </c>
      <c r="J146" s="3387">
        <v>1</v>
      </c>
      <c r="K146" s="3387" t="s">
        <v>3208</v>
      </c>
      <c r="L146" s="3387">
        <v>1997</v>
      </c>
      <c r="M146" s="3387">
        <v>58.62</v>
      </c>
      <c r="N146" s="3387">
        <v>1200</v>
      </c>
      <c r="O146" s="3387"/>
      <c r="P146">
        <f t="shared" si="2"/>
        <v>70344</v>
      </c>
    </row>
    <row r="147" spans="1:16">
      <c r="A147" s="3359">
        <v>114</v>
      </c>
      <c r="B147" s="3359">
        <v>2</v>
      </c>
      <c r="C147" s="3359" t="s">
        <v>3153</v>
      </c>
      <c r="D147" s="3359">
        <v>1997</v>
      </c>
      <c r="E147" s="3358">
        <v>250.39</v>
      </c>
      <c r="I147" s="3387">
        <v>107</v>
      </c>
      <c r="J147" s="3387">
        <v>1</v>
      </c>
      <c r="K147" s="3387" t="s">
        <v>3208</v>
      </c>
      <c r="L147" s="3387">
        <v>1997</v>
      </c>
      <c r="M147" s="3387">
        <v>45.59</v>
      </c>
      <c r="N147" s="3387">
        <v>1200</v>
      </c>
      <c r="O147" s="3387"/>
      <c r="P147">
        <f t="shared" si="2"/>
        <v>54708</v>
      </c>
    </row>
    <row r="148" spans="1:16">
      <c r="A148" s="3359">
        <v>115</v>
      </c>
      <c r="B148" s="3359">
        <v>1</v>
      </c>
      <c r="C148" s="3359" t="s">
        <v>3153</v>
      </c>
      <c r="D148" s="3359">
        <v>1997</v>
      </c>
      <c r="E148" s="3358">
        <v>48.95</v>
      </c>
      <c r="I148" s="3387">
        <v>108</v>
      </c>
      <c r="J148" s="3387">
        <v>2</v>
      </c>
      <c r="K148" s="3387" t="s">
        <v>3208</v>
      </c>
      <c r="L148" s="3387">
        <v>1997</v>
      </c>
      <c r="M148" s="3387">
        <v>121.86</v>
      </c>
      <c r="N148" s="3387">
        <v>1200</v>
      </c>
      <c r="O148" s="3387"/>
      <c r="P148">
        <f t="shared" si="2"/>
        <v>146232</v>
      </c>
    </row>
    <row r="149" spans="1:16">
      <c r="A149" s="3359">
        <v>116</v>
      </c>
      <c r="B149" s="3359">
        <v>1</v>
      </c>
      <c r="C149" s="3359" t="s">
        <v>3153</v>
      </c>
      <c r="D149" s="3359">
        <v>1997</v>
      </c>
      <c r="E149" s="3358">
        <v>108.85</v>
      </c>
      <c r="I149" s="3387">
        <v>109</v>
      </c>
      <c r="J149" s="3387">
        <v>2</v>
      </c>
      <c r="K149" s="3387" t="s">
        <v>3208</v>
      </c>
      <c r="L149" s="3387">
        <v>1997</v>
      </c>
      <c r="M149" s="3387">
        <v>299.18</v>
      </c>
      <c r="N149" s="3387">
        <v>1200</v>
      </c>
      <c r="O149" s="3387"/>
      <c r="P149">
        <f t="shared" si="2"/>
        <v>359016</v>
      </c>
    </row>
    <row r="150" spans="1:16">
      <c r="A150" s="3359">
        <v>117</v>
      </c>
      <c r="B150" s="3359">
        <v>1</v>
      </c>
      <c r="C150" s="3359" t="s">
        <v>3153</v>
      </c>
      <c r="D150" s="3359">
        <v>1997</v>
      </c>
      <c r="E150" s="3358">
        <v>48.95</v>
      </c>
      <c r="I150" s="3387">
        <v>110</v>
      </c>
      <c r="J150" s="3387">
        <v>1</v>
      </c>
      <c r="K150" s="3387" t="s">
        <v>3208</v>
      </c>
      <c r="L150" s="3387">
        <v>1997</v>
      </c>
      <c r="M150" s="3387">
        <v>94.42</v>
      </c>
      <c r="N150" s="3387">
        <v>1200</v>
      </c>
      <c r="O150" s="3387"/>
      <c r="P150">
        <f t="shared" si="2"/>
        <v>113304</v>
      </c>
    </row>
    <row r="151" spans="1:16">
      <c r="A151" s="3359">
        <v>118</v>
      </c>
      <c r="B151" s="3359">
        <v>1</v>
      </c>
      <c r="C151" s="3359" t="s">
        <v>3153</v>
      </c>
      <c r="D151" s="3359">
        <v>1997</v>
      </c>
      <c r="E151" s="3358">
        <v>59.28</v>
      </c>
      <c r="I151" s="3387">
        <v>111</v>
      </c>
      <c r="J151" s="3387">
        <v>1</v>
      </c>
      <c r="K151" s="3387" t="s">
        <v>3208</v>
      </c>
      <c r="L151" s="3387">
        <v>1997</v>
      </c>
      <c r="M151" s="3387">
        <v>33.76</v>
      </c>
      <c r="N151" s="3387">
        <v>1200</v>
      </c>
      <c r="O151" s="3387"/>
      <c r="P151">
        <f t="shared" si="2"/>
        <v>40512</v>
      </c>
    </row>
    <row r="152" spans="1:16">
      <c r="A152" s="3359">
        <v>119</v>
      </c>
      <c r="B152" s="3359">
        <v>1</v>
      </c>
      <c r="C152" s="3359" t="s">
        <v>3153</v>
      </c>
      <c r="D152" s="3359">
        <v>1997</v>
      </c>
      <c r="E152" s="3358">
        <v>67.86</v>
      </c>
      <c r="I152" s="3387">
        <v>112</v>
      </c>
      <c r="J152" s="3387">
        <v>1</v>
      </c>
      <c r="K152" s="3387" t="s">
        <v>3208</v>
      </c>
      <c r="L152" s="3387">
        <v>1997</v>
      </c>
      <c r="M152" s="3387">
        <v>265.08999999999997</v>
      </c>
      <c r="N152" s="3387">
        <v>1200</v>
      </c>
      <c r="O152" s="3387"/>
      <c r="P152">
        <f t="shared" si="2"/>
        <v>318108</v>
      </c>
    </row>
    <row r="153" spans="1:16">
      <c r="A153" s="3359">
        <v>120</v>
      </c>
      <c r="B153" s="3359">
        <v>1</v>
      </c>
      <c r="C153" s="3359" t="s">
        <v>3153</v>
      </c>
      <c r="D153" s="3359">
        <v>1997</v>
      </c>
      <c r="E153" s="3358">
        <v>40.869999999999997</v>
      </c>
      <c r="I153" s="3387">
        <v>113</v>
      </c>
      <c r="J153" s="3387">
        <v>2</v>
      </c>
      <c r="K153" s="3387" t="s">
        <v>3208</v>
      </c>
      <c r="L153" s="3387">
        <v>1997</v>
      </c>
      <c r="M153" s="3387">
        <v>124.94</v>
      </c>
      <c r="N153" s="3387">
        <v>1200</v>
      </c>
      <c r="O153" s="3387"/>
      <c r="P153">
        <f t="shared" si="2"/>
        <v>149928</v>
      </c>
    </row>
    <row r="154" spans="1:16">
      <c r="A154" s="3359">
        <v>121</v>
      </c>
      <c r="B154" s="3359">
        <v>1</v>
      </c>
      <c r="C154" s="3359" t="s">
        <v>3153</v>
      </c>
      <c r="D154" s="3359">
        <v>1997</v>
      </c>
      <c r="E154" s="3358">
        <v>11.14</v>
      </c>
      <c r="I154" s="3387">
        <v>114</v>
      </c>
      <c r="J154" s="3387">
        <v>2</v>
      </c>
      <c r="K154" s="3387" t="s">
        <v>3208</v>
      </c>
      <c r="L154" s="3387">
        <v>1997</v>
      </c>
      <c r="M154" s="3387">
        <v>250.39</v>
      </c>
      <c r="N154" s="3387">
        <v>1200</v>
      </c>
      <c r="O154" s="3387"/>
      <c r="P154">
        <f t="shared" si="2"/>
        <v>300468</v>
      </c>
    </row>
    <row r="155" spans="1:16">
      <c r="A155" s="3359">
        <v>122</v>
      </c>
      <c r="B155" s="3359">
        <v>2</v>
      </c>
      <c r="C155" s="3359" t="s">
        <v>3153</v>
      </c>
      <c r="D155" s="3359">
        <v>1997</v>
      </c>
      <c r="E155" s="3358">
        <v>355.77</v>
      </c>
      <c r="I155" s="3387">
        <v>115</v>
      </c>
      <c r="J155" s="3387">
        <v>1</v>
      </c>
      <c r="K155" s="3387" t="s">
        <v>3208</v>
      </c>
      <c r="L155" s="3387">
        <v>1997</v>
      </c>
      <c r="M155" s="3387">
        <v>48.95</v>
      </c>
      <c r="N155" s="3387">
        <v>1200</v>
      </c>
      <c r="O155" s="3387"/>
      <c r="P155">
        <f t="shared" si="2"/>
        <v>58740</v>
      </c>
    </row>
    <row r="156" spans="1:16">
      <c r="A156" s="3359">
        <v>123</v>
      </c>
      <c r="B156" s="3359">
        <v>1</v>
      </c>
      <c r="C156" s="3359" t="s">
        <v>3153</v>
      </c>
      <c r="D156" s="3359">
        <v>1997</v>
      </c>
      <c r="E156" s="3358">
        <v>32.340000000000003</v>
      </c>
      <c r="I156" s="3390">
        <v>116</v>
      </c>
      <c r="J156" s="3390">
        <v>1</v>
      </c>
      <c r="K156" s="3390" t="s">
        <v>3208</v>
      </c>
      <c r="L156" s="3390">
        <v>1997</v>
      </c>
      <c r="M156" s="3390">
        <v>108.85</v>
      </c>
      <c r="N156" s="3387">
        <v>1200</v>
      </c>
      <c r="O156" s="3387"/>
      <c r="P156">
        <f t="shared" si="2"/>
        <v>130620</v>
      </c>
    </row>
    <row r="157" spans="1:16">
      <c r="A157" s="3359">
        <v>124</v>
      </c>
      <c r="B157" s="3359">
        <v>2</v>
      </c>
      <c r="C157" s="3359" t="s">
        <v>3153</v>
      </c>
      <c r="D157" s="3359">
        <v>1997</v>
      </c>
      <c r="E157" s="3358">
        <v>732.62</v>
      </c>
      <c r="I157" s="3387">
        <v>117</v>
      </c>
      <c r="J157" s="3387">
        <v>1</v>
      </c>
      <c r="K157" s="3387" t="s">
        <v>3208</v>
      </c>
      <c r="L157" s="3387">
        <v>1997</v>
      </c>
      <c r="M157" s="3387">
        <v>48.95</v>
      </c>
      <c r="N157" s="3387">
        <v>1200</v>
      </c>
      <c r="O157" s="3387"/>
      <c r="P157">
        <f t="shared" si="2"/>
        <v>58740</v>
      </c>
    </row>
    <row r="158" spans="1:16">
      <c r="A158" s="3359">
        <v>125</v>
      </c>
      <c r="B158" s="3359">
        <v>2</v>
      </c>
      <c r="C158" s="3359" t="s">
        <v>3153</v>
      </c>
      <c r="D158" s="3359">
        <v>1997</v>
      </c>
      <c r="E158" s="3358">
        <v>124.37</v>
      </c>
      <c r="I158" s="3387">
        <v>118</v>
      </c>
      <c r="J158" s="3387">
        <v>1</v>
      </c>
      <c r="K158" s="3387" t="s">
        <v>3208</v>
      </c>
      <c r="L158" s="3387">
        <v>1997</v>
      </c>
      <c r="M158" s="3387">
        <v>59.28</v>
      </c>
      <c r="N158" s="3387">
        <v>1200</v>
      </c>
      <c r="O158" s="3387"/>
      <c r="P158">
        <f t="shared" si="2"/>
        <v>71136</v>
      </c>
    </row>
    <row r="159" spans="1:16">
      <c r="A159" s="3359">
        <v>126</v>
      </c>
      <c r="B159" s="3359">
        <v>2</v>
      </c>
      <c r="C159" s="3359" t="s">
        <v>3153</v>
      </c>
      <c r="D159" s="3359">
        <v>1997</v>
      </c>
      <c r="E159" s="3358">
        <v>130.19999999999999</v>
      </c>
      <c r="I159" s="3387">
        <v>119</v>
      </c>
      <c r="J159" s="3387">
        <v>1</v>
      </c>
      <c r="K159" s="3387" t="s">
        <v>3208</v>
      </c>
      <c r="L159" s="3387">
        <v>1997</v>
      </c>
      <c r="M159" s="3387">
        <v>67.86</v>
      </c>
      <c r="N159" s="3387">
        <v>1200</v>
      </c>
      <c r="O159" s="3387"/>
      <c r="P159">
        <f t="shared" si="2"/>
        <v>81432</v>
      </c>
    </row>
    <row r="160" spans="1:16">
      <c r="A160" s="3359">
        <v>127</v>
      </c>
      <c r="B160" s="3359">
        <v>2</v>
      </c>
      <c r="C160" s="3359" t="s">
        <v>3153</v>
      </c>
      <c r="D160" s="3359">
        <v>1997</v>
      </c>
      <c r="E160" s="3358">
        <v>253.49</v>
      </c>
      <c r="I160" s="3387">
        <v>120</v>
      </c>
      <c r="J160" s="3387">
        <v>1</v>
      </c>
      <c r="K160" s="3387" t="s">
        <v>3208</v>
      </c>
      <c r="L160" s="3387">
        <v>1997</v>
      </c>
      <c r="M160" s="3387">
        <v>40.869999999999997</v>
      </c>
      <c r="N160" s="3387">
        <v>1200</v>
      </c>
      <c r="O160" s="3387"/>
      <c r="P160">
        <f t="shared" si="2"/>
        <v>49044</v>
      </c>
    </row>
    <row r="161" spans="1:16">
      <c r="A161" s="3807" t="s">
        <v>3154</v>
      </c>
      <c r="B161" s="3807"/>
      <c r="C161" s="3807"/>
      <c r="D161" s="3807"/>
      <c r="E161" s="3358">
        <f>SUM(E40:E160)</f>
        <v>12736.12000000001</v>
      </c>
      <c r="I161" s="3387">
        <v>121</v>
      </c>
      <c r="J161" s="3387">
        <v>1</v>
      </c>
      <c r="K161" s="3387" t="s">
        <v>3208</v>
      </c>
      <c r="L161" s="3387">
        <v>1997</v>
      </c>
      <c r="M161" s="3387">
        <v>11.14</v>
      </c>
      <c r="N161" s="3387">
        <v>1200</v>
      </c>
      <c r="O161" s="3387"/>
      <c r="P161">
        <f t="shared" si="2"/>
        <v>13368</v>
      </c>
    </row>
    <row r="162" spans="1:16">
      <c r="I162" s="3387">
        <v>122</v>
      </c>
      <c r="J162" s="3387">
        <v>2</v>
      </c>
      <c r="K162" s="3387" t="s">
        <v>3208</v>
      </c>
      <c r="L162" s="3387">
        <v>1997</v>
      </c>
      <c r="M162" s="3387">
        <v>355.77</v>
      </c>
      <c r="N162" s="3387">
        <v>1200</v>
      </c>
      <c r="O162" s="3387"/>
      <c r="P162">
        <f t="shared" si="2"/>
        <v>426924</v>
      </c>
    </row>
    <row r="163" spans="1:16">
      <c r="I163" s="3387">
        <v>123</v>
      </c>
      <c r="J163" s="3387">
        <v>1</v>
      </c>
      <c r="K163" s="3387" t="s">
        <v>3208</v>
      </c>
      <c r="L163" s="3387">
        <v>1997</v>
      </c>
      <c r="M163" s="3387">
        <v>32.340000000000003</v>
      </c>
      <c r="N163" s="3387">
        <v>1200</v>
      </c>
      <c r="O163" s="3387"/>
      <c r="P163">
        <f t="shared" si="2"/>
        <v>38808</v>
      </c>
    </row>
    <row r="164" spans="1:16">
      <c r="A164" s="3360" t="s">
        <v>3157</v>
      </c>
      <c r="I164" s="3387">
        <v>124</v>
      </c>
      <c r="J164" s="3387">
        <v>2</v>
      </c>
      <c r="K164" s="3387" t="s">
        <v>3208</v>
      </c>
      <c r="L164" s="3387">
        <v>1997</v>
      </c>
      <c r="M164" s="3387">
        <v>732.62</v>
      </c>
      <c r="N164" s="3387">
        <v>1200</v>
      </c>
      <c r="O164" s="3387"/>
      <c r="P164">
        <f t="shared" si="2"/>
        <v>879144</v>
      </c>
    </row>
    <row r="165" spans="1:16">
      <c r="A165" s="3361">
        <f>E11+E161</f>
        <v>35094.070000000014</v>
      </c>
      <c r="I165" s="3387">
        <v>125</v>
      </c>
      <c r="J165" s="3387">
        <v>2</v>
      </c>
      <c r="K165" s="3387" t="s">
        <v>3208</v>
      </c>
      <c r="L165" s="3387">
        <v>1997</v>
      </c>
      <c r="M165" s="3387">
        <v>124.37</v>
      </c>
      <c r="N165" s="3387">
        <v>1200</v>
      </c>
      <c r="O165" s="3387"/>
      <c r="P165">
        <f t="shared" si="2"/>
        <v>149244</v>
      </c>
    </row>
    <row r="166" spans="1:16">
      <c r="A166" s="3360" t="s">
        <v>3158</v>
      </c>
      <c r="I166" s="3387">
        <v>126</v>
      </c>
      <c r="J166" s="3387">
        <v>2</v>
      </c>
      <c r="K166" s="3387" t="s">
        <v>3208</v>
      </c>
      <c r="L166" s="3387">
        <v>1997</v>
      </c>
      <c r="M166" s="3387">
        <v>130.19999999999999</v>
      </c>
      <c r="N166" s="3387">
        <v>1200</v>
      </c>
      <c r="O166" s="3387"/>
      <c r="P166">
        <f t="shared" si="2"/>
        <v>156240</v>
      </c>
    </row>
    <row r="167" spans="1:16">
      <c r="A167">
        <f>34270116.86/10000</f>
        <v>3427.0116859999998</v>
      </c>
      <c r="B167" s="3361"/>
      <c r="C167" s="3411">
        <f>A167*10000/A165/365</f>
        <v>2.6754016027006169</v>
      </c>
      <c r="I167" s="3390">
        <v>127</v>
      </c>
      <c r="J167" s="3390">
        <v>2</v>
      </c>
      <c r="K167" s="3390" t="s">
        <v>3208</v>
      </c>
      <c r="L167" s="3390">
        <v>1997</v>
      </c>
      <c r="M167" s="3390">
        <v>253.49</v>
      </c>
      <c r="N167" s="3387">
        <v>1200</v>
      </c>
      <c r="O167" s="3387"/>
      <c r="P167">
        <f t="shared" si="2"/>
        <v>304188</v>
      </c>
    </row>
    <row r="168" spans="1:16" ht="25.5">
      <c r="I168" s="3387"/>
      <c r="J168" s="3387"/>
      <c r="K168" s="3387"/>
      <c r="L168" s="3387"/>
      <c r="M168" s="3391">
        <f>SUM(M41:M167)</f>
        <v>13088.64000000001</v>
      </c>
      <c r="N168" s="3392">
        <f>M168-M41-M42-M43-M51-M66-M67</f>
        <v>12455.770000000011</v>
      </c>
      <c r="O168" s="3393" t="s">
        <v>3209</v>
      </c>
      <c r="P168" s="3394">
        <f>SUM(P41:P167)</f>
        <v>14946924</v>
      </c>
    </row>
    <row r="169" spans="1:16" ht="16.5" customHeight="1">
      <c r="A169" s="3360" t="s">
        <v>3225</v>
      </c>
      <c r="B169">
        <f>SUM(M52:M56)+M87</f>
        <v>352.52</v>
      </c>
      <c r="I169" s="3807" t="s">
        <v>3210</v>
      </c>
      <c r="J169" s="3807"/>
      <c r="K169" s="3807"/>
      <c r="L169" s="3807"/>
      <c r="M169" s="3807"/>
      <c r="N169" s="3395" t="s">
        <v>3203</v>
      </c>
      <c r="O169" s="3387" t="s">
        <v>3211</v>
      </c>
      <c r="P169" s="3396" t="s">
        <v>3205</v>
      </c>
    </row>
    <row r="170" spans="1:16">
      <c r="A170" s="3360" t="s">
        <v>3226</v>
      </c>
      <c r="B170" s="3361">
        <f>M168-E161</f>
        <v>352.52000000000044</v>
      </c>
      <c r="I170" s="3387">
        <v>1</v>
      </c>
      <c r="J170" s="3387">
        <v>2</v>
      </c>
      <c r="K170" s="3387" t="s">
        <v>3212</v>
      </c>
      <c r="L170" s="3387">
        <v>2009</v>
      </c>
      <c r="M170" s="3387">
        <v>1650</v>
      </c>
      <c r="N170" s="3397">
        <v>2800</v>
      </c>
      <c r="O170" s="3387" t="s">
        <v>3213</v>
      </c>
      <c r="P170">
        <f t="shared" ref="P170:P178" si="3">ROUND(N170*M170,0)</f>
        <v>4620000</v>
      </c>
    </row>
    <row r="171" spans="1:16">
      <c r="I171" s="3387">
        <v>2</v>
      </c>
      <c r="J171" s="3387">
        <v>1</v>
      </c>
      <c r="K171" s="3387" t="s">
        <v>3212</v>
      </c>
      <c r="L171" s="3387">
        <v>2009</v>
      </c>
      <c r="M171" s="3387">
        <v>209.4</v>
      </c>
      <c r="N171" s="3397">
        <v>1800</v>
      </c>
      <c r="O171" s="3387" t="s">
        <v>3214</v>
      </c>
      <c r="P171">
        <f t="shared" si="3"/>
        <v>376920</v>
      </c>
    </row>
    <row r="172" spans="1:16">
      <c r="I172" s="3387">
        <v>3</v>
      </c>
      <c r="J172" s="3387">
        <v>1</v>
      </c>
      <c r="K172" s="3387" t="s">
        <v>3212</v>
      </c>
      <c r="L172" s="3387">
        <v>2009</v>
      </c>
      <c r="M172" s="3387">
        <v>58</v>
      </c>
      <c r="N172" s="3397">
        <v>1800</v>
      </c>
      <c r="O172" s="3387" t="s">
        <v>3215</v>
      </c>
      <c r="P172">
        <f t="shared" si="3"/>
        <v>104400</v>
      </c>
    </row>
    <row r="173" spans="1:16">
      <c r="I173" s="3387">
        <v>4</v>
      </c>
      <c r="J173" s="3387">
        <v>1</v>
      </c>
      <c r="K173" s="3387" t="s">
        <v>3212</v>
      </c>
      <c r="L173" s="3387">
        <v>2009</v>
      </c>
      <c r="M173" s="3387">
        <v>342.7</v>
      </c>
      <c r="N173" s="3397">
        <v>2500</v>
      </c>
      <c r="O173" s="3387" t="s">
        <v>3216</v>
      </c>
      <c r="P173">
        <f t="shared" si="3"/>
        <v>856750</v>
      </c>
    </row>
    <row r="174" spans="1:16">
      <c r="I174" s="3387">
        <v>5</v>
      </c>
      <c r="J174" s="3387">
        <v>1</v>
      </c>
      <c r="K174" s="3387" t="s">
        <v>3212</v>
      </c>
      <c r="L174" s="3387">
        <v>2009</v>
      </c>
      <c r="M174" s="3387">
        <v>152</v>
      </c>
      <c r="N174" s="3397">
        <v>1800</v>
      </c>
      <c r="O174" s="3387" t="s">
        <v>3217</v>
      </c>
      <c r="P174">
        <f t="shared" si="3"/>
        <v>273600</v>
      </c>
    </row>
    <row r="175" spans="1:16">
      <c r="I175" s="3387">
        <v>6</v>
      </c>
      <c r="J175" s="3387">
        <v>1</v>
      </c>
      <c r="K175" s="3387" t="s">
        <v>3212</v>
      </c>
      <c r="L175" s="3387">
        <v>2009</v>
      </c>
      <c r="M175" s="3387">
        <v>540</v>
      </c>
      <c r="N175" s="3397">
        <f>N173</f>
        <v>2500</v>
      </c>
      <c r="O175" s="3387" t="s">
        <v>3218</v>
      </c>
      <c r="P175">
        <f t="shared" si="3"/>
        <v>1350000</v>
      </c>
    </row>
    <row r="176" spans="1:16">
      <c r="I176" s="3387">
        <v>7</v>
      </c>
      <c r="J176" s="3387">
        <v>1</v>
      </c>
      <c r="K176" s="3387" t="s">
        <v>3212</v>
      </c>
      <c r="L176" s="3387">
        <v>2009</v>
      </c>
      <c r="M176" s="3387">
        <v>42</v>
      </c>
      <c r="N176" s="3397">
        <v>2000</v>
      </c>
      <c r="O176" s="3387" t="s">
        <v>3219</v>
      </c>
      <c r="P176">
        <f t="shared" si="3"/>
        <v>84000</v>
      </c>
    </row>
    <row r="177" spans="9:16">
      <c r="I177" s="3387">
        <v>8</v>
      </c>
      <c r="J177" s="3387">
        <v>1</v>
      </c>
      <c r="K177" s="3387" t="s">
        <v>3212</v>
      </c>
      <c r="L177" s="3387">
        <v>2009</v>
      </c>
      <c r="M177" s="3387">
        <v>56</v>
      </c>
      <c r="N177" s="3397">
        <v>2000</v>
      </c>
      <c r="O177" s="3387" t="s">
        <v>3220</v>
      </c>
      <c r="P177">
        <f t="shared" si="3"/>
        <v>112000</v>
      </c>
    </row>
    <row r="178" spans="9:16">
      <c r="I178" s="3387">
        <v>9</v>
      </c>
      <c r="J178" s="3387">
        <v>2</v>
      </c>
      <c r="K178" s="3387" t="s">
        <v>3212</v>
      </c>
      <c r="L178" s="3387">
        <v>2009</v>
      </c>
      <c r="M178" s="3387">
        <v>215</v>
      </c>
      <c r="N178" s="3397">
        <v>1800</v>
      </c>
      <c r="O178" s="3387" t="s">
        <v>3221</v>
      </c>
      <c r="P178">
        <f t="shared" si="3"/>
        <v>387000</v>
      </c>
    </row>
    <row r="179" spans="9:16">
      <c r="I179" s="3387"/>
      <c r="J179" s="3387"/>
      <c r="K179" s="3387"/>
      <c r="L179" s="3387"/>
      <c r="M179" s="3387">
        <f>SUM(M170:M178)</f>
        <v>3265.1</v>
      </c>
      <c r="N179" s="3387"/>
      <c r="O179" s="3393" t="s">
        <v>3222</v>
      </c>
      <c r="P179" s="3394">
        <f>SUM(P170:P178)</f>
        <v>8164670</v>
      </c>
    </row>
    <row r="180" spans="9:16">
      <c r="O180" s="3396" t="s">
        <v>3223</v>
      </c>
      <c r="P180" s="3398">
        <f>P179+P168</f>
        <v>23111594</v>
      </c>
    </row>
  </sheetData>
  <mergeCells count="102">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 ref="C27:C28"/>
    <mergeCell ref="E27:E28"/>
    <mergeCell ref="F27:F28"/>
    <mergeCell ref="A25:A26"/>
    <mergeCell ref="B25:B26"/>
    <mergeCell ref="C25:C26"/>
    <mergeCell ref="E25:E26"/>
    <mergeCell ref="F25:F26"/>
    <mergeCell ref="G23:G24"/>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A2:E2"/>
    <mergeCell ref="A11:D11"/>
    <mergeCell ref="A14:K14"/>
    <mergeCell ref="A15:A16"/>
    <mergeCell ref="D15:D16"/>
    <mergeCell ref="G15:G16"/>
    <mergeCell ref="H15:H16"/>
    <mergeCell ref="J15:J16"/>
    <mergeCell ref="K15:K16"/>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N15"/>
  <sheetViews>
    <sheetView workbookViewId="0">
      <selection activeCell="K4" sqref="K4"/>
    </sheetView>
  </sheetViews>
  <sheetFormatPr defaultRowHeight="13.5"/>
  <cols>
    <col min="1" max="1" width="38.5" customWidth="1"/>
    <col min="8" max="8" width="11.375" customWidth="1"/>
  </cols>
  <sheetData>
    <row r="1" spans="1:14" s="3136" customFormat="1">
      <c r="A1" s="3136" t="s">
        <v>3227</v>
      </c>
      <c r="B1" s="3136" t="s">
        <v>3228</v>
      </c>
      <c r="C1" s="3136" t="s">
        <v>3229</v>
      </c>
      <c r="D1" s="3136" t="s">
        <v>3230</v>
      </c>
      <c r="E1" s="3136" t="s">
        <v>3231</v>
      </c>
      <c r="F1" s="3136" t="s">
        <v>3232</v>
      </c>
      <c r="G1" s="3136" t="s">
        <v>3233</v>
      </c>
      <c r="H1" s="3136" t="s">
        <v>3234</v>
      </c>
      <c r="I1" s="3136" t="s">
        <v>3235</v>
      </c>
      <c r="J1" s="3136" t="s">
        <v>3236</v>
      </c>
      <c r="K1" s="3136" t="s">
        <v>3237</v>
      </c>
      <c r="L1" s="3401" t="s">
        <v>3238</v>
      </c>
      <c r="M1" s="3136" t="s">
        <v>3239</v>
      </c>
      <c r="N1" s="3136" t="s">
        <v>3240</v>
      </c>
    </row>
    <row r="2" spans="1:14" s="3136" customFormat="1">
      <c r="A2" s="3414" t="s">
        <v>3241</v>
      </c>
      <c r="B2" s="3136" t="s">
        <v>3068</v>
      </c>
      <c r="C2" s="3136" t="s">
        <v>3242</v>
      </c>
      <c r="D2" s="3136">
        <v>44700.95</v>
      </c>
      <c r="E2" s="3136">
        <v>80462</v>
      </c>
      <c r="F2" s="3136">
        <v>1.8</v>
      </c>
      <c r="G2" s="3136" t="s">
        <v>3243</v>
      </c>
      <c r="H2" s="3136" t="s">
        <v>3244</v>
      </c>
      <c r="I2" s="3136">
        <v>22400</v>
      </c>
      <c r="J2" s="3136">
        <v>22400</v>
      </c>
      <c r="K2" s="3136">
        <v>2783.92</v>
      </c>
      <c r="L2" s="3136">
        <f>ROUND(J2*10000/D2,0)</f>
        <v>5011</v>
      </c>
      <c r="M2" s="3136">
        <v>0</v>
      </c>
      <c r="N2" s="3136" t="s">
        <v>3245</v>
      </c>
    </row>
    <row r="3" spans="1:14" s="3402" customFormat="1" ht="29.25" customHeight="1">
      <c r="A3" s="3415" t="s">
        <v>3246</v>
      </c>
      <c r="B3" s="3402" t="s">
        <v>3068</v>
      </c>
      <c r="C3" s="3402" t="s">
        <v>3242</v>
      </c>
      <c r="D3" s="3402">
        <v>12853.55</v>
      </c>
      <c r="E3" s="3402">
        <v>77121</v>
      </c>
      <c r="F3" s="3402">
        <v>6</v>
      </c>
      <c r="G3" s="3402" t="s">
        <v>3243</v>
      </c>
      <c r="H3" s="3402" t="s">
        <v>3247</v>
      </c>
      <c r="I3" s="3402">
        <v>43000</v>
      </c>
      <c r="J3" s="3402">
        <v>52200</v>
      </c>
      <c r="K3" s="3402">
        <v>6768.57</v>
      </c>
      <c r="L3" s="3402">
        <f t="shared" ref="L3:L15" si="0">ROUND(J3*10000/D3,0)</f>
        <v>40611</v>
      </c>
      <c r="M3" s="3402">
        <v>21.4</v>
      </c>
      <c r="N3" s="3402" t="s">
        <v>3248</v>
      </c>
    </row>
    <row r="4" spans="1:14" s="3421" customFormat="1" ht="37.5" customHeight="1">
      <c r="A4" s="3420" t="s">
        <v>3249</v>
      </c>
      <c r="B4" s="3421" t="s">
        <v>3068</v>
      </c>
      <c r="C4" s="3421" t="s">
        <v>3242</v>
      </c>
      <c r="D4" s="3421">
        <v>1080820</v>
      </c>
      <c r="E4" s="3421">
        <v>421534</v>
      </c>
      <c r="F4" s="3421">
        <v>0.39</v>
      </c>
      <c r="G4" s="3421" t="s">
        <v>3243</v>
      </c>
      <c r="H4" s="3421" t="s">
        <v>3250</v>
      </c>
      <c r="I4" s="3421">
        <v>568000</v>
      </c>
      <c r="J4" s="3421">
        <v>568000</v>
      </c>
      <c r="K4" s="3421">
        <v>13474.6</v>
      </c>
      <c r="L4" s="3421">
        <f t="shared" si="0"/>
        <v>5255</v>
      </c>
      <c r="M4" s="3421">
        <v>0</v>
      </c>
      <c r="N4" s="3421" t="s">
        <v>3251</v>
      </c>
    </row>
    <row r="5" spans="1:14" s="3136" customFormat="1">
      <c r="A5" s="3416" t="s">
        <v>3252</v>
      </c>
      <c r="B5" s="3403" t="s">
        <v>3068</v>
      </c>
      <c r="C5" s="3403" t="s">
        <v>3242</v>
      </c>
      <c r="D5" s="3403">
        <v>23105.759999999998</v>
      </c>
      <c r="E5" s="3403">
        <v>27727</v>
      </c>
      <c r="F5" s="3403">
        <v>1.2</v>
      </c>
      <c r="G5" s="3403" t="s">
        <v>3243</v>
      </c>
      <c r="H5" s="3403" t="s">
        <v>3253</v>
      </c>
      <c r="I5" s="3403">
        <v>8000</v>
      </c>
      <c r="J5" s="3403">
        <v>8000</v>
      </c>
      <c r="K5" s="3403">
        <v>2885.26</v>
      </c>
      <c r="L5" s="3136">
        <f t="shared" si="0"/>
        <v>3462</v>
      </c>
      <c r="M5" s="3403">
        <v>0</v>
      </c>
      <c r="N5" s="3403" t="s">
        <v>3254</v>
      </c>
    </row>
    <row r="6" spans="1:14" s="3413" customFormat="1" ht="20.25" customHeight="1">
      <c r="A6" s="3417" t="s">
        <v>3255</v>
      </c>
      <c r="B6" s="3412" t="s">
        <v>3068</v>
      </c>
      <c r="C6" s="3412" t="s">
        <v>3242</v>
      </c>
      <c r="D6" s="3412">
        <v>36265</v>
      </c>
      <c r="E6" s="3412">
        <v>126928</v>
      </c>
      <c r="F6" s="3412">
        <v>3.5</v>
      </c>
      <c r="G6" s="3412" t="s">
        <v>3243</v>
      </c>
      <c r="H6" s="3412" t="s">
        <v>3256</v>
      </c>
      <c r="I6" s="3412">
        <v>37000</v>
      </c>
      <c r="J6" s="3412">
        <v>48600</v>
      </c>
      <c r="K6" s="3412">
        <v>3828.94</v>
      </c>
      <c r="L6" s="3413">
        <f t="shared" si="0"/>
        <v>13401</v>
      </c>
      <c r="M6" s="3412">
        <v>31.35</v>
      </c>
      <c r="N6" s="3412" t="s">
        <v>3257</v>
      </c>
    </row>
    <row r="7" spans="1:14" s="3413" customFormat="1">
      <c r="A7" s="3417" t="s">
        <v>3258</v>
      </c>
      <c r="B7" s="3412" t="s">
        <v>3068</v>
      </c>
      <c r="C7" s="3412" t="s">
        <v>3242</v>
      </c>
      <c r="D7" s="3412">
        <v>170200.2</v>
      </c>
      <c r="E7" s="3412">
        <v>255301</v>
      </c>
      <c r="F7" s="3412">
        <v>1.5</v>
      </c>
      <c r="G7" s="3412" t="s">
        <v>3243</v>
      </c>
      <c r="H7" s="3412" t="s">
        <v>3259</v>
      </c>
      <c r="I7" s="3412">
        <v>255000</v>
      </c>
      <c r="J7" s="3412">
        <v>259500</v>
      </c>
      <c r="K7" s="3412">
        <v>10164.459999999999</v>
      </c>
      <c r="L7" s="3413">
        <f t="shared" si="0"/>
        <v>15247</v>
      </c>
      <c r="M7" s="3412">
        <v>1.76</v>
      </c>
      <c r="N7" s="3412" t="s">
        <v>3260</v>
      </c>
    </row>
    <row r="8" spans="1:14" s="3410" customFormat="1">
      <c r="A8" s="3418" t="s">
        <v>3261</v>
      </c>
      <c r="B8" s="3409" t="s">
        <v>3068</v>
      </c>
      <c r="C8" s="3409" t="s">
        <v>3242</v>
      </c>
      <c r="D8" s="3409">
        <v>49477.2</v>
      </c>
      <c r="E8" s="3409">
        <v>123693</v>
      </c>
      <c r="F8" s="3409">
        <v>2.5</v>
      </c>
      <c r="G8" s="3409" t="s">
        <v>3243</v>
      </c>
      <c r="H8" s="3409" t="s">
        <v>3262</v>
      </c>
      <c r="I8" s="3409">
        <v>74300</v>
      </c>
      <c r="J8" s="3409">
        <v>187500</v>
      </c>
      <c r="K8" s="3409">
        <v>15158.5</v>
      </c>
      <c r="L8" s="3410">
        <f t="shared" si="0"/>
        <v>37896</v>
      </c>
      <c r="M8" s="3409">
        <v>152.36000000000001</v>
      </c>
      <c r="N8" s="3409" t="s">
        <v>3263</v>
      </c>
    </row>
    <row r="9" spans="1:14" s="3402" customFormat="1">
      <c r="A9" s="3419" t="s">
        <v>3264</v>
      </c>
      <c r="B9" s="3404" t="s">
        <v>3068</v>
      </c>
      <c r="C9" s="3404" t="s">
        <v>3242</v>
      </c>
      <c r="D9" s="3404">
        <v>17277.400000000001</v>
      </c>
      <c r="E9" s="3404">
        <v>34555</v>
      </c>
      <c r="F9" s="3404">
        <v>2</v>
      </c>
      <c r="G9" s="3404" t="s">
        <v>3243</v>
      </c>
      <c r="H9" s="3404" t="s">
        <v>3253</v>
      </c>
      <c r="I9" s="3404">
        <v>22000</v>
      </c>
      <c r="J9" s="3404">
        <v>22000</v>
      </c>
      <c r="K9" s="3404">
        <v>6366.65</v>
      </c>
      <c r="L9" s="3402">
        <f t="shared" si="0"/>
        <v>12733</v>
      </c>
      <c r="M9" s="3404">
        <v>0</v>
      </c>
      <c r="N9" s="3404" t="s">
        <v>3265</v>
      </c>
    </row>
    <row r="10" spans="1:14" s="3402" customFormat="1" ht="27">
      <c r="A10" s="3419" t="s">
        <v>3266</v>
      </c>
      <c r="B10" s="3404" t="s">
        <v>3068</v>
      </c>
      <c r="C10" s="3404" t="s">
        <v>3242</v>
      </c>
      <c r="D10" s="3404">
        <v>88702.37</v>
      </c>
      <c r="E10" s="3404">
        <v>206707</v>
      </c>
      <c r="F10" s="3404">
        <v>2.33</v>
      </c>
      <c r="G10" s="3404" t="s">
        <v>3243</v>
      </c>
      <c r="H10" s="3404" t="s">
        <v>3253</v>
      </c>
      <c r="I10" s="3404">
        <v>134500</v>
      </c>
      <c r="J10" s="3404">
        <v>138000</v>
      </c>
      <c r="K10" s="3404">
        <v>6676.11</v>
      </c>
      <c r="L10" s="3402">
        <f t="shared" si="0"/>
        <v>15558</v>
      </c>
      <c r="M10" s="3404">
        <v>2.6</v>
      </c>
      <c r="N10" s="3404" t="s">
        <v>3267</v>
      </c>
    </row>
    <row r="11" spans="1:14" s="3136" customFormat="1" ht="28.5" customHeight="1">
      <c r="A11" s="3416" t="s">
        <v>3268</v>
      </c>
      <c r="B11" s="3403" t="s">
        <v>3068</v>
      </c>
      <c r="C11" s="3403" t="s">
        <v>3242</v>
      </c>
      <c r="D11" s="3403">
        <v>40669.300000000003</v>
      </c>
      <c r="E11" s="3403">
        <v>109807</v>
      </c>
      <c r="F11" s="3403">
        <v>2.7</v>
      </c>
      <c r="G11" s="3403" t="s">
        <v>3243</v>
      </c>
      <c r="H11" s="3403" t="s">
        <v>3269</v>
      </c>
      <c r="I11" s="3403">
        <v>75000</v>
      </c>
      <c r="J11" s="3403">
        <v>75000</v>
      </c>
      <c r="K11" s="3403">
        <v>6830.17</v>
      </c>
      <c r="L11" s="3136">
        <f t="shared" si="0"/>
        <v>18441</v>
      </c>
      <c r="M11" s="3403">
        <v>0</v>
      </c>
      <c r="N11" s="3403" t="s">
        <v>3270</v>
      </c>
    </row>
    <row r="12" spans="1:14" s="3413" customFormat="1" ht="42.75" customHeight="1">
      <c r="A12" s="3417" t="s">
        <v>3271</v>
      </c>
      <c r="B12" s="3412" t="s">
        <v>3068</v>
      </c>
      <c r="C12" s="3412" t="s">
        <v>3242</v>
      </c>
      <c r="D12" s="3412">
        <v>45793.17</v>
      </c>
      <c r="E12" s="3412">
        <v>114483</v>
      </c>
      <c r="F12" s="3412">
        <v>2.5</v>
      </c>
      <c r="G12" s="3412" t="s">
        <v>3243</v>
      </c>
      <c r="H12" s="3412" t="s">
        <v>3272</v>
      </c>
      <c r="I12" s="3412">
        <v>65000</v>
      </c>
      <c r="J12" s="3412">
        <v>65000</v>
      </c>
      <c r="K12" s="3412">
        <v>5677.69</v>
      </c>
      <c r="L12" s="3413">
        <f t="shared" si="0"/>
        <v>14194</v>
      </c>
      <c r="M12" s="3412">
        <v>0</v>
      </c>
      <c r="N12" s="3412" t="s">
        <v>3273</v>
      </c>
    </row>
    <row r="13" spans="1:14" s="3413" customFormat="1">
      <c r="A13" s="3417" t="s">
        <v>3308</v>
      </c>
      <c r="B13" s="3412" t="s">
        <v>3068</v>
      </c>
      <c r="C13" s="3412" t="s">
        <v>3242</v>
      </c>
      <c r="D13" s="3412">
        <v>120885</v>
      </c>
      <c r="E13" s="3412">
        <v>256512</v>
      </c>
      <c r="F13" s="3412" t="s">
        <v>2934</v>
      </c>
      <c r="G13" s="3412" t="s">
        <v>3243</v>
      </c>
      <c r="H13" s="3412" t="s">
        <v>3259</v>
      </c>
      <c r="I13" s="3412">
        <v>250000</v>
      </c>
      <c r="J13" s="3412">
        <v>250000</v>
      </c>
      <c r="K13" s="3412">
        <v>9746.1200000000008</v>
      </c>
      <c r="L13" s="3413">
        <f t="shared" si="0"/>
        <v>20681</v>
      </c>
      <c r="M13" s="3412">
        <v>0</v>
      </c>
      <c r="N13" s="3412" t="s">
        <v>3309</v>
      </c>
    </row>
    <row r="14" spans="1:14" s="3410" customFormat="1" ht="31.5" customHeight="1">
      <c r="A14" s="3418" t="s">
        <v>3310</v>
      </c>
      <c r="B14" s="3409" t="s">
        <v>3068</v>
      </c>
      <c r="C14" s="3409" t="s">
        <v>3242</v>
      </c>
      <c r="D14" s="3409">
        <v>5237.16</v>
      </c>
      <c r="E14" s="3409">
        <v>10474</v>
      </c>
      <c r="F14" s="3409">
        <v>2</v>
      </c>
      <c r="G14" s="3409" t="s">
        <v>3243</v>
      </c>
      <c r="H14" s="3409" t="s">
        <v>3311</v>
      </c>
      <c r="I14" s="3409">
        <v>13000</v>
      </c>
      <c r="J14" s="3409">
        <v>13700</v>
      </c>
      <c r="K14" s="3409">
        <v>13080.01</v>
      </c>
      <c r="L14" s="3410">
        <f t="shared" si="0"/>
        <v>26159</v>
      </c>
      <c r="M14" s="3409">
        <v>5.38</v>
      </c>
      <c r="N14" s="3409" t="s">
        <v>3312</v>
      </c>
    </row>
    <row r="15" spans="1:14" s="3410" customFormat="1" ht="36.75" customHeight="1">
      <c r="A15" s="3418" t="s">
        <v>3313</v>
      </c>
      <c r="B15" s="3409" t="s">
        <v>3068</v>
      </c>
      <c r="C15" s="3409" t="s">
        <v>3242</v>
      </c>
      <c r="D15" s="3409">
        <v>27641.17</v>
      </c>
      <c r="E15" s="3409">
        <v>96744</v>
      </c>
      <c r="F15" s="3409">
        <v>3.5</v>
      </c>
      <c r="G15" s="3409" t="s">
        <v>3243</v>
      </c>
      <c r="H15" s="3409" t="s">
        <v>3269</v>
      </c>
      <c r="I15" s="3409">
        <v>117000</v>
      </c>
      <c r="J15" s="3409">
        <v>117600</v>
      </c>
      <c r="K15" s="3409">
        <v>12155.79</v>
      </c>
      <c r="L15" s="3410">
        <f t="shared" si="0"/>
        <v>42545</v>
      </c>
      <c r="M15" s="3409">
        <v>0.51</v>
      </c>
      <c r="N15" s="3409" t="s">
        <v>3314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48" t="str">
        <f>IF(项目基本情况!B9="房地产市场价值","估价结果一览表","结果表-2")</f>
        <v>结果表-2</v>
      </c>
      <c r="B1" s="3448"/>
      <c r="C1" s="3448"/>
      <c r="D1" s="3448"/>
      <c r="E1" s="3448"/>
      <c r="F1" s="3448"/>
      <c r="G1" s="3448"/>
      <c r="H1" s="3448"/>
      <c r="I1" s="3448"/>
    </row>
    <row r="2" spans="1:9" ht="30" customHeight="1" thickTop="1">
      <c r="A2" s="3449" t="s">
        <v>2872</v>
      </c>
      <c r="B2" s="3449" t="s">
        <v>2036</v>
      </c>
      <c r="C2" s="3449" t="s">
        <v>2037</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4.25">
      <c r="A3" s="3443"/>
      <c r="B3" s="3443"/>
      <c r="C3" s="3443"/>
      <c r="D3" s="1912" t="s">
        <v>7</v>
      </c>
      <c r="E3" s="1912" t="s">
        <v>2038</v>
      </c>
      <c r="F3" s="1912" t="s">
        <v>7</v>
      </c>
      <c r="G3" s="1912" t="s">
        <v>8</v>
      </c>
      <c r="H3" s="1912" t="s">
        <v>7</v>
      </c>
      <c r="I3" s="1912" t="s">
        <v>8</v>
      </c>
    </row>
    <row r="4" spans="1:9" ht="28.5">
      <c r="A4" s="1982" t="str">
        <f>项目基本情况!S2</f>
        <v>北京市怀柔区杨宋镇凤翔二园1号1-7幢房地产</v>
      </c>
      <c r="B4" s="1976">
        <f>项目基本情况!C17</f>
        <v>28973.439999999999</v>
      </c>
      <c r="C4" s="1976">
        <f>项目基本情况!C18</f>
        <v>92783.56</v>
      </c>
      <c r="D4" s="1976">
        <f ca="1">结果表!D118</f>
        <v>63091</v>
      </c>
      <c r="E4" s="1976">
        <f ca="1">结果表!E118</f>
        <v>21776</v>
      </c>
      <c r="F4" s="1976">
        <f ca="1">结果表!F118</f>
        <v>8198</v>
      </c>
      <c r="G4" s="1976">
        <f ca="1">结果表!G118</f>
        <v>2829</v>
      </c>
      <c r="H4" s="1976">
        <f ca="1">结果表!H118</f>
        <v>71289</v>
      </c>
      <c r="I4" s="1976">
        <f ca="1">结果表!I118</f>
        <v>24605</v>
      </c>
    </row>
    <row r="5" spans="1:9" ht="30" customHeight="1">
      <c r="A5" s="3443" t="s">
        <v>9</v>
      </c>
      <c r="B5" s="3443"/>
      <c r="C5" s="3443"/>
      <c r="D5" s="3444" t="str">
        <f ca="1">结果表!D119</f>
        <v>陆亿叁仟零玖拾壹万元整</v>
      </c>
      <c r="E5" s="3444"/>
      <c r="F5" s="3444" t="str">
        <f ca="1">结果表!F119</f>
        <v>捌仟壹佰玖拾捌万元整</v>
      </c>
      <c r="G5" s="3444"/>
      <c r="H5" s="3444" t="str">
        <f ca="1">结果表!H119</f>
        <v>柒亿壹仟贰佰捌拾玖万元整</v>
      </c>
      <c r="I5" s="3444"/>
    </row>
    <row r="6" spans="1:9" ht="15.75">
      <c r="A6" s="3441" t="str">
        <f>结果表!A120</f>
        <v>估价师知悉的法定优先受偿款</v>
      </c>
      <c r="B6" s="3441"/>
      <c r="C6" s="3441"/>
      <c r="D6" s="3442">
        <f>结果表!D120</f>
        <v>0</v>
      </c>
      <c r="E6" s="3442"/>
      <c r="F6" s="3442"/>
      <c r="G6" s="3442"/>
      <c r="H6" s="3442"/>
      <c r="I6" s="3442"/>
    </row>
    <row r="7" spans="1:9" ht="14.25">
      <c r="A7" s="3443" t="s">
        <v>9</v>
      </c>
      <c r="B7" s="3443"/>
      <c r="C7" s="3443"/>
      <c r="D7" s="3445" t="str">
        <f>结果表!D121</f>
        <v>零元整</v>
      </c>
      <c r="E7" s="3446"/>
      <c r="F7" s="3446"/>
      <c r="G7" s="3446"/>
      <c r="H7" s="3446"/>
      <c r="I7" s="3447"/>
    </row>
    <row r="8" spans="1:9" ht="15.75">
      <c r="A8" s="3441" t="str">
        <f>结果表!A122</f>
        <v>房地产抵押价值</v>
      </c>
      <c r="B8" s="3441"/>
      <c r="C8" s="3441"/>
      <c r="D8" s="3442">
        <f ca="1">结果表!D122</f>
        <v>71289</v>
      </c>
      <c r="E8" s="3442"/>
      <c r="F8" s="3442"/>
      <c r="G8" s="3442"/>
      <c r="H8" s="3442"/>
      <c r="I8" s="3442"/>
    </row>
    <row r="9" spans="1:9" ht="14.25">
      <c r="A9" s="3443" t="s">
        <v>9</v>
      </c>
      <c r="B9" s="3443"/>
      <c r="C9" s="3443"/>
      <c r="D9" s="3444" t="str">
        <f ca="1">结果表!D123</f>
        <v>柒亿壹仟贰佰捌拾玖万元整</v>
      </c>
      <c r="E9" s="3444"/>
      <c r="F9" s="3444"/>
      <c r="G9" s="3444"/>
      <c r="H9" s="3444"/>
      <c r="I9" s="3444"/>
    </row>
    <row r="10" spans="1:9" ht="15.75">
      <c r="A10" s="3441" t="str">
        <f>结果表!A124</f>
        <v/>
      </c>
      <c r="B10" s="3441"/>
      <c r="C10" s="3441"/>
      <c r="D10" s="3442" t="str">
        <f>结果表!D124</f>
        <v>——</v>
      </c>
      <c r="E10" s="3442"/>
      <c r="F10" s="3442"/>
      <c r="G10" s="3442"/>
      <c r="H10" s="3442"/>
      <c r="I10" s="3442"/>
    </row>
    <row r="11" spans="1:9" ht="14.25">
      <c r="A11" s="3443" t="s">
        <v>9</v>
      </c>
      <c r="B11" s="3443"/>
      <c r="C11" s="3443"/>
      <c r="D11" s="3444" t="e">
        <f>结果表!D125</f>
        <v>#VALUE!</v>
      </c>
      <c r="E11" s="3444"/>
      <c r="F11" s="3444"/>
      <c r="G11" s="3444"/>
      <c r="H11" s="3444"/>
      <c r="I11" s="3444"/>
    </row>
    <row r="12" spans="1:9" ht="15.75">
      <c r="A12" s="3441" t="str">
        <f>结果表!A126</f>
        <v/>
      </c>
      <c r="B12" s="3441"/>
      <c r="C12" s="3441"/>
      <c r="D12" s="3442" t="str">
        <f>结果表!D126</f>
        <v>——</v>
      </c>
      <c r="E12" s="3442"/>
      <c r="F12" s="3442"/>
      <c r="G12" s="3442"/>
      <c r="H12" s="3442"/>
      <c r="I12" s="3442"/>
    </row>
    <row r="13" spans="1:9" ht="15" thickBot="1">
      <c r="A13" s="3438" t="s">
        <v>9</v>
      </c>
      <c r="B13" s="3438"/>
      <c r="C13" s="3438"/>
      <c r="D13" s="3439" t="e">
        <f>结果表!D127</f>
        <v>#VALUE!</v>
      </c>
      <c r="E13" s="3439"/>
      <c r="F13" s="3439"/>
      <c r="G13" s="3439"/>
      <c r="H13" s="3439"/>
      <c r="I13" s="3439"/>
    </row>
    <row r="14" spans="1:9" ht="14.25" thickTop="1">
      <c r="A14" s="3440" t="s">
        <v>2039</v>
      </c>
      <c r="B14" s="3440"/>
      <c r="C14" s="3440"/>
      <c r="D14" s="3440"/>
      <c r="E14" s="3440"/>
      <c r="F14" s="3440"/>
      <c r="G14" s="3440"/>
      <c r="H14" s="3440"/>
      <c r="I14" s="3440"/>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6" t="s">
        <v>2849</v>
      </c>
      <c r="B1" s="3456"/>
      <c r="C1" s="3456"/>
      <c r="D1" s="3456"/>
    </row>
    <row r="2" spans="1:4" ht="18.75">
      <c r="A2" s="3457" t="s">
        <v>2110</v>
      </c>
      <c r="B2" s="3457"/>
      <c r="C2" s="3457"/>
      <c r="D2" s="3457"/>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57" t="s">
        <v>2611</v>
      </c>
      <c r="B6" s="3457"/>
      <c r="C6" s="3457"/>
      <c r="D6" s="3457"/>
    </row>
    <row r="7" spans="1:4" ht="18.75">
      <c r="A7" s="2611" t="s">
        <v>2111</v>
      </c>
      <c r="B7" s="2612" t="s">
        <v>2116</v>
      </c>
      <c r="C7" s="2611" t="s">
        <v>2113</v>
      </c>
      <c r="D7" s="2611" t="s">
        <v>2114</v>
      </c>
    </row>
    <row r="8" spans="1:4" ht="56.25" customHeight="1">
      <c r="A8" s="2614" t="s">
        <v>2117</v>
      </c>
      <c r="B8" s="2614" t="s">
        <v>23</v>
      </c>
      <c r="C8" s="2615"/>
      <c r="D8" s="2613" t="s">
        <v>2115</v>
      </c>
    </row>
    <row r="9" spans="1:4">
      <c r="A9" s="1495"/>
      <c r="B9" s="1495"/>
      <c r="C9" s="1495"/>
      <c r="D9" s="1495"/>
    </row>
    <row r="10" spans="1:4" ht="18.75">
      <c r="A10" s="2093" t="s">
        <v>2118</v>
      </c>
      <c r="B10" s="1495"/>
      <c r="C10" s="1495"/>
      <c r="D10" s="1495"/>
    </row>
    <row r="11" spans="1:4" ht="30" customHeight="1">
      <c r="A11" s="3458" t="s">
        <v>2704</v>
      </c>
      <c r="B11" s="3450"/>
      <c r="C11" s="3450"/>
      <c r="D11" s="3450"/>
    </row>
    <row r="12" spans="1:4" ht="14.2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0" t="str">
        <f>IF(项目基本情况!B8="抵押","4.本次评估估价师所知悉的法定优先受偿款情况说明如下：","——")</f>
        <v>4.本次评估估价师所知悉的法定优先受偿款情况说明如下：</v>
      </c>
      <c r="B14" s="3455"/>
      <c r="C14" s="3455"/>
      <c r="D14" s="3455"/>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2" t="s">
        <v>2122</v>
      </c>
      <c r="B16" s="3452"/>
      <c r="C16" s="3452"/>
      <c r="D16" s="3452"/>
    </row>
    <row r="17" spans="1:4" ht="144" customHeight="1">
      <c r="A17" s="3452" t="s">
        <v>2123</v>
      </c>
      <c r="B17" s="3452"/>
      <c r="C17" s="3452"/>
      <c r="D17" s="3452"/>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0"/>
      <c r="C20" s="3450"/>
      <c r="D20" s="3450"/>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3"/>
      <c r="C21" s="3453"/>
      <c r="D21" s="3453"/>
    </row>
    <row r="22" spans="1:4" ht="18.75" customHeight="1">
      <c r="A22" s="3454" t="s">
        <v>2870</v>
      </c>
      <c r="B22" s="3454"/>
      <c r="C22" s="3454"/>
      <c r="D22" s="3454"/>
    </row>
    <row r="23" spans="1:4">
      <c r="A23" s="1983"/>
      <c r="B23" s="1992"/>
      <c r="C23" s="1992"/>
      <c r="D23" s="1992"/>
    </row>
    <row r="24" spans="1:4">
      <c r="A24" s="1983"/>
      <c r="B24" s="1992"/>
      <c r="C24" s="1992"/>
      <c r="D24" s="1992"/>
    </row>
    <row r="25" spans="1:4" ht="18.75">
      <c r="A25" s="1981" t="s">
        <v>2119</v>
      </c>
    </row>
    <row r="26" spans="1:4" ht="18.75">
      <c r="A26" s="1953"/>
    </row>
    <row r="27" spans="1:4" ht="18.75">
      <c r="A27" s="1953" t="s">
        <v>2120</v>
      </c>
    </row>
    <row r="30" spans="1:4" ht="18.75">
      <c r="D30" s="1981" t="s">
        <v>2121</v>
      </c>
    </row>
    <row r="31" spans="1:4" ht="13.5" customHeight="1">
      <c r="C31" s="3451">
        <v>42551</v>
      </c>
      <c r="D31" s="345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1134</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64" t="s">
        <v>556</v>
      </c>
      <c r="B15" s="3459" t="s">
        <v>1135</v>
      </c>
      <c r="C15" s="3460"/>
    </row>
    <row r="16" spans="1:7" ht="13.5">
      <c r="A16" s="3465"/>
      <c r="B16" s="3459" t="s">
        <v>529</v>
      </c>
      <c r="C16" s="3460"/>
    </row>
    <row r="17" spans="1:3" ht="13.5">
      <c r="A17" s="3465"/>
      <c r="B17" s="3462" t="s">
        <v>557</v>
      </c>
      <c r="C17" s="1148" t="s">
        <v>556</v>
      </c>
    </row>
    <row r="18" spans="1:3" ht="13.5">
      <c r="A18" s="3465"/>
      <c r="B18" s="3462"/>
      <c r="C18" s="1148" t="s">
        <v>558</v>
      </c>
    </row>
    <row r="19" spans="1:3" ht="13.5">
      <c r="A19" s="3465"/>
      <c r="B19" s="3462"/>
      <c r="C19" s="1148" t="s">
        <v>559</v>
      </c>
    </row>
    <row r="20" spans="1:3" ht="13.5">
      <c r="A20" s="3466"/>
      <c r="B20" s="3461" t="s">
        <v>560</v>
      </c>
      <c r="C20" s="3460"/>
    </row>
    <row r="21" spans="1:3" ht="13.5">
      <c r="A21" s="1149" t="s">
        <v>561</v>
      </c>
      <c r="B21" s="1150"/>
      <c r="C21" s="1151"/>
    </row>
    <row r="22" spans="1:3" ht="13.5">
      <c r="A22" s="3463" t="s">
        <v>562</v>
      </c>
      <c r="B22" s="3461" t="s">
        <v>563</v>
      </c>
      <c r="C22" s="3460"/>
    </row>
    <row r="23" spans="1:3" ht="13.5">
      <c r="A23" s="3463"/>
      <c r="B23" s="3461" t="s">
        <v>564</v>
      </c>
      <c r="C23" s="3460"/>
    </row>
    <row r="24" spans="1:3" ht="13.5">
      <c r="A24" s="3463"/>
      <c r="B24" s="3461" t="s">
        <v>565</v>
      </c>
      <c r="C24" s="3460"/>
    </row>
    <row r="25" spans="1:3" ht="13.5">
      <c r="A25" s="3463"/>
      <c r="B25" s="3462" t="s">
        <v>566</v>
      </c>
      <c r="C25" s="1148" t="s">
        <v>567</v>
      </c>
    </row>
    <row r="26" spans="1:3" ht="13.5">
      <c r="A26" s="3463"/>
      <c r="B26" s="3462"/>
      <c r="C26" s="1148" t="s">
        <v>568</v>
      </c>
    </row>
    <row r="27" spans="1:3" ht="13.5">
      <c r="A27" s="3463"/>
      <c r="B27" s="3462"/>
      <c r="C27" s="1148" t="s">
        <v>569</v>
      </c>
    </row>
    <row r="28" spans="1:3" ht="13.5">
      <c r="A28" s="3463"/>
      <c r="B28" s="3462"/>
      <c r="C28" s="1148" t="s">
        <v>570</v>
      </c>
    </row>
    <row r="29" spans="1:3" ht="13.5">
      <c r="A29" s="3463"/>
      <c r="B29" s="3462"/>
      <c r="C29" s="1148" t="s">
        <v>571</v>
      </c>
    </row>
    <row r="30" spans="1:3" ht="13.5">
      <c r="A30" s="3463"/>
      <c r="B30" s="3462"/>
      <c r="C30" s="1148" t="s">
        <v>572</v>
      </c>
    </row>
    <row r="31" spans="1:3" ht="13.5">
      <c r="A31" s="3463"/>
      <c r="B31" s="3462"/>
      <c r="C31" s="1148" t="s">
        <v>573</v>
      </c>
    </row>
    <row r="32" spans="1:3" ht="13.5">
      <c r="A32" s="3463"/>
      <c r="B32" s="3462"/>
      <c r="C32" s="1148" t="s">
        <v>574</v>
      </c>
    </row>
    <row r="33" spans="1:3" ht="13.5">
      <c r="A33" s="3463"/>
      <c r="B33" s="3462"/>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42990</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2702</v>
      </c>
      <c r="B15" s="1895">
        <v>1120070085</v>
      </c>
      <c r="C15" s="3204">
        <v>43814</v>
      </c>
      <c r="D15" s="3205" t="s">
        <v>2702</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2936</v>
      </c>
      <c r="B24" s="3205" t="s">
        <v>2936</v>
      </c>
      <c r="C24" s="3205" t="s">
        <v>2936</v>
      </c>
      <c r="D24" s="3205" t="s">
        <v>2936</v>
      </c>
      <c r="E24" s="3205" t="s">
        <v>2936</v>
      </c>
      <c r="F24" s="3205" t="s">
        <v>2936</v>
      </c>
    </row>
    <row r="25" spans="1:7" ht="24" customHeight="1">
      <c r="A25" s="3467" t="s">
        <v>1990</v>
      </c>
      <c r="B25" s="3467"/>
      <c r="C25" s="3467"/>
      <c r="D25" s="3467"/>
      <c r="E25" s="3467"/>
      <c r="F25" s="3467"/>
      <c r="G25" s="3467"/>
    </row>
    <row r="26" spans="1:7" s="1899" customFormat="1" ht="24" customHeight="1">
      <c r="A26" s="3468" t="s">
        <v>1991</v>
      </c>
      <c r="B26" s="3468"/>
      <c r="C26" s="3468"/>
      <c r="D26" s="1898"/>
      <c r="E26" s="3468" t="s">
        <v>1992</v>
      </c>
      <c r="F26" s="3468"/>
      <c r="G26" s="346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8" t="s">
        <v>3048</v>
      </c>
      <c r="G29" s="2439">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2017-09-12T04:47:21Z</dcterms:modified>
</cp:coreProperties>
</file>