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953" firstSheet="10" activeTab="4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 sheetId="77" r:id="rId45"/>
    <sheet name="土地案例" sheetId="78"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B173" i="77"/>
  <c r="I11"/>
  <c r="K5"/>
  <c r="E71" i="39" l="1"/>
  <c r="F71" s="1"/>
  <c r="G71" s="1"/>
  <c r="H71" s="1"/>
  <c r="I71" s="1"/>
  <c r="J71" s="1"/>
  <c r="K71" s="1"/>
  <c r="L71" s="1"/>
  <c r="M71" s="1"/>
  <c r="N71" s="1"/>
  <c r="O71" s="1"/>
  <c r="D71"/>
  <c r="G38"/>
  <c r="G11"/>
  <c r="G7"/>
  <c r="G5"/>
  <c r="E38"/>
  <c r="E11"/>
  <c r="E7"/>
  <c r="E5"/>
  <c r="L14" i="78"/>
  <c r="L15"/>
  <c r="L13"/>
  <c r="I38" i="39"/>
  <c r="I11"/>
  <c r="I7"/>
  <c r="I5"/>
  <c r="C167" i="77" l="1"/>
  <c r="M116" i="39" l="1"/>
  <c r="L116"/>
  <c r="K116"/>
  <c r="J116"/>
  <c r="I116"/>
  <c r="H116"/>
  <c r="G116"/>
  <c r="F116"/>
  <c r="E116"/>
  <c r="D116"/>
  <c r="C116"/>
  <c r="C38"/>
  <c r="C10"/>
  <c r="L12" i="78"/>
  <c r="L11"/>
  <c r="L10"/>
  <c r="L9"/>
  <c r="L8"/>
  <c r="L7"/>
  <c r="L6"/>
  <c r="L5"/>
  <c r="L4"/>
  <c r="L3"/>
  <c r="L2"/>
  <c r="I14" i="3" l="1"/>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
  <c r="B170" i="77"/>
  <c r="B169"/>
  <c r="M179"/>
  <c r="P178"/>
  <c r="P177"/>
  <c r="P176"/>
  <c r="N175"/>
  <c r="P175" s="1"/>
  <c r="P174"/>
  <c r="P173"/>
  <c r="P172"/>
  <c r="P171"/>
  <c r="P170"/>
  <c r="M168"/>
  <c r="N168" s="1"/>
  <c r="P167"/>
  <c r="P166"/>
  <c r="P165"/>
  <c r="P164"/>
  <c r="P163"/>
  <c r="P162"/>
  <c r="P161"/>
  <c r="P160"/>
  <c r="P159"/>
  <c r="P158"/>
  <c r="P157"/>
  <c r="P156"/>
  <c r="P155"/>
  <c r="P154"/>
  <c r="P153"/>
  <c r="P152"/>
  <c r="P151"/>
  <c r="P150"/>
  <c r="P149"/>
  <c r="P148"/>
  <c r="P147"/>
  <c r="P146"/>
  <c r="P145"/>
  <c r="P144"/>
  <c r="P143"/>
  <c r="P142"/>
  <c r="P141"/>
  <c r="P140"/>
  <c r="P139"/>
  <c r="P138"/>
  <c r="P137"/>
  <c r="P136"/>
  <c r="P135"/>
  <c r="P134"/>
  <c r="P133"/>
  <c r="P132"/>
  <c r="P131"/>
  <c r="P130"/>
  <c r="P129"/>
  <c r="P128"/>
  <c r="P127"/>
  <c r="P126"/>
  <c r="P125"/>
  <c r="P124"/>
  <c r="P123"/>
  <c r="P122"/>
  <c r="P121"/>
  <c r="P120"/>
  <c r="P119"/>
  <c r="P118"/>
  <c r="P117"/>
  <c r="P116"/>
  <c r="P115"/>
  <c r="P114"/>
  <c r="P113"/>
  <c r="P112"/>
  <c r="P111"/>
  <c r="P110"/>
  <c r="P109"/>
  <c r="P108"/>
  <c r="P107"/>
  <c r="P106"/>
  <c r="P105"/>
  <c r="P104"/>
  <c r="P103"/>
  <c r="P102"/>
  <c r="P101"/>
  <c r="P100"/>
  <c r="P99"/>
  <c r="P98"/>
  <c r="P97"/>
  <c r="P96"/>
  <c r="P95"/>
  <c r="P94"/>
  <c r="P93"/>
  <c r="P92"/>
  <c r="P91"/>
  <c r="P90"/>
  <c r="P89"/>
  <c r="P88"/>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P46"/>
  <c r="P45"/>
  <c r="P44"/>
  <c r="P43"/>
  <c r="P42"/>
  <c r="P41"/>
  <c r="P168" l="1"/>
  <c r="P179"/>
  <c r="J11"/>
  <c r="J5"/>
  <c r="J6"/>
  <c r="J7"/>
  <c r="J8"/>
  <c r="J9"/>
  <c r="J10"/>
  <c r="J4"/>
  <c r="G67" i="43"/>
  <c r="G66"/>
  <c r="G65"/>
  <c r="G64"/>
  <c r="G63"/>
  <c r="G62"/>
  <c r="G61"/>
  <c r="G60"/>
  <c r="G59"/>
  <c r="P180" i="77" l="1"/>
  <c r="A167"/>
  <c r="A165"/>
  <c r="G41"/>
  <c r="E161"/>
  <c r="N5" l="1"/>
  <c r="E11"/>
  <c r="A21" i="62" l="1"/>
  <c r="A20"/>
  <c r="A22" i="51"/>
  <c r="A21"/>
  <c r="A20"/>
  <c r="A15" i="62" l="1"/>
  <c r="A14"/>
  <c r="A13"/>
  <c r="A2" i="53"/>
  <c r="A19" i="62" l="1"/>
  <c r="A12"/>
  <c r="A126" i="9"/>
  <c r="A124"/>
  <c r="A122"/>
  <c r="A8" i="52" s="1"/>
  <c r="A120" i="9"/>
  <c r="H2" i="52"/>
  <c r="A1"/>
  <c r="A3" i="53"/>
  <c r="B6" i="71" l="1"/>
  <c r="B5" s="1"/>
  <c r="C6"/>
  <c r="C5" s="1"/>
  <c r="D5" s="1"/>
  <c r="D6"/>
  <c r="E6"/>
  <c r="E5" s="1"/>
  <c r="F6"/>
  <c r="F5" s="1"/>
  <c r="L5" l="1"/>
  <c r="Q5" s="1"/>
  <c r="K5"/>
  <c r="P5" s="1"/>
  <c r="J5"/>
  <c r="O5" s="1"/>
  <c r="I5"/>
  <c r="N5" s="1"/>
  <c r="E7" i="70" l="1"/>
  <c r="E8"/>
  <c r="E9"/>
  <c r="E10"/>
  <c r="E11"/>
  <c r="E12"/>
  <c r="E13"/>
  <c r="E8" i="76"/>
  <c r="B10"/>
  <c r="E9"/>
  <c r="B12"/>
  <c r="B11"/>
  <c r="E10"/>
  <c r="E7"/>
  <c r="E12"/>
  <c r="B9"/>
  <c r="E13"/>
  <c r="B13"/>
  <c r="E11"/>
  <c r="B8"/>
  <c r="B7"/>
  <c r="A15" i="51" l="1"/>
  <c r="C76" i="9" l="1"/>
  <c r="I107" i="40" l="1"/>
  <c r="K6" i="4" l="1"/>
  <c r="B22" i="31" l="1"/>
  <c r="N56" i="9" l="1"/>
  <c r="M56"/>
  <c r="K56"/>
  <c r="E15" i="74" l="1"/>
  <c r="F15"/>
  <c r="E16"/>
  <c r="F16"/>
  <c r="E17"/>
  <c r="F17"/>
  <c r="E18"/>
  <c r="F18"/>
  <c r="E19"/>
  <c r="F19"/>
  <c r="E20"/>
  <c r="F20"/>
  <c r="E21"/>
  <c r="F21"/>
  <c r="E22"/>
  <c r="F22"/>
  <c r="E23"/>
  <c r="F23"/>
  <c r="B3" l="1"/>
  <c r="C91" i="9" l="1"/>
  <c r="B8" i="72" l="1"/>
  <c r="M19" i="43" l="1"/>
  <c r="O6" i="71" l="1"/>
  <c r="P6"/>
  <c r="Q6"/>
  <c r="N6"/>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H18"/>
  <c r="AG18"/>
  <c r="AE18"/>
  <c r="AF18" s="1"/>
  <c r="AD18"/>
  <c r="AD19"/>
  <c r="AE19"/>
  <c r="AF19"/>
  <c r="AG19"/>
  <c r="AH19"/>
  <c r="X8"/>
  <c r="Y8"/>
  <c r="Z8" s="1"/>
  <c r="AA8"/>
  <c r="AB8"/>
  <c r="X9"/>
  <c r="Y9"/>
  <c r="Z9"/>
  <c r="AA9"/>
  <c r="AB9"/>
  <c r="X10"/>
  <c r="Y10"/>
  <c r="Z10" s="1"/>
  <c r="AA10"/>
  <c r="AB10"/>
  <c r="X11"/>
  <c r="Y11"/>
  <c r="Z11"/>
  <c r="AA11"/>
  <c r="AB11"/>
  <c r="X12"/>
  <c r="Y12"/>
  <c r="Z12" s="1"/>
  <c r="AA12"/>
  <c r="AB12"/>
  <c r="X13"/>
  <c r="Y13"/>
  <c r="Z13"/>
  <c r="AA13"/>
  <c r="AB13"/>
  <c r="X14"/>
  <c r="Y14"/>
  <c r="Z14" s="1"/>
  <c r="AA14"/>
  <c r="AB14"/>
  <c r="X15"/>
  <c r="Y15"/>
  <c r="Z15"/>
  <c r="AA15"/>
  <c r="AB15"/>
  <c r="X16"/>
  <c r="Y16"/>
  <c r="Z16" s="1"/>
  <c r="AA16"/>
  <c r="AB16"/>
  <c r="Y17"/>
  <c r="AB17"/>
  <c r="AA17"/>
  <c r="X17"/>
  <c r="S2" i="31" l="1"/>
  <c r="M2"/>
  <c r="N2"/>
  <c r="O2"/>
  <c r="P2"/>
  <c r="Q2"/>
  <c r="R2"/>
  <c r="C1" i="73" l="1"/>
  <c r="L1" s="1"/>
  <c r="F7"/>
  <c r="J1" l="1"/>
  <c r="B74" i="72"/>
  <c r="D5" i="73"/>
  <c r="F5"/>
  <c r="D7"/>
  <c r="F3"/>
  <c r="D4"/>
  <c r="D3"/>
  <c r="D6"/>
  <c r="F6"/>
  <c r="F4"/>
  <c r="E20" i="43" l="1"/>
  <c r="I1" i="73"/>
  <c r="B39" i="1" s="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E111"/>
  <c r="E109"/>
  <c r="B44" i="72" l="1"/>
  <c r="B42"/>
  <c r="B69"/>
  <c r="B68"/>
  <c r="B63"/>
  <c r="B62"/>
  <c r="B16"/>
  <c r="B65" l="1"/>
  <c r="B60"/>
  <c r="B59"/>
  <c r="B58"/>
  <c r="B67"/>
  <c r="B66"/>
  <c r="B12" l="1"/>
  <c r="B10" l="1"/>
  <c r="C53" i="10" l="1"/>
  <c r="B51"/>
  <c r="B19" i="72"/>
  <c r="A18" i="51"/>
  <c r="B13" i="72" s="1"/>
  <c r="B49" i="48" l="1"/>
  <c r="B5" i="72" s="1"/>
  <c r="I19" i="43" l="1"/>
  <c r="D68" i="71" l="1"/>
  <c r="F67"/>
  <c r="E67"/>
  <c r="E66" s="1"/>
  <c r="E65" s="1"/>
  <c r="C67"/>
  <c r="D67" s="1"/>
  <c r="B67"/>
  <c r="F66"/>
  <c r="F65" s="1"/>
  <c r="B66"/>
  <c r="B65" s="1"/>
  <c r="D64"/>
  <c r="F63"/>
  <c r="E63"/>
  <c r="E62" s="1"/>
  <c r="E61" s="1"/>
  <c r="C63"/>
  <c r="D63" s="1"/>
  <c r="B63"/>
  <c r="F62"/>
  <c r="F61" s="1"/>
  <c r="B62"/>
  <c r="B61" s="1"/>
  <c r="D60"/>
  <c r="S59"/>
  <c r="Q59"/>
  <c r="P59"/>
  <c r="O59"/>
  <c r="N59"/>
  <c r="F59"/>
  <c r="V59" s="1"/>
  <c r="E59"/>
  <c r="U59" s="1"/>
  <c r="C59"/>
  <c r="T59" s="1"/>
  <c r="B59"/>
  <c r="Q58"/>
  <c r="P58"/>
  <c r="O58"/>
  <c r="N58"/>
  <c r="F58"/>
  <c r="F57" s="1"/>
  <c r="B58"/>
  <c r="B57" s="1"/>
  <c r="Q57"/>
  <c r="P57"/>
  <c r="O57"/>
  <c r="N57"/>
  <c r="Q56"/>
  <c r="P56"/>
  <c r="O56"/>
  <c r="N56"/>
  <c r="D56"/>
  <c r="S55"/>
  <c r="Q55"/>
  <c r="P55"/>
  <c r="O55"/>
  <c r="N55"/>
  <c r="F55"/>
  <c r="V55" s="1"/>
  <c r="E55"/>
  <c r="U55" s="1"/>
  <c r="C55"/>
  <c r="T55" s="1"/>
  <c r="B55"/>
  <c r="Q54"/>
  <c r="P54"/>
  <c r="O54"/>
  <c r="N54"/>
  <c r="F54"/>
  <c r="F53" s="1"/>
  <c r="B54"/>
  <c r="B53" s="1"/>
  <c r="Q53"/>
  <c r="P53"/>
  <c r="O53"/>
  <c r="N53"/>
  <c r="Q52"/>
  <c r="P52"/>
  <c r="O52"/>
  <c r="N52"/>
  <c r="D52"/>
  <c r="S51"/>
  <c r="Q51"/>
  <c r="P51"/>
  <c r="O51"/>
  <c r="N51"/>
  <c r="F51"/>
  <c r="V51" s="1"/>
  <c r="E51"/>
  <c r="U51" s="1"/>
  <c r="C51"/>
  <c r="T51" s="1"/>
  <c r="B51"/>
  <c r="Q50"/>
  <c r="P50"/>
  <c r="O50"/>
  <c r="N50"/>
  <c r="F50"/>
  <c r="F49" s="1"/>
  <c r="B50"/>
  <c r="B49" s="1"/>
  <c r="Q49"/>
  <c r="P49"/>
  <c r="O49"/>
  <c r="N49"/>
  <c r="Q48"/>
  <c r="P48"/>
  <c r="O48"/>
  <c r="N48"/>
  <c r="D48"/>
  <c r="S47"/>
  <c r="P47"/>
  <c r="N47"/>
  <c r="F47"/>
  <c r="V47" s="1"/>
  <c r="E47"/>
  <c r="C47"/>
  <c r="B47"/>
  <c r="F46"/>
  <c r="F45" s="1"/>
  <c r="Q45" s="1"/>
  <c r="B46"/>
  <c r="D44"/>
  <c r="Q43"/>
  <c r="P43"/>
  <c r="O43"/>
  <c r="N43"/>
  <c r="Q42"/>
  <c r="P42"/>
  <c r="O42"/>
  <c r="N42"/>
  <c r="F42"/>
  <c r="F43" s="1"/>
  <c r="V43" s="1"/>
  <c r="Q41"/>
  <c r="P41"/>
  <c r="O41"/>
  <c r="N41"/>
  <c r="E41"/>
  <c r="C41"/>
  <c r="Q40"/>
  <c r="F41" s="1"/>
  <c r="P40"/>
  <c r="O40"/>
  <c r="N40"/>
  <c r="B41" s="1"/>
  <c r="B42" s="1"/>
  <c r="B43" s="1"/>
  <c r="S43" s="1"/>
  <c r="D40"/>
  <c r="Q39"/>
  <c r="P39"/>
  <c r="O39"/>
  <c r="N39"/>
  <c r="Q38"/>
  <c r="P38"/>
  <c r="O38"/>
  <c r="N38"/>
  <c r="F38"/>
  <c r="F39" s="1"/>
  <c r="V39" s="1"/>
  <c r="Q37"/>
  <c r="P37"/>
  <c r="O37"/>
  <c r="N37"/>
  <c r="E37"/>
  <c r="C37"/>
  <c r="Q36"/>
  <c r="F37" s="1"/>
  <c r="P36"/>
  <c r="O36"/>
  <c r="N36"/>
  <c r="B37" s="1"/>
  <c r="B38" s="1"/>
  <c r="B39" s="1"/>
  <c r="S39" s="1"/>
  <c r="D36"/>
  <c r="Q35"/>
  <c r="P35"/>
  <c r="O35"/>
  <c r="N35"/>
  <c r="Q34"/>
  <c r="P34"/>
  <c r="O34"/>
  <c r="N34"/>
  <c r="F34"/>
  <c r="F35" s="1"/>
  <c r="V35" s="1"/>
  <c r="Q33"/>
  <c r="P33"/>
  <c r="O33"/>
  <c r="N33"/>
  <c r="E33"/>
  <c r="C33"/>
  <c r="Q32"/>
  <c r="F33" s="1"/>
  <c r="P32"/>
  <c r="O32"/>
  <c r="N32"/>
  <c r="B33" s="1"/>
  <c r="B34" s="1"/>
  <c r="B35" s="1"/>
  <c r="S35" s="1"/>
  <c r="D32"/>
  <c r="Q31"/>
  <c r="P31"/>
  <c r="O31"/>
  <c r="N31"/>
  <c r="Q30"/>
  <c r="P30"/>
  <c r="O30"/>
  <c r="N30"/>
  <c r="Q29"/>
  <c r="P29"/>
  <c r="O29"/>
  <c r="N29"/>
  <c r="E29"/>
  <c r="E30" s="1"/>
  <c r="E31" s="1"/>
  <c r="U31" s="1"/>
  <c r="Q28"/>
  <c r="F29" s="1"/>
  <c r="F30" s="1"/>
  <c r="F31" s="1"/>
  <c r="V31" s="1"/>
  <c r="P28"/>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Z17"/>
  <c r="Q17"/>
  <c r="P17"/>
  <c r="O17"/>
  <c r="N17"/>
  <c r="F17"/>
  <c r="F18" s="1"/>
  <c r="F19" s="1"/>
  <c r="V19" s="1"/>
  <c r="Q16"/>
  <c r="P16"/>
  <c r="E17" s="1"/>
  <c r="E18" s="1"/>
  <c r="E19" s="1"/>
  <c r="U19" s="1"/>
  <c r="O16"/>
  <c r="C17" s="1"/>
  <c r="N16"/>
  <c r="B17" s="1"/>
  <c r="B18" s="1"/>
  <c r="B19" s="1"/>
  <c r="S19" s="1"/>
  <c r="D16"/>
  <c r="Q15"/>
  <c r="P15"/>
  <c r="O15"/>
  <c r="N15"/>
  <c r="Q14"/>
  <c r="P14"/>
  <c r="O14"/>
  <c r="N14"/>
  <c r="Q13"/>
  <c r="P13"/>
  <c r="O13"/>
  <c r="N13"/>
  <c r="F13"/>
  <c r="F14" s="1"/>
  <c r="F15" s="1"/>
  <c r="V15" s="1"/>
  <c r="Q12"/>
  <c r="P12"/>
  <c r="E13" s="1"/>
  <c r="E14" s="1"/>
  <c r="E15" s="1"/>
  <c r="U15" s="1"/>
  <c r="O12"/>
  <c r="C13" s="1"/>
  <c r="N12"/>
  <c r="B13" s="1"/>
  <c r="B14" s="1"/>
  <c r="B15" s="1"/>
  <c r="S15" s="1"/>
  <c r="D12"/>
  <c r="Q11"/>
  <c r="P11"/>
  <c r="O11"/>
  <c r="N11"/>
  <c r="Q10"/>
  <c r="P10"/>
  <c r="O10"/>
  <c r="N10"/>
  <c r="Q9"/>
  <c r="P9"/>
  <c r="O9"/>
  <c r="N9"/>
  <c r="F9"/>
  <c r="F10" s="1"/>
  <c r="F11" s="1"/>
  <c r="V11" s="1"/>
  <c r="Q8"/>
  <c r="P8"/>
  <c r="E9" s="1"/>
  <c r="E10" s="1"/>
  <c r="E11" s="1"/>
  <c r="U11" s="1"/>
  <c r="O8"/>
  <c r="C9" s="1"/>
  <c r="N8"/>
  <c r="B9" s="1"/>
  <c r="B10" s="1"/>
  <c r="B11" s="1"/>
  <c r="S11" s="1"/>
  <c r="D8"/>
  <c r="O7"/>
  <c r="N7"/>
  <c r="C7" l="1"/>
  <c r="T7" s="1"/>
  <c r="Y3"/>
  <c r="Z3" s="1"/>
  <c r="Y4"/>
  <c r="Z4" s="1"/>
  <c r="Y5"/>
  <c r="Z5" s="1"/>
  <c r="Y6"/>
  <c r="Z6" s="1"/>
  <c r="Y7"/>
  <c r="Z7" s="1"/>
  <c r="B7"/>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S7" l="1"/>
  <c r="F7"/>
  <c r="AB3"/>
  <c r="AB4"/>
  <c r="AB5"/>
  <c r="AB6"/>
  <c r="AB7"/>
  <c r="E7"/>
  <c r="AA3"/>
  <c r="AA4"/>
  <c r="AA5"/>
  <c r="AA6"/>
  <c r="AA7"/>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V7" l="1"/>
  <c r="P44"/>
  <c r="P45"/>
  <c r="O45"/>
  <c r="D45"/>
  <c r="O44"/>
  <c r="T11"/>
  <c r="D11"/>
  <c r="T15"/>
  <c r="D15"/>
  <c r="T19"/>
  <c r="D19"/>
  <c r="T23"/>
  <c r="D23"/>
  <c r="T31"/>
  <c r="D31"/>
  <c r="T35"/>
  <c r="D35"/>
  <c r="T39"/>
  <c r="D39"/>
  <c r="T43"/>
  <c r="D43"/>
  <c r="R9" i="1" l="1"/>
  <c r="R10"/>
  <c r="R11"/>
  <c r="R12"/>
  <c r="R13"/>
  <c r="O27" i="6" l="1"/>
  <c r="N27"/>
  <c r="P20"/>
  <c r="P21"/>
  <c r="P22"/>
  <c r="P23"/>
  <c r="P24"/>
  <c r="P25"/>
  <c r="P26"/>
  <c r="P19"/>
  <c r="AP8" i="1"/>
  <c r="AP9"/>
  <c r="AP10"/>
  <c r="AP11"/>
  <c r="AP12"/>
  <c r="AP13"/>
  <c r="L21" i="6"/>
  <c r="L22"/>
  <c r="L23"/>
  <c r="L24"/>
  <c r="L25"/>
  <c r="L26"/>
  <c r="P27" l="1"/>
  <c r="A7" i="70"/>
  <c r="A8"/>
  <c r="A9"/>
  <c r="A10"/>
  <c r="A11"/>
  <c r="A12"/>
  <c r="A13"/>
  <c r="A6"/>
  <c r="B86" i="43" l="1"/>
  <c r="AO13" i="1"/>
  <c r="AO12"/>
  <c r="AO11"/>
  <c r="AO10"/>
  <c r="AO9"/>
  <c r="B10" i="70" l="1"/>
  <c r="B11"/>
  <c r="B13"/>
  <c r="B9"/>
  <c r="B12"/>
  <c r="Z25" i="40"/>
  <c r="Q25"/>
  <c r="D94"/>
  <c r="E94" s="1"/>
  <c r="F25"/>
  <c r="AA25" s="1"/>
  <c r="C25"/>
  <c r="Z29" i="39"/>
  <c r="Q29"/>
  <c r="D103"/>
  <c r="E103" s="1"/>
  <c r="F29"/>
  <c r="AA29" s="1"/>
  <c r="Z18" i="36"/>
  <c r="Q18"/>
  <c r="E66"/>
  <c r="F66" s="1"/>
  <c r="D66"/>
  <c r="H18"/>
  <c r="AB18" s="1"/>
  <c r="F18"/>
  <c r="AA18" s="1"/>
  <c r="C18"/>
  <c r="Z18" i="35"/>
  <c r="Q18"/>
  <c r="D68"/>
  <c r="E68" s="1"/>
  <c r="F18"/>
  <c r="AA18" s="1"/>
  <c r="C18"/>
  <c r="Z21" i="37"/>
  <c r="Q21"/>
  <c r="D77"/>
  <c r="E77" s="1"/>
  <c r="C21"/>
  <c r="Z21" i="34"/>
  <c r="Q21"/>
  <c r="D84"/>
  <c r="E84" s="1"/>
  <c r="F21"/>
  <c r="AA21" s="1"/>
  <c r="C21"/>
  <c r="Z21" i="33"/>
  <c r="Q21"/>
  <c r="D83"/>
  <c r="E83" s="1"/>
  <c r="C21"/>
  <c r="C21" i="21"/>
  <c r="Z21"/>
  <c r="Q21"/>
  <c r="H19"/>
  <c r="D83"/>
  <c r="F21" s="1"/>
  <c r="AA21" s="1"/>
  <c r="D81"/>
  <c r="G20" i="20"/>
  <c r="C22"/>
  <c r="B66" i="43" l="1"/>
  <c r="B75"/>
  <c r="B55"/>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C32" i="66"/>
  <c r="C31"/>
  <c r="C30"/>
  <c r="C27"/>
  <c r="E26"/>
  <c r="I23"/>
  <c r="D20"/>
  <c r="I19"/>
  <c r="I18"/>
  <c r="I17"/>
  <c r="I20"/>
  <c r="E15"/>
  <c r="I14"/>
  <c r="I13"/>
  <c r="I12"/>
  <c r="I15"/>
  <c r="I9"/>
  <c r="I8"/>
  <c r="I7"/>
  <c r="I6"/>
  <c r="I5"/>
  <c r="I4"/>
  <c r="I3"/>
  <c r="I10"/>
  <c r="I21"/>
  <c r="D1"/>
  <c r="E10"/>
  <c r="M11" i="15"/>
  <c r="F113" i="43"/>
  <c r="N99"/>
  <c r="N108" s="1"/>
  <c r="D99"/>
  <c r="D108" s="1"/>
  <c r="E99"/>
  <c r="E108" s="1"/>
  <c r="F99"/>
  <c r="F108" s="1"/>
  <c r="G99"/>
  <c r="G108" s="1"/>
  <c r="H99"/>
  <c r="H108" s="1"/>
  <c r="I99"/>
  <c r="I108" s="1"/>
  <c r="J99"/>
  <c r="J108" s="1"/>
  <c r="K99"/>
  <c r="K108" s="1"/>
  <c r="L99"/>
  <c r="L108" s="1"/>
  <c r="M99"/>
  <c r="M108" s="1"/>
  <c r="C99"/>
  <c r="C108" s="1"/>
  <c r="N100"/>
  <c r="D100"/>
  <c r="H100"/>
  <c r="L100"/>
  <c r="E100"/>
  <c r="G100"/>
  <c r="I100"/>
  <c r="K100"/>
  <c r="M100"/>
  <c r="B48"/>
  <c r="B84"/>
  <c r="B83"/>
  <c r="B72"/>
  <c r="B61"/>
  <c r="B50"/>
  <c r="D82"/>
  <c r="D83"/>
  <c r="D84"/>
  <c r="D85"/>
  <c r="D86"/>
  <c r="D87"/>
  <c r="D88"/>
  <c r="D81"/>
  <c r="D67"/>
  <c r="D61"/>
  <c r="D65"/>
  <c r="D59"/>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D66" s="1"/>
  <c r="M65"/>
  <c r="N65"/>
  <c r="K65"/>
  <c r="J65"/>
  <c r="M64"/>
  <c r="D64" s="1"/>
  <c r="N64"/>
  <c r="K64"/>
  <c r="J64"/>
  <c r="M63"/>
  <c r="N63"/>
  <c r="K63"/>
  <c r="D63" s="1"/>
  <c r="J63"/>
  <c r="M62"/>
  <c r="N62"/>
  <c r="K62"/>
  <c r="D62" s="1"/>
  <c r="J62"/>
  <c r="M61"/>
  <c r="N61"/>
  <c r="K61"/>
  <c r="J61"/>
  <c r="M60"/>
  <c r="D60" s="1"/>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E10"/>
  <c r="F10" s="1"/>
  <c r="G10" s="1"/>
  <c r="H10" s="1"/>
  <c r="I10" s="1"/>
  <c r="J10" s="1"/>
  <c r="K10" s="1"/>
  <c r="L10" s="1"/>
  <c r="M10" s="1"/>
  <c r="N10" s="1"/>
  <c r="O10" s="1"/>
  <c r="P10" s="1"/>
  <c r="Q10" s="1"/>
  <c r="R10" s="1"/>
  <c r="S10" s="1"/>
  <c r="D10"/>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A8"/>
  <c r="A9"/>
  <c r="S9" s="1"/>
  <c r="A10"/>
  <c r="S10" s="1"/>
  <c r="A11"/>
  <c r="S11" s="1"/>
  <c r="A12"/>
  <c r="S12" s="1"/>
  <c r="A13"/>
  <c r="S13" s="1"/>
  <c r="A6"/>
  <c r="B11"/>
  <c r="E11" s="1"/>
  <c r="B7"/>
  <c r="E7" s="1"/>
  <c r="B12"/>
  <c r="E12" s="1"/>
  <c r="K12"/>
  <c r="B10"/>
  <c r="E10" s="1"/>
  <c r="K10"/>
  <c r="M10" s="1"/>
  <c r="O10" s="1"/>
  <c r="B8"/>
  <c r="E8" s="1"/>
  <c r="B13"/>
  <c r="E13" s="1"/>
  <c r="K13"/>
  <c r="M13" s="1"/>
  <c r="O13" s="1"/>
  <c r="P13" s="1"/>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s="1"/>
  <c r="AZ112" s="1"/>
  <c r="AX112"/>
  <c r="AW112"/>
  <c r="AV112"/>
  <c r="AC112"/>
  <c r="H112"/>
  <c r="G112" s="1"/>
  <c r="BT111"/>
  <c r="BS111"/>
  <c r="BR111"/>
  <c r="BQ111"/>
  <c r="BP111"/>
  <c r="BO111"/>
  <c r="BN111"/>
  <c r="BM111"/>
  <c r="BL111"/>
  <c r="BK111"/>
  <c r="BJ111"/>
  <c r="BI111"/>
  <c r="BH111"/>
  <c r="BG111"/>
  <c r="BF111"/>
  <c r="BE111"/>
  <c r="BD111"/>
  <c r="BC111"/>
  <c r="BB111"/>
  <c r="BA111" s="1"/>
  <c r="AZ111" s="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s="1"/>
  <c r="BK109"/>
  <c r="BJ109"/>
  <c r="BI109"/>
  <c r="BH109"/>
  <c r="BG109"/>
  <c r="BF109"/>
  <c r="BE109"/>
  <c r="BD109"/>
  <c r="BC109"/>
  <c r="BB109"/>
  <c r="BA109" s="1"/>
  <c r="AZ109" s="1"/>
  <c r="AX109"/>
  <c r="AW109"/>
  <c r="AV109"/>
  <c r="AC109"/>
  <c r="H109"/>
  <c r="G109" s="1"/>
  <c r="BT108"/>
  <c r="BS108"/>
  <c r="BR108"/>
  <c r="BQ108"/>
  <c r="BP108"/>
  <c r="BO108"/>
  <c r="BN108"/>
  <c r="BM108"/>
  <c r="BL108" s="1"/>
  <c r="BK108"/>
  <c r="BJ108"/>
  <c r="BI108"/>
  <c r="BH108"/>
  <c r="BG108"/>
  <c r="BF108"/>
  <c r="BE108"/>
  <c r="BD108"/>
  <c r="BC108"/>
  <c r="BB108"/>
  <c r="BA108" s="1"/>
  <c r="AZ108" s="1"/>
  <c r="AX108"/>
  <c r="AW108"/>
  <c r="AV108"/>
  <c r="AC108"/>
  <c r="H108"/>
  <c r="G108" s="1"/>
  <c r="BT107"/>
  <c r="BS107"/>
  <c r="BR107"/>
  <c r="BQ107"/>
  <c r="BP107"/>
  <c r="BO107"/>
  <c r="BN107"/>
  <c r="BM107"/>
  <c r="BL107"/>
  <c r="BK107"/>
  <c r="BJ107"/>
  <c r="BI107"/>
  <c r="BH107"/>
  <c r="BG107"/>
  <c r="BF107"/>
  <c r="BE107"/>
  <c r="BD107"/>
  <c r="BC107"/>
  <c r="BB107"/>
  <c r="BA107" s="1"/>
  <c r="AZ107" s="1"/>
  <c r="AX107"/>
  <c r="AW107"/>
  <c r="AV107"/>
  <c r="AC107"/>
  <c r="H107"/>
  <c r="G107" s="1"/>
  <c r="BT106"/>
  <c r="BS106"/>
  <c r="BR106"/>
  <c r="BQ106"/>
  <c r="BP106"/>
  <c r="BO106"/>
  <c r="BN106"/>
  <c r="BM106"/>
  <c r="BL106"/>
  <c r="BK106"/>
  <c r="BJ106"/>
  <c r="BI106"/>
  <c r="BH106"/>
  <c r="BG106"/>
  <c r="BF106"/>
  <c r="BE106"/>
  <c r="BD106"/>
  <c r="BC106"/>
  <c r="BB106"/>
  <c r="BA106" s="1"/>
  <c r="AZ106" s="1"/>
  <c r="AX106"/>
  <c r="AW106"/>
  <c r="AV106"/>
  <c r="AC106"/>
  <c r="H106"/>
  <c r="G106" s="1"/>
  <c r="BT105"/>
  <c r="BS105"/>
  <c r="BR105"/>
  <c r="BQ105"/>
  <c r="BP105"/>
  <c r="BO105"/>
  <c r="BN105"/>
  <c r="BM105"/>
  <c r="BL105" s="1"/>
  <c r="BK105"/>
  <c r="BJ105"/>
  <c r="BI105"/>
  <c r="BH105"/>
  <c r="BG105"/>
  <c r="BF105"/>
  <c r="BE105"/>
  <c r="BD105"/>
  <c r="BC105"/>
  <c r="BB105"/>
  <c r="BA105" s="1"/>
  <c r="AZ105" s="1"/>
  <c r="AX105"/>
  <c r="AW105"/>
  <c r="AV105"/>
  <c r="AC105"/>
  <c r="H105"/>
  <c r="G105" s="1"/>
  <c r="BT104"/>
  <c r="BS104"/>
  <c r="BR104"/>
  <c r="BQ104"/>
  <c r="BP104"/>
  <c r="BO104"/>
  <c r="BN104"/>
  <c r="BM104"/>
  <c r="BL104" s="1"/>
  <c r="BK104"/>
  <c r="BJ104"/>
  <c r="BI104"/>
  <c r="BH104"/>
  <c r="BG104"/>
  <c r="BF104"/>
  <c r="BE104"/>
  <c r="BD104"/>
  <c r="BC104"/>
  <c r="BB104"/>
  <c r="BA104" s="1"/>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s="1"/>
  <c r="BT102"/>
  <c r="BS102"/>
  <c r="BR102"/>
  <c r="BQ102"/>
  <c r="BP102"/>
  <c r="BO102"/>
  <c r="BN102"/>
  <c r="BM102"/>
  <c r="BL102"/>
  <c r="BK102"/>
  <c r="BJ102"/>
  <c r="BI102"/>
  <c r="BH102"/>
  <c r="BG102"/>
  <c r="BF102"/>
  <c r="BE102"/>
  <c r="BD102"/>
  <c r="BC102"/>
  <c r="BB102"/>
  <c r="BA102" s="1"/>
  <c r="AX102"/>
  <c r="AW102"/>
  <c r="AV102"/>
  <c r="AC102"/>
  <c r="H102"/>
  <c r="G102" s="1"/>
  <c r="BT101"/>
  <c r="BS101"/>
  <c r="BR101"/>
  <c r="BQ101"/>
  <c r="BP101"/>
  <c r="BO101"/>
  <c r="BN101"/>
  <c r="BM101"/>
  <c r="BL101"/>
  <c r="BK101"/>
  <c r="BJ101"/>
  <c r="BI101"/>
  <c r="BH101"/>
  <c r="BG101"/>
  <c r="BF101"/>
  <c r="BE101"/>
  <c r="BD101"/>
  <c r="BC101"/>
  <c r="BB101"/>
  <c r="BA101" s="1"/>
  <c r="AX101"/>
  <c r="AW101"/>
  <c r="AV101"/>
  <c r="AC101"/>
  <c r="H101"/>
  <c r="G101"/>
  <c r="BT100"/>
  <c r="BS100"/>
  <c r="BR100"/>
  <c r="BQ100"/>
  <c r="BP100"/>
  <c r="BO100"/>
  <c r="BN100"/>
  <c r="BM100"/>
  <c r="BL100"/>
  <c r="BK100"/>
  <c r="BJ100"/>
  <c r="BI100"/>
  <c r="BH100"/>
  <c r="BG100"/>
  <c r="BF100"/>
  <c r="BE100"/>
  <c r="BD100"/>
  <c r="BC100"/>
  <c r="BB100"/>
  <c r="BA100" s="1"/>
  <c r="AZ100" s="1"/>
  <c r="AX100"/>
  <c r="AW100"/>
  <c r="AV100"/>
  <c r="AC100"/>
  <c r="H100"/>
  <c r="G100" s="1"/>
  <c r="BT99"/>
  <c r="BS99"/>
  <c r="BR99"/>
  <c r="BQ99"/>
  <c r="BP99"/>
  <c r="BO99"/>
  <c r="BN99"/>
  <c r="BM99"/>
  <c r="BL99"/>
  <c r="BK99"/>
  <c r="BJ99"/>
  <c r="BI99"/>
  <c r="BH99"/>
  <c r="BG99"/>
  <c r="BF99"/>
  <c r="BE99"/>
  <c r="BD99"/>
  <c r="BC99"/>
  <c r="BB99"/>
  <c r="BA99" s="1"/>
  <c r="AZ99" s="1"/>
  <c r="AX99"/>
  <c r="AW99"/>
  <c r="AV99"/>
  <c r="AC99"/>
  <c r="H99"/>
  <c r="G99" s="1"/>
  <c r="BT98"/>
  <c r="BS98"/>
  <c r="BR98"/>
  <c r="BQ98"/>
  <c r="BP98"/>
  <c r="BO98"/>
  <c r="BN98"/>
  <c r="BM98"/>
  <c r="BL98"/>
  <c r="BK98"/>
  <c r="BJ98"/>
  <c r="BI98"/>
  <c r="BH98"/>
  <c r="BG98"/>
  <c r="BF98"/>
  <c r="BE98"/>
  <c r="BD98"/>
  <c r="BC98"/>
  <c r="BB98"/>
  <c r="BA98" s="1"/>
  <c r="AZ98" s="1"/>
  <c r="AX98"/>
  <c r="AW98"/>
  <c r="AV98"/>
  <c r="AC98"/>
  <c r="H98"/>
  <c r="G98" s="1"/>
  <c r="BT97"/>
  <c r="BS97"/>
  <c r="BR97"/>
  <c r="BQ97"/>
  <c r="BP97"/>
  <c r="BO97"/>
  <c r="BN97"/>
  <c r="BM97"/>
  <c r="BL97"/>
  <c r="BK97"/>
  <c r="BJ97"/>
  <c r="BI97"/>
  <c r="BH97"/>
  <c r="BG97"/>
  <c r="BF97"/>
  <c r="BE97"/>
  <c r="BD97"/>
  <c r="BC97"/>
  <c r="BB97"/>
  <c r="BA97" s="1"/>
  <c r="AX97"/>
  <c r="AW97"/>
  <c r="AV97"/>
  <c r="AC97"/>
  <c r="H97"/>
  <c r="G97" s="1"/>
  <c r="BT96"/>
  <c r="BS96"/>
  <c r="BR96"/>
  <c r="BQ96"/>
  <c r="BP96"/>
  <c r="BO96"/>
  <c r="BN96"/>
  <c r="BM96"/>
  <c r="BL96"/>
  <c r="BK96"/>
  <c r="BJ96"/>
  <c r="BI96"/>
  <c r="BH96"/>
  <c r="BG96"/>
  <c r="BF96"/>
  <c r="BE96"/>
  <c r="BD96"/>
  <c r="BC96"/>
  <c r="BB96"/>
  <c r="BA96" s="1"/>
  <c r="AZ96" s="1"/>
  <c r="AX96"/>
  <c r="AW96"/>
  <c r="AV96"/>
  <c r="AC96"/>
  <c r="H96"/>
  <c r="G96" s="1"/>
  <c r="BT95"/>
  <c r="BS95"/>
  <c r="BR95"/>
  <c r="BQ95"/>
  <c r="BP95"/>
  <c r="BO95"/>
  <c r="BN95"/>
  <c r="BM95"/>
  <c r="BL95" s="1"/>
  <c r="BK95"/>
  <c r="BJ95"/>
  <c r="BI95"/>
  <c r="BH95"/>
  <c r="BG95"/>
  <c r="BF95"/>
  <c r="BE95"/>
  <c r="BD95"/>
  <c r="BC95"/>
  <c r="BB95"/>
  <c r="BA95" s="1"/>
  <c r="AZ95" s="1"/>
  <c r="AX95"/>
  <c r="AW95"/>
  <c r="AV95"/>
  <c r="AC95"/>
  <c r="H95"/>
  <c r="G95" s="1"/>
  <c r="BT94"/>
  <c r="BS94"/>
  <c r="BR94"/>
  <c r="BQ94"/>
  <c r="BP94"/>
  <c r="BO94"/>
  <c r="BN94"/>
  <c r="BM94"/>
  <c r="BL94" s="1"/>
  <c r="BK94"/>
  <c r="BJ94"/>
  <c r="BI94"/>
  <c r="BH94"/>
  <c r="BG94"/>
  <c r="BF94"/>
  <c r="BE94"/>
  <c r="BD94"/>
  <c r="BC94"/>
  <c r="BB94"/>
  <c r="BA94" s="1"/>
  <c r="AZ94" s="1"/>
  <c r="AX94"/>
  <c r="AW94"/>
  <c r="AV94"/>
  <c r="AC94"/>
  <c r="H94"/>
  <c r="G94" s="1"/>
  <c r="BT93"/>
  <c r="BS93"/>
  <c r="BR93"/>
  <c r="BQ93"/>
  <c r="BP93"/>
  <c r="BO93"/>
  <c r="BN93"/>
  <c r="BM93"/>
  <c r="BL93"/>
  <c r="BK93"/>
  <c r="BJ93"/>
  <c r="BI93"/>
  <c r="BH93"/>
  <c r="BG93"/>
  <c r="BF93"/>
  <c r="BE93"/>
  <c r="BD93"/>
  <c r="BC93"/>
  <c r="BB93"/>
  <c r="BA93" s="1"/>
  <c r="AZ93" s="1"/>
  <c r="AX93"/>
  <c r="AW93"/>
  <c r="AV93"/>
  <c r="AC93"/>
  <c r="H93"/>
  <c r="G93" s="1"/>
  <c r="BT92"/>
  <c r="BS92"/>
  <c r="BR92"/>
  <c r="BQ92"/>
  <c r="BP92"/>
  <c r="BO92"/>
  <c r="BN92"/>
  <c r="BM92"/>
  <c r="BL92"/>
  <c r="BK92"/>
  <c r="BJ92"/>
  <c r="BI92"/>
  <c r="BH92"/>
  <c r="BG92"/>
  <c r="BF92"/>
  <c r="BE92"/>
  <c r="BD92"/>
  <c r="BC92"/>
  <c r="BB92"/>
  <c r="BA92" s="1"/>
  <c r="AZ92" s="1"/>
  <c r="AX92"/>
  <c r="AW92"/>
  <c r="AV92"/>
  <c r="AC92"/>
  <c r="H92"/>
  <c r="G92" s="1"/>
  <c r="BT91"/>
  <c r="BS91"/>
  <c r="BR91"/>
  <c r="BQ91"/>
  <c r="BP91"/>
  <c r="BO91"/>
  <c r="BN91"/>
  <c r="BM91"/>
  <c r="BL91"/>
  <c r="BK91"/>
  <c r="BJ91"/>
  <c r="BI91"/>
  <c r="BH91"/>
  <c r="BG91"/>
  <c r="BF91"/>
  <c r="BE91"/>
  <c r="BD91"/>
  <c r="BC91"/>
  <c r="BB91"/>
  <c r="BA91" s="1"/>
  <c r="AZ91" s="1"/>
  <c r="AX91"/>
  <c r="AW91"/>
  <c r="AV91"/>
  <c r="AC91"/>
  <c r="H91"/>
  <c r="G91" s="1"/>
  <c r="BT90"/>
  <c r="BS90"/>
  <c r="BR90"/>
  <c r="BQ90"/>
  <c r="BP90"/>
  <c r="BO90"/>
  <c r="BN90"/>
  <c r="BM90"/>
  <c r="BL90"/>
  <c r="BK90"/>
  <c r="BJ90"/>
  <c r="BI90"/>
  <c r="BH90"/>
  <c r="BG90"/>
  <c r="BF90"/>
  <c r="BE90"/>
  <c r="BD90"/>
  <c r="BC90"/>
  <c r="BB90"/>
  <c r="BA90" s="1"/>
  <c r="AZ90" s="1"/>
  <c r="AX90"/>
  <c r="AW90"/>
  <c r="AV90"/>
  <c r="AC90"/>
  <c r="H90"/>
  <c r="G90" s="1"/>
  <c r="BT89"/>
  <c r="BS89"/>
  <c r="BR89"/>
  <c r="BQ89"/>
  <c r="BP89"/>
  <c r="BO89"/>
  <c r="BN89"/>
  <c r="BM89"/>
  <c r="BL89"/>
  <c r="BK89"/>
  <c r="BJ89"/>
  <c r="BI89"/>
  <c r="BH89"/>
  <c r="BG89"/>
  <c r="BF89"/>
  <c r="BE89"/>
  <c r="BD89"/>
  <c r="BC89"/>
  <c r="BB89"/>
  <c r="BA89" s="1"/>
  <c r="AZ89" s="1"/>
  <c r="AX89"/>
  <c r="AW89"/>
  <c r="AV89"/>
  <c r="AC89"/>
  <c r="H89"/>
  <c r="G89" s="1"/>
  <c r="BT88"/>
  <c r="BS88"/>
  <c r="BR88"/>
  <c r="BQ88"/>
  <c r="BP88"/>
  <c r="BO88"/>
  <c r="BN88"/>
  <c r="BM88"/>
  <c r="BL88" s="1"/>
  <c r="BK88"/>
  <c r="BJ88"/>
  <c r="BI88"/>
  <c r="BH88"/>
  <c r="BG88"/>
  <c r="BF88"/>
  <c r="BE88"/>
  <c r="BD88"/>
  <c r="BC88"/>
  <c r="BB88"/>
  <c r="BA88" s="1"/>
  <c r="AX88"/>
  <c r="AW88"/>
  <c r="AV88"/>
  <c r="AC88"/>
  <c r="H88"/>
  <c r="G88" s="1"/>
  <c r="BT87"/>
  <c r="BS87"/>
  <c r="BR87"/>
  <c r="BQ87"/>
  <c r="BP87"/>
  <c r="BO87"/>
  <c r="BN87"/>
  <c r="BM87"/>
  <c r="BL87"/>
  <c r="BK87"/>
  <c r="BJ87"/>
  <c r="BI87"/>
  <c r="BH87"/>
  <c r="BG87"/>
  <c r="BF87"/>
  <c r="BE87"/>
  <c r="BD87"/>
  <c r="BC87"/>
  <c r="BB87"/>
  <c r="BA87" s="1"/>
  <c r="AZ87" s="1"/>
  <c r="AX87"/>
  <c r="AW87"/>
  <c r="AV87"/>
  <c r="AC87"/>
  <c r="H87"/>
  <c r="G87" s="1"/>
  <c r="BT86"/>
  <c r="BS86"/>
  <c r="BR86"/>
  <c r="BQ86"/>
  <c r="BP86"/>
  <c r="BO86"/>
  <c r="BN86"/>
  <c r="BM86"/>
  <c r="BL86" s="1"/>
  <c r="BK86"/>
  <c r="BJ86"/>
  <c r="BI86"/>
  <c r="BH86"/>
  <c r="BG86"/>
  <c r="BF86"/>
  <c r="BE86"/>
  <c r="BD86"/>
  <c r="BC86"/>
  <c r="BB86"/>
  <c r="BA86" s="1"/>
  <c r="AX86"/>
  <c r="AW86"/>
  <c r="AV86"/>
  <c r="AC86"/>
  <c r="H86"/>
  <c r="G86" s="1"/>
  <c r="BT85"/>
  <c r="BS85"/>
  <c r="BR85"/>
  <c r="BQ85"/>
  <c r="BP85"/>
  <c r="BO85"/>
  <c r="BN85"/>
  <c r="BM85"/>
  <c r="BL85"/>
  <c r="BK85"/>
  <c r="BJ85"/>
  <c r="BI85"/>
  <c r="BH85"/>
  <c r="BG85"/>
  <c r="BF85"/>
  <c r="BE85"/>
  <c r="BD85"/>
  <c r="BC85"/>
  <c r="BB85"/>
  <c r="BA85" s="1"/>
  <c r="AZ85" s="1"/>
  <c r="AX85"/>
  <c r="AW85"/>
  <c r="AV85"/>
  <c r="AC85"/>
  <c r="H85"/>
  <c r="G85" s="1"/>
  <c r="BT84"/>
  <c r="BS84"/>
  <c r="BR84"/>
  <c r="BQ84"/>
  <c r="BP84"/>
  <c r="BO84"/>
  <c r="BN84"/>
  <c r="BM84"/>
  <c r="BL84"/>
  <c r="BK84"/>
  <c r="BJ84"/>
  <c r="BI84"/>
  <c r="BH84"/>
  <c r="BG84"/>
  <c r="BF84"/>
  <c r="BE84"/>
  <c r="BD84"/>
  <c r="BC84"/>
  <c r="BB84"/>
  <c r="BA84" s="1"/>
  <c r="AZ84" s="1"/>
  <c r="AX84"/>
  <c r="AW84"/>
  <c r="AV84"/>
  <c r="AC84"/>
  <c r="H84"/>
  <c r="G84" s="1"/>
  <c r="BT83"/>
  <c r="BS83"/>
  <c r="BR83"/>
  <c r="BQ83"/>
  <c r="BP83"/>
  <c r="BO83"/>
  <c r="BN83"/>
  <c r="BM83"/>
  <c r="BL83"/>
  <c r="BK83"/>
  <c r="BJ83"/>
  <c r="BI83"/>
  <c r="BH83"/>
  <c r="BG83"/>
  <c r="BF83"/>
  <c r="BE83"/>
  <c r="BD83"/>
  <c r="BC83"/>
  <c r="BB83"/>
  <c r="BA83" s="1"/>
  <c r="AX83"/>
  <c r="AW83"/>
  <c r="AV83"/>
  <c r="AC83"/>
  <c r="H83"/>
  <c r="G83" s="1"/>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s="1"/>
  <c r="AX81"/>
  <c r="AW81"/>
  <c r="AV81"/>
  <c r="AC81"/>
  <c r="H81"/>
  <c r="G81" s="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c r="BK79"/>
  <c r="BJ79"/>
  <c r="BI79"/>
  <c r="BH79"/>
  <c r="BG79"/>
  <c r="BF79"/>
  <c r="BE79"/>
  <c r="BD79"/>
  <c r="BC79"/>
  <c r="BB79"/>
  <c r="BA79" s="1"/>
  <c r="AX79"/>
  <c r="AW79"/>
  <c r="AV79"/>
  <c r="AC79"/>
  <c r="H79"/>
  <c r="G79" s="1"/>
  <c r="BT78"/>
  <c r="BS78"/>
  <c r="BR78"/>
  <c r="BQ78"/>
  <c r="BP78"/>
  <c r="BO78"/>
  <c r="BN78"/>
  <c r="BM78"/>
  <c r="BL78"/>
  <c r="BK78"/>
  <c r="BJ78"/>
  <c r="BI78"/>
  <c r="BH78"/>
  <c r="BG78"/>
  <c r="BF78"/>
  <c r="BE78"/>
  <c r="BD78"/>
  <c r="BC78"/>
  <c r="BB78"/>
  <c r="BA78" s="1"/>
  <c r="AZ78" s="1"/>
  <c r="AX78"/>
  <c r="AW78"/>
  <c r="AV78"/>
  <c r="AC78"/>
  <c r="H78"/>
  <c r="G78" s="1"/>
  <c r="BT77"/>
  <c r="BS77"/>
  <c r="BR77"/>
  <c r="BQ77"/>
  <c r="BP77"/>
  <c r="BO77"/>
  <c r="BN77"/>
  <c r="BM77"/>
  <c r="BL77" s="1"/>
  <c r="BK77"/>
  <c r="BJ77"/>
  <c r="BI77"/>
  <c r="BH77"/>
  <c r="BG77"/>
  <c r="BF77"/>
  <c r="BE77"/>
  <c r="BD77"/>
  <c r="BC77"/>
  <c r="BB77"/>
  <c r="BA77" s="1"/>
  <c r="AZ77" s="1"/>
  <c r="AX77"/>
  <c r="AW77"/>
  <c r="AV77"/>
  <c r="AC77"/>
  <c r="H77"/>
  <c r="G77" s="1"/>
  <c r="BT76"/>
  <c r="BS76"/>
  <c r="BR76"/>
  <c r="BQ76"/>
  <c r="BP76"/>
  <c r="BO76"/>
  <c r="BN76"/>
  <c r="BM76"/>
  <c r="BL76" s="1"/>
  <c r="BK76"/>
  <c r="BJ76"/>
  <c r="BI76"/>
  <c r="BH76"/>
  <c r="BG76"/>
  <c r="BF76"/>
  <c r="BE76"/>
  <c r="BD76"/>
  <c r="BC76"/>
  <c r="BB76"/>
  <c r="BA76" s="1"/>
  <c r="AZ76" s="1"/>
  <c r="AX76"/>
  <c r="AW76"/>
  <c r="AV76"/>
  <c r="AC76"/>
  <c r="H76"/>
  <c r="G76" s="1"/>
  <c r="BT75"/>
  <c r="BS75"/>
  <c r="BR75"/>
  <c r="BQ75"/>
  <c r="BP75"/>
  <c r="BO75"/>
  <c r="BN75"/>
  <c r="BM75"/>
  <c r="BL75"/>
  <c r="BK75"/>
  <c r="BJ75"/>
  <c r="BI75"/>
  <c r="BH75"/>
  <c r="BG75"/>
  <c r="BF75"/>
  <c r="BE75"/>
  <c r="BD75"/>
  <c r="BC75"/>
  <c r="BB75"/>
  <c r="BA75" s="1"/>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s="1"/>
  <c r="BT72"/>
  <c r="BS72"/>
  <c r="BR72"/>
  <c r="BQ72"/>
  <c r="BP72"/>
  <c r="BO72"/>
  <c r="BN72"/>
  <c r="BM72"/>
  <c r="BL72" s="1"/>
  <c r="BK72"/>
  <c r="BJ72"/>
  <c r="BI72"/>
  <c r="BH72"/>
  <c r="BG72"/>
  <c r="BF72"/>
  <c r="BE72"/>
  <c r="BD72"/>
  <c r="BC72"/>
  <c r="BB72"/>
  <c r="BA72" s="1"/>
  <c r="AZ72" s="1"/>
  <c r="AX72"/>
  <c r="AW72"/>
  <c r="AV72"/>
  <c r="AC72"/>
  <c r="H72"/>
  <c r="G72" s="1"/>
  <c r="BT71"/>
  <c r="BS71"/>
  <c r="BR71"/>
  <c r="BQ71"/>
  <c r="BP71"/>
  <c r="BO71"/>
  <c r="BN71"/>
  <c r="BM71"/>
  <c r="BL71" s="1"/>
  <c r="BK71"/>
  <c r="BJ71"/>
  <c r="BI71"/>
  <c r="BH71"/>
  <c r="BG71"/>
  <c r="BF71"/>
  <c r="BE71"/>
  <c r="BD71"/>
  <c r="BC71"/>
  <c r="BB71"/>
  <c r="BA71" s="1"/>
  <c r="AZ71" s="1"/>
  <c r="AX71"/>
  <c r="AW71"/>
  <c r="AV71"/>
  <c r="AC71"/>
  <c r="H71"/>
  <c r="G71" s="1"/>
  <c r="BT70"/>
  <c r="BS70"/>
  <c r="BR70"/>
  <c r="BQ70"/>
  <c r="BP70"/>
  <c r="BO70"/>
  <c r="BN70"/>
  <c r="BM70"/>
  <c r="BL70" s="1"/>
  <c r="BK70"/>
  <c r="BJ70"/>
  <c r="BI70"/>
  <c r="BH70"/>
  <c r="BG70"/>
  <c r="BF70"/>
  <c r="BE70"/>
  <c r="BD70"/>
  <c r="BC70"/>
  <c r="BB70"/>
  <c r="BA70" s="1"/>
  <c r="AZ70" s="1"/>
  <c r="AX70"/>
  <c r="AW70"/>
  <c r="AV70"/>
  <c r="AC70"/>
  <c r="H70"/>
  <c r="G70" s="1"/>
  <c r="BT69"/>
  <c r="BS69"/>
  <c r="BR69"/>
  <c r="BQ69"/>
  <c r="BP69"/>
  <c r="BO69"/>
  <c r="BN69"/>
  <c r="BM69"/>
  <c r="BL69"/>
  <c r="BK69"/>
  <c r="BJ69"/>
  <c r="BI69"/>
  <c r="BH69"/>
  <c r="BG69"/>
  <c r="BF69"/>
  <c r="BE69"/>
  <c r="BD69"/>
  <c r="BC69"/>
  <c r="BB69"/>
  <c r="BA69" s="1"/>
  <c r="AX69"/>
  <c r="AW69"/>
  <c r="AV69"/>
  <c r="AC69"/>
  <c r="H69"/>
  <c r="G69" s="1"/>
  <c r="BT68"/>
  <c r="BS68"/>
  <c r="BR68"/>
  <c r="BQ68"/>
  <c r="BP68"/>
  <c r="BO68"/>
  <c r="BN68"/>
  <c r="BM68"/>
  <c r="BL68"/>
  <c r="BK68"/>
  <c r="BJ68"/>
  <c r="BI68"/>
  <c r="BH68"/>
  <c r="BG68"/>
  <c r="BF68"/>
  <c r="BE68"/>
  <c r="BD68"/>
  <c r="BC68"/>
  <c r="BB68"/>
  <c r="BA68" s="1"/>
  <c r="AZ68" s="1"/>
  <c r="AX68"/>
  <c r="AW68"/>
  <c r="AV68"/>
  <c r="AC68"/>
  <c r="H68"/>
  <c r="G68" s="1"/>
  <c r="BT67"/>
  <c r="BS67"/>
  <c r="BR67"/>
  <c r="BQ67"/>
  <c r="BP67"/>
  <c r="BO67"/>
  <c r="BN67"/>
  <c r="BM67"/>
  <c r="BL67" s="1"/>
  <c r="BK67"/>
  <c r="BJ67"/>
  <c r="BI67"/>
  <c r="BH67"/>
  <c r="BG67"/>
  <c r="BF67"/>
  <c r="BE67"/>
  <c r="BD67"/>
  <c r="BC67"/>
  <c r="BB67"/>
  <c r="BA67" s="1"/>
  <c r="AZ67" s="1"/>
  <c r="AX67"/>
  <c r="AW67"/>
  <c r="AV67"/>
  <c r="AC67"/>
  <c r="H67"/>
  <c r="G67" s="1"/>
  <c r="BT66"/>
  <c r="BS66"/>
  <c r="BR66"/>
  <c r="BQ66"/>
  <c r="BP66"/>
  <c r="BO66"/>
  <c r="BN66"/>
  <c r="BM66"/>
  <c r="BL66" s="1"/>
  <c r="BK66"/>
  <c r="BJ66"/>
  <c r="BI66"/>
  <c r="BH66"/>
  <c r="BG66"/>
  <c r="BF66"/>
  <c r="BE66"/>
  <c r="BD66"/>
  <c r="BC66"/>
  <c r="BB66"/>
  <c r="BA66" s="1"/>
  <c r="AZ66" s="1"/>
  <c r="AX66"/>
  <c r="AW66"/>
  <c r="AV66"/>
  <c r="AC66"/>
  <c r="H66"/>
  <c r="G66" s="1"/>
  <c r="BT65"/>
  <c r="BS65"/>
  <c r="BR65"/>
  <c r="BQ65"/>
  <c r="BP65"/>
  <c r="BO65"/>
  <c r="BN65"/>
  <c r="BM65"/>
  <c r="BL65" s="1"/>
  <c r="BK65"/>
  <c r="BJ65"/>
  <c r="BI65"/>
  <c r="BH65"/>
  <c r="BG65"/>
  <c r="BF65"/>
  <c r="BE65"/>
  <c r="BD65"/>
  <c r="BC65"/>
  <c r="BB65"/>
  <c r="BA65" s="1"/>
  <c r="AX65"/>
  <c r="AW65"/>
  <c r="AV65"/>
  <c r="AC65"/>
  <c r="H65"/>
  <c r="G65" s="1"/>
  <c r="BT64"/>
  <c r="BS64"/>
  <c r="BR64"/>
  <c r="BQ64"/>
  <c r="BP64"/>
  <c r="BO64"/>
  <c r="BN64"/>
  <c r="BM64"/>
  <c r="BL64"/>
  <c r="BK64"/>
  <c r="BJ64"/>
  <c r="BI64"/>
  <c r="BH64"/>
  <c r="BG64"/>
  <c r="BF64"/>
  <c r="BE64"/>
  <c r="BD64"/>
  <c r="BC64"/>
  <c r="BB64"/>
  <c r="BA64" s="1"/>
  <c r="AZ64" s="1"/>
  <c r="AX64"/>
  <c r="AW64"/>
  <c r="AV64"/>
  <c r="AC64"/>
  <c r="H64"/>
  <c r="G64" s="1"/>
  <c r="BT63"/>
  <c r="BS63"/>
  <c r="BR63"/>
  <c r="BQ63"/>
  <c r="BP63"/>
  <c r="BO63"/>
  <c r="BN63"/>
  <c r="BM63"/>
  <c r="BL63"/>
  <c r="BK63"/>
  <c r="BJ63"/>
  <c r="BI63"/>
  <c r="BH63"/>
  <c r="BG63"/>
  <c r="BF63"/>
  <c r="BE63"/>
  <c r="BD63"/>
  <c r="BC63"/>
  <c r="BB63"/>
  <c r="BA63" s="1"/>
  <c r="AX63"/>
  <c r="AW63"/>
  <c r="AV63"/>
  <c r="AC63"/>
  <c r="H63"/>
  <c r="G63" s="1"/>
  <c r="BT62"/>
  <c r="BS62"/>
  <c r="BR62"/>
  <c r="BQ62"/>
  <c r="BP62"/>
  <c r="BO62"/>
  <c r="BN62"/>
  <c r="BM62"/>
  <c r="BL62"/>
  <c r="BK62"/>
  <c r="BJ62"/>
  <c r="BI62"/>
  <c r="BH62"/>
  <c r="BG62"/>
  <c r="BF62"/>
  <c r="BE62"/>
  <c r="BD62"/>
  <c r="BC62"/>
  <c r="BB62"/>
  <c r="BA62" s="1"/>
  <c r="AZ62" s="1"/>
  <c r="AX62"/>
  <c r="AW62"/>
  <c r="AV62"/>
  <c r="AC62"/>
  <c r="H62"/>
  <c r="G62" s="1"/>
  <c r="BT61"/>
  <c r="BS61"/>
  <c r="BR61"/>
  <c r="BQ61"/>
  <c r="BP61"/>
  <c r="BO61"/>
  <c r="BN61"/>
  <c r="BM61"/>
  <c r="BL61" s="1"/>
  <c r="BK61"/>
  <c r="BJ61"/>
  <c r="BI61"/>
  <c r="BH61"/>
  <c r="BG61"/>
  <c r="BF61"/>
  <c r="BE61"/>
  <c r="BD61"/>
  <c r="BC61"/>
  <c r="BB61"/>
  <c r="BA61" s="1"/>
  <c r="AZ61" s="1"/>
  <c r="AX61"/>
  <c r="AW61"/>
  <c r="AV61"/>
  <c r="AC61"/>
  <c r="H61"/>
  <c r="G61" s="1"/>
  <c r="BT60"/>
  <c r="BS60"/>
  <c r="BR60"/>
  <c r="BQ60"/>
  <c r="BP60"/>
  <c r="BO60"/>
  <c r="BN60"/>
  <c r="BM60"/>
  <c r="BL60" s="1"/>
  <c r="BK60"/>
  <c r="BJ60"/>
  <c r="BI60"/>
  <c r="BH60"/>
  <c r="BG60"/>
  <c r="BF60"/>
  <c r="BE60"/>
  <c r="BD60"/>
  <c r="BC60"/>
  <c r="BB60"/>
  <c r="BA60" s="1"/>
  <c r="AZ60" s="1"/>
  <c r="AX60"/>
  <c r="AW60"/>
  <c r="AV60"/>
  <c r="AC60"/>
  <c r="H60"/>
  <c r="G60" s="1"/>
  <c r="BT59"/>
  <c r="BS59"/>
  <c r="BR59"/>
  <c r="BQ59"/>
  <c r="BP59"/>
  <c r="BO59"/>
  <c r="BN59"/>
  <c r="BM59"/>
  <c r="BL59" s="1"/>
  <c r="BK59"/>
  <c r="BJ59"/>
  <c r="BI59"/>
  <c r="BH59"/>
  <c r="BG59"/>
  <c r="BF59"/>
  <c r="BE59"/>
  <c r="BD59"/>
  <c r="BC59"/>
  <c r="BB59"/>
  <c r="BA59" s="1"/>
  <c r="AZ59" s="1"/>
  <c r="AX59"/>
  <c r="AW59"/>
  <c r="AV59"/>
  <c r="AC59"/>
  <c r="H59"/>
  <c r="G59" s="1"/>
  <c r="BT58"/>
  <c r="BS58"/>
  <c r="BR58"/>
  <c r="BQ58"/>
  <c r="BP58"/>
  <c r="BO58"/>
  <c r="BN58"/>
  <c r="BM58"/>
  <c r="BL58" s="1"/>
  <c r="BK58"/>
  <c r="BJ58"/>
  <c r="BI58"/>
  <c r="BH58"/>
  <c r="BG58"/>
  <c r="BF58"/>
  <c r="BE58"/>
  <c r="BD58"/>
  <c r="BC58"/>
  <c r="BB58"/>
  <c r="BA58" s="1"/>
  <c r="AZ58" s="1"/>
  <c r="AX58"/>
  <c r="AW58"/>
  <c r="AV58"/>
  <c r="AC58"/>
  <c r="H58"/>
  <c r="G58" s="1"/>
  <c r="BT57"/>
  <c r="BS57"/>
  <c r="BR57"/>
  <c r="BQ57"/>
  <c r="BP57"/>
  <c r="BO57"/>
  <c r="BN57"/>
  <c r="BM57"/>
  <c r="BL57"/>
  <c r="BK57"/>
  <c r="BJ57"/>
  <c r="BI57"/>
  <c r="BH57"/>
  <c r="BG57"/>
  <c r="BF57"/>
  <c r="BE57"/>
  <c r="BD57"/>
  <c r="BC57"/>
  <c r="BB57"/>
  <c r="BA57" s="1"/>
  <c r="AZ57" s="1"/>
  <c r="AX57"/>
  <c r="AW57"/>
  <c r="AV57"/>
  <c r="AC57"/>
  <c r="H57"/>
  <c r="G57" s="1"/>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s="1"/>
  <c r="BT53"/>
  <c r="BS53"/>
  <c r="BR53"/>
  <c r="BQ53"/>
  <c r="BP53"/>
  <c r="BO53"/>
  <c r="BN53"/>
  <c r="BM53"/>
  <c r="BL53"/>
  <c r="BK53"/>
  <c r="BJ53"/>
  <c r="BI53"/>
  <c r="BH53"/>
  <c r="BG53"/>
  <c r="BF53"/>
  <c r="BE53"/>
  <c r="BD53"/>
  <c r="BC53"/>
  <c r="BB53"/>
  <c r="BA53" s="1"/>
  <c r="AZ53" s="1"/>
  <c r="AX53"/>
  <c r="AW53"/>
  <c r="AV53"/>
  <c r="AC53"/>
  <c r="H53"/>
  <c r="G53" s="1"/>
  <c r="BT52"/>
  <c r="BS52"/>
  <c r="BR52"/>
  <c r="BQ52"/>
  <c r="BP52"/>
  <c r="BO52"/>
  <c r="BN52"/>
  <c r="BM52"/>
  <c r="BL52" s="1"/>
  <c r="BK52"/>
  <c r="BJ52"/>
  <c r="BI52"/>
  <c r="BH52"/>
  <c r="BG52"/>
  <c r="BF52"/>
  <c r="BE52"/>
  <c r="BD52"/>
  <c r="BC52"/>
  <c r="BB52"/>
  <c r="BA52" s="1"/>
  <c r="AX52"/>
  <c r="AW52"/>
  <c r="AV52"/>
  <c r="AC52"/>
  <c r="H52"/>
  <c r="G52" s="1"/>
  <c r="BT51"/>
  <c r="BS51"/>
  <c r="BR51"/>
  <c r="BQ51"/>
  <c r="BP51"/>
  <c r="BO51"/>
  <c r="BN51"/>
  <c r="BM51"/>
  <c r="BL51"/>
  <c r="BK51"/>
  <c r="BJ51"/>
  <c r="BI51"/>
  <c r="BH51"/>
  <c r="BG51"/>
  <c r="BF51"/>
  <c r="BE51"/>
  <c r="BD51"/>
  <c r="BC51"/>
  <c r="BB51"/>
  <c r="BA51" s="1"/>
  <c r="AX51"/>
  <c r="AW51"/>
  <c r="AV51"/>
  <c r="AC51"/>
  <c r="H51"/>
  <c r="G51" s="1"/>
  <c r="BT50"/>
  <c r="BS50"/>
  <c r="BR50"/>
  <c r="BQ50"/>
  <c r="BP50"/>
  <c r="BO50"/>
  <c r="BN50"/>
  <c r="BM50"/>
  <c r="BL50"/>
  <c r="BK50"/>
  <c r="BJ50"/>
  <c r="BI50"/>
  <c r="BH50"/>
  <c r="BG50"/>
  <c r="BF50"/>
  <c r="BE50"/>
  <c r="BD50"/>
  <c r="BC50"/>
  <c r="BB50"/>
  <c r="BA50" s="1"/>
  <c r="AX50"/>
  <c r="AW50"/>
  <c r="AV50"/>
  <c r="AC50"/>
  <c r="H50"/>
  <c r="G50" s="1"/>
  <c r="BT49"/>
  <c r="BS49"/>
  <c r="BR49"/>
  <c r="BQ49"/>
  <c r="BP49"/>
  <c r="BO49"/>
  <c r="BN49"/>
  <c r="BM49"/>
  <c r="BL49"/>
  <c r="BK49"/>
  <c r="BJ49"/>
  <c r="BI49"/>
  <c r="BH49"/>
  <c r="BG49"/>
  <c r="BF49"/>
  <c r="BE49"/>
  <c r="BD49"/>
  <c r="BC49"/>
  <c r="BB49"/>
  <c r="BA49" s="1"/>
  <c r="AZ49" s="1"/>
  <c r="AX49"/>
  <c r="AW49"/>
  <c r="AV49"/>
  <c r="AC49"/>
  <c r="H49"/>
  <c r="G49"/>
  <c r="BT48"/>
  <c r="BS48"/>
  <c r="BR48"/>
  <c r="BQ48"/>
  <c r="BP48"/>
  <c r="BO48"/>
  <c r="BN48"/>
  <c r="BM48"/>
  <c r="BL48"/>
  <c r="BK48"/>
  <c r="BJ48"/>
  <c r="BI48"/>
  <c r="BH48"/>
  <c r="BG48"/>
  <c r="BF48"/>
  <c r="BE48"/>
  <c r="BD48"/>
  <c r="BC48"/>
  <c r="BB48"/>
  <c r="BA48" s="1"/>
  <c r="AZ48" s="1"/>
  <c r="AX48"/>
  <c r="AW48"/>
  <c r="AV48"/>
  <c r="AC48"/>
  <c r="H48"/>
  <c r="G48" s="1"/>
  <c r="BT47"/>
  <c r="BS47"/>
  <c r="BR47"/>
  <c r="BQ47"/>
  <c r="BP47"/>
  <c r="BO47"/>
  <c r="BN47"/>
  <c r="BM47"/>
  <c r="BL47" s="1"/>
  <c r="BK47"/>
  <c r="BJ47"/>
  <c r="BI47"/>
  <c r="BH47"/>
  <c r="BG47"/>
  <c r="BF47"/>
  <c r="BE47"/>
  <c r="BD47"/>
  <c r="BC47"/>
  <c r="BB47"/>
  <c r="BA47" s="1"/>
  <c r="AZ47" s="1"/>
  <c r="AX47"/>
  <c r="AW47"/>
  <c r="AV47"/>
  <c r="AC47"/>
  <c r="H47"/>
  <c r="G47" s="1"/>
  <c r="BT46"/>
  <c r="BS46"/>
  <c r="BR46"/>
  <c r="BQ46"/>
  <c r="BP46"/>
  <c r="BO46"/>
  <c r="BN46"/>
  <c r="BM46"/>
  <c r="BL46" s="1"/>
  <c r="BK46"/>
  <c r="BJ46"/>
  <c r="BI46"/>
  <c r="BH46"/>
  <c r="BG46"/>
  <c r="BF46"/>
  <c r="BE46"/>
  <c r="BD46"/>
  <c r="BC46"/>
  <c r="BB46"/>
  <c r="BA46" s="1"/>
  <c r="AX46"/>
  <c r="AW46"/>
  <c r="AV46"/>
  <c r="AC46"/>
  <c r="H46"/>
  <c r="G46" s="1"/>
  <c r="BT45"/>
  <c r="BS45"/>
  <c r="BR45"/>
  <c r="BQ45"/>
  <c r="BP45"/>
  <c r="BO45"/>
  <c r="BN45"/>
  <c r="BM45"/>
  <c r="BL45"/>
  <c r="BK45"/>
  <c r="BJ45"/>
  <c r="BI45"/>
  <c r="BH45"/>
  <c r="BG45"/>
  <c r="BF45"/>
  <c r="BE45"/>
  <c r="BD45"/>
  <c r="BC45"/>
  <c r="BB45"/>
  <c r="BA45" s="1"/>
  <c r="AX45"/>
  <c r="AW45"/>
  <c r="AV45"/>
  <c r="AC45"/>
  <c r="H45"/>
  <c r="G45" s="1"/>
  <c r="BT44"/>
  <c r="BS44"/>
  <c r="BR44"/>
  <c r="BQ44"/>
  <c r="BP44"/>
  <c r="BO44"/>
  <c r="BN44"/>
  <c r="BM44"/>
  <c r="BL44"/>
  <c r="BK44"/>
  <c r="BJ44"/>
  <c r="BI44"/>
  <c r="BH44"/>
  <c r="BG44"/>
  <c r="BF44"/>
  <c r="BE44"/>
  <c r="BD44"/>
  <c r="BC44"/>
  <c r="BB44"/>
  <c r="BA44" s="1"/>
  <c r="AZ44" s="1"/>
  <c r="AX44"/>
  <c r="AW44"/>
  <c r="AV44"/>
  <c r="AC44"/>
  <c r="H44"/>
  <c r="G44" s="1"/>
  <c r="BT43"/>
  <c r="BS43"/>
  <c r="BR43"/>
  <c r="BQ43"/>
  <c r="BP43"/>
  <c r="BO43"/>
  <c r="BN43"/>
  <c r="BM43"/>
  <c r="BL43" s="1"/>
  <c r="BK43"/>
  <c r="BJ43"/>
  <c r="BI43"/>
  <c r="BH43"/>
  <c r="BG43"/>
  <c r="BF43"/>
  <c r="BE43"/>
  <c r="BD43"/>
  <c r="BC43"/>
  <c r="BB43"/>
  <c r="BA43" s="1"/>
  <c r="AZ43" s="1"/>
  <c r="AX43"/>
  <c r="AW43"/>
  <c r="AV43"/>
  <c r="AC43"/>
  <c r="H43"/>
  <c r="G43" s="1"/>
  <c r="BT42"/>
  <c r="BS42"/>
  <c r="BR42"/>
  <c r="BQ42"/>
  <c r="BP42"/>
  <c r="BO42"/>
  <c r="BN42"/>
  <c r="BM42"/>
  <c r="BL42" s="1"/>
  <c r="BK42"/>
  <c r="BJ42"/>
  <c r="BI42"/>
  <c r="BH42"/>
  <c r="BG42"/>
  <c r="BF42"/>
  <c r="BE42"/>
  <c r="BD42"/>
  <c r="BC42"/>
  <c r="BB42"/>
  <c r="BA42" s="1"/>
  <c r="AZ42" s="1"/>
  <c r="AX42"/>
  <c r="AW42"/>
  <c r="AV42"/>
  <c r="AC42"/>
  <c r="H42"/>
  <c r="G42" s="1"/>
  <c r="BT41"/>
  <c r="BS41"/>
  <c r="BR41"/>
  <c r="BQ41"/>
  <c r="BP41"/>
  <c r="BO41"/>
  <c r="BN41"/>
  <c r="BM41"/>
  <c r="BL41" s="1"/>
  <c r="BK41"/>
  <c r="BJ41"/>
  <c r="BI41"/>
  <c r="BH41"/>
  <c r="BG41"/>
  <c r="BF41"/>
  <c r="BE41"/>
  <c r="BD41"/>
  <c r="BC41"/>
  <c r="BB41"/>
  <c r="BA41" s="1"/>
  <c r="AZ41" s="1"/>
  <c r="AX41"/>
  <c r="AW41"/>
  <c r="AV41"/>
  <c r="AC41"/>
  <c r="H41"/>
  <c r="G41" s="1"/>
  <c r="BT40"/>
  <c r="BS40"/>
  <c r="BR40"/>
  <c r="BQ40"/>
  <c r="BP40"/>
  <c r="BO40"/>
  <c r="BN40"/>
  <c r="BM40"/>
  <c r="BL40"/>
  <c r="BK40"/>
  <c r="BJ40"/>
  <c r="BI40"/>
  <c r="BH40"/>
  <c r="BG40"/>
  <c r="BF40"/>
  <c r="BE40"/>
  <c r="BD40"/>
  <c r="BC40"/>
  <c r="BB40"/>
  <c r="BA40" s="1"/>
  <c r="AZ40" s="1"/>
  <c r="AX40"/>
  <c r="AW40"/>
  <c r="AV40"/>
  <c r="AC40"/>
  <c r="H40"/>
  <c r="G40" s="1"/>
  <c r="BT39"/>
  <c r="BS39"/>
  <c r="BR39"/>
  <c r="BQ39"/>
  <c r="BP39"/>
  <c r="BO39"/>
  <c r="BN39"/>
  <c r="BM39"/>
  <c r="BL39" s="1"/>
  <c r="BK39"/>
  <c r="BJ39"/>
  <c r="BI39"/>
  <c r="BH39"/>
  <c r="BG39"/>
  <c r="BF39"/>
  <c r="BE39"/>
  <c r="BD39"/>
  <c r="BC39"/>
  <c r="BB39"/>
  <c r="BA39" s="1"/>
  <c r="AZ39" s="1"/>
  <c r="AX39"/>
  <c r="AW39"/>
  <c r="AV39"/>
  <c r="AC39"/>
  <c r="H39"/>
  <c r="G39" s="1"/>
  <c r="BT38"/>
  <c r="BS38"/>
  <c r="BR38"/>
  <c r="BQ38"/>
  <c r="BP38"/>
  <c r="BO38"/>
  <c r="BN38"/>
  <c r="BM38"/>
  <c r="BL38" s="1"/>
  <c r="BK38"/>
  <c r="BJ38"/>
  <c r="BI38"/>
  <c r="BH38"/>
  <c r="BG38"/>
  <c r="BF38"/>
  <c r="BE38"/>
  <c r="BD38"/>
  <c r="BC38"/>
  <c r="BB38"/>
  <c r="BA38" s="1"/>
  <c r="AX38"/>
  <c r="AW38"/>
  <c r="AV38"/>
  <c r="AC38"/>
  <c r="H38"/>
  <c r="G38" s="1"/>
  <c r="BT37"/>
  <c r="BS37"/>
  <c r="BR37"/>
  <c r="BQ37"/>
  <c r="BP37"/>
  <c r="BO37"/>
  <c r="BN37"/>
  <c r="BM37"/>
  <c r="BL37"/>
  <c r="BK37"/>
  <c r="BJ37"/>
  <c r="BI37"/>
  <c r="BH37"/>
  <c r="BG37"/>
  <c r="BF37"/>
  <c r="BE37"/>
  <c r="BD37"/>
  <c r="BC37"/>
  <c r="BB37"/>
  <c r="BA37" s="1"/>
  <c r="AX37"/>
  <c r="AW37"/>
  <c r="AV37"/>
  <c r="AC37"/>
  <c r="H37"/>
  <c r="G37" s="1"/>
  <c r="BT36"/>
  <c r="BS36"/>
  <c r="BR36"/>
  <c r="BQ36"/>
  <c r="BP36"/>
  <c r="BO36"/>
  <c r="BN36"/>
  <c r="BM36"/>
  <c r="BL36"/>
  <c r="BK36"/>
  <c r="BJ36"/>
  <c r="BI36"/>
  <c r="BH36"/>
  <c r="BG36"/>
  <c r="BF36"/>
  <c r="BE36"/>
  <c r="BD36"/>
  <c r="BC36"/>
  <c r="BB36"/>
  <c r="BA36" s="1"/>
  <c r="AZ36" s="1"/>
  <c r="AX36"/>
  <c r="AW36"/>
  <c r="AV36"/>
  <c r="AC36"/>
  <c r="H36"/>
  <c r="G36" s="1"/>
  <c r="BT35"/>
  <c r="BS35"/>
  <c r="BR35"/>
  <c r="BQ35"/>
  <c r="BP35"/>
  <c r="BO35"/>
  <c r="BN35"/>
  <c r="BM35"/>
  <c r="BL35"/>
  <c r="BK35"/>
  <c r="BJ35"/>
  <c r="BI35"/>
  <c r="BH35"/>
  <c r="BG35"/>
  <c r="BF35"/>
  <c r="BE35"/>
  <c r="BD35"/>
  <c r="BC35"/>
  <c r="BB35"/>
  <c r="BA35" s="1"/>
  <c r="AZ35" s="1"/>
  <c r="AX35"/>
  <c r="AW35"/>
  <c r="AV35"/>
  <c r="AC35"/>
  <c r="H35"/>
  <c r="G35"/>
  <c r="BT34"/>
  <c r="BS34"/>
  <c r="BR34"/>
  <c r="BQ34"/>
  <c r="BP34"/>
  <c r="BO34"/>
  <c r="BN34"/>
  <c r="BM34"/>
  <c r="BL34"/>
  <c r="BK34"/>
  <c r="BJ34"/>
  <c r="BI34"/>
  <c r="BH34"/>
  <c r="BG34"/>
  <c r="BF34"/>
  <c r="BE34"/>
  <c r="BD34"/>
  <c r="BC34"/>
  <c r="BB34"/>
  <c r="BA34" s="1"/>
  <c r="AZ34" s="1"/>
  <c r="AX34"/>
  <c r="AW34"/>
  <c r="AV34"/>
  <c r="AC34"/>
  <c r="H34"/>
  <c r="G34" s="1"/>
  <c r="BT33"/>
  <c r="BS33"/>
  <c r="BR33"/>
  <c r="BQ33"/>
  <c r="BP33"/>
  <c r="BO33"/>
  <c r="BN33"/>
  <c r="BM33"/>
  <c r="BL33"/>
  <c r="BK33"/>
  <c r="BJ33"/>
  <c r="BI33"/>
  <c r="BH33"/>
  <c r="BG33"/>
  <c r="BF33"/>
  <c r="BE33"/>
  <c r="BD33"/>
  <c r="BC33"/>
  <c r="BB33"/>
  <c r="BA33" s="1"/>
  <c r="AX33"/>
  <c r="AW33"/>
  <c r="AV33"/>
  <c r="AC33"/>
  <c r="H33"/>
  <c r="G33" s="1"/>
  <c r="BT32"/>
  <c r="BS32"/>
  <c r="BR32"/>
  <c r="BQ32"/>
  <c r="BP32"/>
  <c r="BO32"/>
  <c r="BN32"/>
  <c r="BM32"/>
  <c r="BL32"/>
  <c r="BK32"/>
  <c r="BJ32"/>
  <c r="BI32"/>
  <c r="BH32"/>
  <c r="BG32"/>
  <c r="BF32"/>
  <c r="BE32"/>
  <c r="BD32"/>
  <c r="BC32"/>
  <c r="BB32"/>
  <c r="BA32" s="1"/>
  <c r="AX32"/>
  <c r="AW32"/>
  <c r="AV32"/>
  <c r="AC32"/>
  <c r="H32"/>
  <c r="G32" s="1"/>
  <c r="BT31"/>
  <c r="BS31"/>
  <c r="BR31"/>
  <c r="BQ31"/>
  <c r="BP31"/>
  <c r="BO31"/>
  <c r="BN31"/>
  <c r="BM31"/>
  <c r="BL31"/>
  <c r="BK31"/>
  <c r="BJ31"/>
  <c r="BI31"/>
  <c r="BH31"/>
  <c r="BG31"/>
  <c r="BF31"/>
  <c r="BE31"/>
  <c r="BD31"/>
  <c r="BC31"/>
  <c r="BB31"/>
  <c r="BA31" s="1"/>
  <c r="AX31"/>
  <c r="AW31"/>
  <c r="AV31"/>
  <c r="AC31"/>
  <c r="H31"/>
  <c r="G31" s="1"/>
  <c r="BT30"/>
  <c r="BS30"/>
  <c r="BR30"/>
  <c r="BQ30"/>
  <c r="BP30"/>
  <c r="BO30"/>
  <c r="BN30"/>
  <c r="BM30"/>
  <c r="BL30"/>
  <c r="BK30"/>
  <c r="BJ30"/>
  <c r="BI30"/>
  <c r="BH30"/>
  <c r="BG30"/>
  <c r="BF30"/>
  <c r="BE30"/>
  <c r="BD30"/>
  <c r="BC30"/>
  <c r="BB30"/>
  <c r="BA30" s="1"/>
  <c r="AZ30" s="1"/>
  <c r="AX30"/>
  <c r="AW30"/>
  <c r="AV30"/>
  <c r="AC30"/>
  <c r="H30"/>
  <c r="G30" s="1"/>
  <c r="BT29"/>
  <c r="BS29"/>
  <c r="BR29"/>
  <c r="BQ29"/>
  <c r="BP29"/>
  <c r="BO29"/>
  <c r="BN29"/>
  <c r="BM29"/>
  <c r="BL29" s="1"/>
  <c r="BK29"/>
  <c r="BJ29"/>
  <c r="BI29"/>
  <c r="BH29"/>
  <c r="BG29"/>
  <c r="BF29"/>
  <c r="BE29"/>
  <c r="BD29"/>
  <c r="BC29"/>
  <c r="BB29"/>
  <c r="BA29" s="1"/>
  <c r="AZ29" s="1"/>
  <c r="AX29"/>
  <c r="AW29"/>
  <c r="AV29"/>
  <c r="AC29"/>
  <c r="H29"/>
  <c r="G29" s="1"/>
  <c r="BT28"/>
  <c r="BS28"/>
  <c r="BR28"/>
  <c r="BQ28"/>
  <c r="BP28"/>
  <c r="BO28"/>
  <c r="BN28"/>
  <c r="BM28"/>
  <c r="BL28" s="1"/>
  <c r="BK28"/>
  <c r="BJ28"/>
  <c r="BI28"/>
  <c r="BH28"/>
  <c r="BG28"/>
  <c r="BF28"/>
  <c r="BE28"/>
  <c r="BD28"/>
  <c r="BC28"/>
  <c r="BB28"/>
  <c r="BA28" s="1"/>
  <c r="AX28"/>
  <c r="AW28"/>
  <c r="AV28"/>
  <c r="AC28"/>
  <c r="H28"/>
  <c r="G28" s="1"/>
  <c r="BT27"/>
  <c r="BS27"/>
  <c r="BR27"/>
  <c r="BQ27"/>
  <c r="BP27"/>
  <c r="BO27"/>
  <c r="BN27"/>
  <c r="BM27"/>
  <c r="BL27"/>
  <c r="BK27"/>
  <c r="BJ27"/>
  <c r="BI27"/>
  <c r="BH27"/>
  <c r="BG27"/>
  <c r="BF27"/>
  <c r="BE27"/>
  <c r="BD27"/>
  <c r="BC27"/>
  <c r="BB27"/>
  <c r="BA27" s="1"/>
  <c r="AZ27" s="1"/>
  <c r="AX27"/>
  <c r="AW27"/>
  <c r="AV27"/>
  <c r="AC27"/>
  <c r="H27"/>
  <c r="G27" s="1"/>
  <c r="BT26"/>
  <c r="BS26"/>
  <c r="BR26"/>
  <c r="BQ26"/>
  <c r="BP26"/>
  <c r="BO26"/>
  <c r="BN26"/>
  <c r="BM26"/>
  <c r="BL26" s="1"/>
  <c r="BK26"/>
  <c r="BJ26"/>
  <c r="BI26"/>
  <c r="BH26"/>
  <c r="BG26"/>
  <c r="BF26"/>
  <c r="BE26"/>
  <c r="BD26"/>
  <c r="BC26"/>
  <c r="BB26"/>
  <c r="BA26"/>
  <c r="AZ26" s="1"/>
  <c r="AX26"/>
  <c r="AW26"/>
  <c r="AV26"/>
  <c r="AC26"/>
  <c r="H26"/>
  <c r="G26"/>
  <c r="BT25"/>
  <c r="BS25"/>
  <c r="BR25"/>
  <c r="BQ25"/>
  <c r="BP25"/>
  <c r="BO25"/>
  <c r="BN25"/>
  <c r="BM25"/>
  <c r="BL25"/>
  <c r="BK25"/>
  <c r="BJ25"/>
  <c r="BI25"/>
  <c r="BH25"/>
  <c r="BG25"/>
  <c r="BF25"/>
  <c r="BE25"/>
  <c r="BD25"/>
  <c r="BC25"/>
  <c r="BB25"/>
  <c r="BA25"/>
  <c r="AZ25" s="1"/>
  <c r="AX25"/>
  <c r="AW25"/>
  <c r="AV25"/>
  <c r="AC25"/>
  <c r="H25"/>
  <c r="G25"/>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Z23" s="1"/>
  <c r="AX23"/>
  <c r="AW23"/>
  <c r="AV23"/>
  <c r="AC23"/>
  <c r="H23"/>
  <c r="G23" s="1"/>
  <c r="BT22"/>
  <c r="BS22"/>
  <c r="BR22"/>
  <c r="BQ22"/>
  <c r="BP22"/>
  <c r="BO22"/>
  <c r="BN22"/>
  <c r="BM22"/>
  <c r="BL22"/>
  <c r="BK22"/>
  <c r="BJ22"/>
  <c r="BI22"/>
  <c r="BH22"/>
  <c r="BG22"/>
  <c r="BF22"/>
  <c r="BE22"/>
  <c r="BD22"/>
  <c r="BC22"/>
  <c r="BB22"/>
  <c r="BA22" s="1"/>
  <c r="AZ22" s="1"/>
  <c r="AX22"/>
  <c r="AW22"/>
  <c r="AV22"/>
  <c r="AC22"/>
  <c r="H22"/>
  <c r="G22" s="1"/>
  <c r="BT21"/>
  <c r="BS21"/>
  <c r="BR21"/>
  <c r="BQ21"/>
  <c r="BP21"/>
  <c r="BO21"/>
  <c r="BN21"/>
  <c r="BM21"/>
  <c r="BL21" s="1"/>
  <c r="BK21"/>
  <c r="BJ21"/>
  <c r="BI21"/>
  <c r="BH21"/>
  <c r="BG21"/>
  <c r="BF21"/>
  <c r="BE21"/>
  <c r="BD21"/>
  <c r="BC21"/>
  <c r="BB21"/>
  <c r="BA21" s="1"/>
  <c r="AZ21" s="1"/>
  <c r="AX21"/>
  <c r="AW21"/>
  <c r="AV21"/>
  <c r="AC21"/>
  <c r="H21"/>
  <c r="G21" s="1"/>
  <c r="BT20"/>
  <c r="BS20"/>
  <c r="BR20"/>
  <c r="BQ20"/>
  <c r="BP20"/>
  <c r="BO20"/>
  <c r="BN20"/>
  <c r="BM20"/>
  <c r="BL20" s="1"/>
  <c r="BK20"/>
  <c r="BJ20"/>
  <c r="BI20"/>
  <c r="BH20"/>
  <c r="BG20"/>
  <c r="BF20"/>
  <c r="BE20"/>
  <c r="BD20"/>
  <c r="BC20"/>
  <c r="BB20"/>
  <c r="BA20" s="1"/>
  <c r="AZ20" s="1"/>
  <c r="AX20"/>
  <c r="AW20"/>
  <c r="AV20"/>
  <c r="AC20"/>
  <c r="H20"/>
  <c r="G20" s="1"/>
  <c r="BT19"/>
  <c r="BS19"/>
  <c r="BR19"/>
  <c r="BQ19"/>
  <c r="BP19"/>
  <c r="BO19"/>
  <c r="BN19"/>
  <c r="BM19"/>
  <c r="BL19" s="1"/>
  <c r="BK19"/>
  <c r="BJ19"/>
  <c r="BI19"/>
  <c r="BH19"/>
  <c r="BG19"/>
  <c r="BF19"/>
  <c r="BE19"/>
  <c r="BD19"/>
  <c r="BC19"/>
  <c r="BB19"/>
  <c r="BA19" s="1"/>
  <c r="AX19"/>
  <c r="AW19"/>
  <c r="AV19"/>
  <c r="AC19"/>
  <c r="H19"/>
  <c r="G19" s="1"/>
  <c r="BT18"/>
  <c r="BS18"/>
  <c r="BR18"/>
  <c r="BQ18"/>
  <c r="BP18"/>
  <c r="BO18"/>
  <c r="BN18"/>
  <c r="BM18"/>
  <c r="BL18"/>
  <c r="BK18"/>
  <c r="BJ18"/>
  <c r="BI18"/>
  <c r="BH18"/>
  <c r="BG18"/>
  <c r="BF18"/>
  <c r="BE18"/>
  <c r="BD18"/>
  <c r="BC18"/>
  <c r="BB18"/>
  <c r="BA18" s="1"/>
  <c r="AZ18" s="1"/>
  <c r="AX18"/>
  <c r="AW18"/>
  <c r="AV18"/>
  <c r="AC18"/>
  <c r="H18"/>
  <c r="G18" s="1"/>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C202"/>
  <c r="BB202"/>
  <c r="BA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c r="BK198"/>
  <c r="BJ198"/>
  <c r="BI198"/>
  <c r="BH198"/>
  <c r="BG198"/>
  <c r="BF198"/>
  <c r="BE198"/>
  <c r="BD198"/>
  <c r="BC198"/>
  <c r="BB198"/>
  <c r="BA198"/>
  <c r="AX198"/>
  <c r="AW198"/>
  <c r="AV198"/>
  <c r="AC198"/>
  <c r="H198"/>
  <c r="G198"/>
  <c r="BT197"/>
  <c r="BS197"/>
  <c r="BR197"/>
  <c r="BQ197"/>
  <c r="BP197"/>
  <c r="BO197"/>
  <c r="BN197"/>
  <c r="BM197"/>
  <c r="BL197"/>
  <c r="BK197"/>
  <c r="BJ197"/>
  <c r="BI197"/>
  <c r="BH197"/>
  <c r="BG197"/>
  <c r="BF197"/>
  <c r="BE197"/>
  <c r="BD197"/>
  <c r="BC197"/>
  <c r="BB197"/>
  <c r="BA197"/>
  <c r="AZ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H190"/>
  <c r="G190"/>
  <c r="BT189"/>
  <c r="BS189"/>
  <c r="BR189"/>
  <c r="BQ189"/>
  <c r="BP189"/>
  <c r="BO189"/>
  <c r="BN189"/>
  <c r="BM189"/>
  <c r="BL189"/>
  <c r="BK189"/>
  <c r="BJ189"/>
  <c r="BI189"/>
  <c r="BH189"/>
  <c r="BG189"/>
  <c r="BF189"/>
  <c r="BE189"/>
  <c r="BD189"/>
  <c r="BC189"/>
  <c r="BB189"/>
  <c r="BA189"/>
  <c r="AZ189"/>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c r="BK182"/>
  <c r="BJ182"/>
  <c r="BI182"/>
  <c r="BH182"/>
  <c r="BG182"/>
  <c r="BF182"/>
  <c r="BE182"/>
  <c r="BD182"/>
  <c r="BC182"/>
  <c r="BB182"/>
  <c r="BA182"/>
  <c r="AX182"/>
  <c r="AW182"/>
  <c r="AV182"/>
  <c r="AC182"/>
  <c r="H182"/>
  <c r="G182"/>
  <c r="BT181"/>
  <c r="BS181"/>
  <c r="BR181"/>
  <c r="BQ181"/>
  <c r="BP181"/>
  <c r="BO181"/>
  <c r="BN181"/>
  <c r="BM181"/>
  <c r="BL181"/>
  <c r="BK181"/>
  <c r="BJ181"/>
  <c r="BI181"/>
  <c r="BH181"/>
  <c r="BG181"/>
  <c r="BF181"/>
  <c r="BE181"/>
  <c r="BD181"/>
  <c r="BC181"/>
  <c r="BB181"/>
  <c r="BA181"/>
  <c r="AZ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c r="BK178"/>
  <c r="BJ178"/>
  <c r="BI178"/>
  <c r="BH178"/>
  <c r="BG178"/>
  <c r="BF178"/>
  <c r="BE178"/>
  <c r="BD178"/>
  <c r="BC178"/>
  <c r="BB178"/>
  <c r="BA178"/>
  <c r="AX178"/>
  <c r="AW178"/>
  <c r="AV178"/>
  <c r="AC178"/>
  <c r="H178"/>
  <c r="G178"/>
  <c r="BT177"/>
  <c r="BS177"/>
  <c r="BR177"/>
  <c r="BQ177"/>
  <c r="BP177"/>
  <c r="BO177"/>
  <c r="BN177"/>
  <c r="BM177"/>
  <c r="BL177"/>
  <c r="BK177"/>
  <c r="BJ177"/>
  <c r="BI177"/>
  <c r="BH177"/>
  <c r="BG177"/>
  <c r="BF177"/>
  <c r="BE177"/>
  <c r="BD177"/>
  <c r="BC177"/>
  <c r="BB177"/>
  <c r="BA177"/>
  <c r="AZ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BA173"/>
  <c r="AZ173"/>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BA169"/>
  <c r="AZ169"/>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BA165"/>
  <c r="AZ165"/>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BA157"/>
  <c r="AZ157"/>
  <c r="AX157"/>
  <c r="AW157"/>
  <c r="AV157"/>
  <c r="AC157"/>
  <c r="H157"/>
  <c r="BT156"/>
  <c r="BS156"/>
  <c r="BR156"/>
  <c r="BQ156"/>
  <c r="BP156"/>
  <c r="BO156"/>
  <c r="BN156"/>
  <c r="BM156"/>
  <c r="BK156"/>
  <c r="BJ156"/>
  <c r="BI156"/>
  <c r="BH156"/>
  <c r="BG156"/>
  <c r="BF156"/>
  <c r="BE156"/>
  <c r="BD156"/>
  <c r="BC156"/>
  <c r="BB156"/>
  <c r="BA156"/>
  <c r="AX156"/>
  <c r="AW156"/>
  <c r="AV156"/>
  <c r="AC156"/>
  <c r="H156"/>
  <c r="G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BA153"/>
  <c r="AZ153"/>
  <c r="AX153"/>
  <c r="AW153"/>
  <c r="AV153"/>
  <c r="AC153"/>
  <c r="H153"/>
  <c r="BT152"/>
  <c r="BS152"/>
  <c r="BR152"/>
  <c r="BQ152"/>
  <c r="BP152"/>
  <c r="BO152"/>
  <c r="BN152"/>
  <c r="BM152"/>
  <c r="BK152"/>
  <c r="BJ152"/>
  <c r="BI152"/>
  <c r="BH152"/>
  <c r="BG152"/>
  <c r="BF152"/>
  <c r="BE152"/>
  <c r="BD152"/>
  <c r="BC152"/>
  <c r="BB152"/>
  <c r="BA152"/>
  <c r="AX152"/>
  <c r="AW152"/>
  <c r="AV152"/>
  <c r="AC152"/>
  <c r="H152"/>
  <c r="G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c r="BK150"/>
  <c r="BJ150"/>
  <c r="BI150"/>
  <c r="BH150"/>
  <c r="BG150"/>
  <c r="BF150"/>
  <c r="BE150"/>
  <c r="BD150"/>
  <c r="BC150"/>
  <c r="BB150"/>
  <c r="BA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c r="BK146"/>
  <c r="BJ146"/>
  <c r="BI146"/>
  <c r="BH146"/>
  <c r="BG146"/>
  <c r="BF146"/>
  <c r="BE146"/>
  <c r="BD146"/>
  <c r="BC146"/>
  <c r="BB146"/>
  <c r="BA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c r="BK142"/>
  <c r="BJ142"/>
  <c r="BI142"/>
  <c r="BH142"/>
  <c r="BG142"/>
  <c r="BF142"/>
  <c r="BE142"/>
  <c r="BD142"/>
  <c r="BC142"/>
  <c r="BB142"/>
  <c r="BA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c r="BK138"/>
  <c r="BJ138"/>
  <c r="BI138"/>
  <c r="BH138"/>
  <c r="BG138"/>
  <c r="BF138"/>
  <c r="BE138"/>
  <c r="BD138"/>
  <c r="BC138"/>
  <c r="BB138"/>
  <c r="BA138"/>
  <c r="AX138"/>
  <c r="AW138"/>
  <c r="AV138"/>
  <c r="AC138"/>
  <c r="H138"/>
  <c r="G138"/>
  <c r="BT137"/>
  <c r="BS137"/>
  <c r="BR137"/>
  <c r="BQ137"/>
  <c r="BP137"/>
  <c r="BO137"/>
  <c r="BN137"/>
  <c r="BM137"/>
  <c r="BL137"/>
  <c r="BK137"/>
  <c r="BJ137"/>
  <c r="BI137"/>
  <c r="BH137"/>
  <c r="BG137"/>
  <c r="BF137"/>
  <c r="BE137"/>
  <c r="BD137"/>
  <c r="BC137"/>
  <c r="BB137"/>
  <c r="BA137"/>
  <c r="AZ137"/>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N133"/>
  <c r="BM133"/>
  <c r="BL133"/>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BA132" s="1"/>
  <c r="AX132"/>
  <c r="AW132"/>
  <c r="AV132"/>
  <c r="AC132"/>
  <c r="H132"/>
  <c r="G132" s="1"/>
  <c r="BT131"/>
  <c r="BS131"/>
  <c r="BR131"/>
  <c r="BQ131"/>
  <c r="BP131"/>
  <c r="BO131"/>
  <c r="BN131"/>
  <c r="BM131"/>
  <c r="BL131" s="1"/>
  <c r="BK131"/>
  <c r="BJ131"/>
  <c r="BI131"/>
  <c r="BH131"/>
  <c r="BG131"/>
  <c r="BF131"/>
  <c r="BE131"/>
  <c r="BD131"/>
  <c r="BC131"/>
  <c r="BB131"/>
  <c r="AX131"/>
  <c r="AW131"/>
  <c r="AV131"/>
  <c r="AC131"/>
  <c r="H131"/>
  <c r="G131" s="1"/>
  <c r="BT130"/>
  <c r="BS130"/>
  <c r="BR130"/>
  <c r="BQ130"/>
  <c r="BP130"/>
  <c r="BO130"/>
  <c r="BN130"/>
  <c r="BM130"/>
  <c r="BL130"/>
  <c r="BK130"/>
  <c r="BJ130"/>
  <c r="BI130"/>
  <c r="BH130"/>
  <c r="BG130"/>
  <c r="BF130"/>
  <c r="BE130"/>
  <c r="BD130"/>
  <c r="BC130"/>
  <c r="BB130"/>
  <c r="BA130" s="1"/>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s="1"/>
  <c r="AZ128" s="1"/>
  <c r="AX128"/>
  <c r="AW128"/>
  <c r="AV128"/>
  <c r="AC128"/>
  <c r="H128"/>
  <c r="G128" s="1"/>
  <c r="BT127"/>
  <c r="BS127"/>
  <c r="BR127"/>
  <c r="BQ127"/>
  <c r="BP127"/>
  <c r="BO127"/>
  <c r="BN127"/>
  <c r="BM127"/>
  <c r="BL127" s="1"/>
  <c r="BK127"/>
  <c r="BJ127"/>
  <c r="BI127"/>
  <c r="BH127"/>
  <c r="BG127"/>
  <c r="BF127"/>
  <c r="BE127"/>
  <c r="BD127"/>
  <c r="BC127"/>
  <c r="BB127"/>
  <c r="AX127"/>
  <c r="AW127"/>
  <c r="AV127"/>
  <c r="AC127"/>
  <c r="H127"/>
  <c r="G127" s="1"/>
  <c r="BT126"/>
  <c r="BS126"/>
  <c r="BR126"/>
  <c r="BQ126"/>
  <c r="BP126"/>
  <c r="BO126"/>
  <c r="BN126"/>
  <c r="BM126"/>
  <c r="BL126"/>
  <c r="BK126"/>
  <c r="BJ126"/>
  <c r="BI126"/>
  <c r="BH126"/>
  <c r="BG126"/>
  <c r="BF126"/>
  <c r="BE126"/>
  <c r="BD126"/>
  <c r="BC126"/>
  <c r="BB126"/>
  <c r="BA126" s="1"/>
  <c r="AZ126" s="1"/>
  <c r="AX126"/>
  <c r="AW126"/>
  <c r="AV126"/>
  <c r="AC126"/>
  <c r="H126"/>
  <c r="G126" s="1"/>
  <c r="BT125"/>
  <c r="BS125"/>
  <c r="BR125"/>
  <c r="BQ125"/>
  <c r="BP125"/>
  <c r="BO125"/>
  <c r="BN125"/>
  <c r="BM125"/>
  <c r="BL125" s="1"/>
  <c r="BK125"/>
  <c r="BJ125"/>
  <c r="BI125"/>
  <c r="BH125"/>
  <c r="BG125"/>
  <c r="BF125"/>
  <c r="BE125"/>
  <c r="BD125"/>
  <c r="BC125"/>
  <c r="BB125"/>
  <c r="BA125"/>
  <c r="AZ125" s="1"/>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s="1"/>
  <c r="BK123"/>
  <c r="BJ123"/>
  <c r="BI123"/>
  <c r="BH123"/>
  <c r="BG123"/>
  <c r="BF123"/>
  <c r="BE123"/>
  <c r="BD123"/>
  <c r="BC123"/>
  <c r="BB123"/>
  <c r="AX123"/>
  <c r="AW123"/>
  <c r="AV123"/>
  <c r="AC123"/>
  <c r="H123"/>
  <c r="G123"/>
  <c r="BT122"/>
  <c r="BS122"/>
  <c r="BR122"/>
  <c r="BQ122"/>
  <c r="BP122"/>
  <c r="BO122"/>
  <c r="BN122"/>
  <c r="BM122"/>
  <c r="BL122"/>
  <c r="BK122"/>
  <c r="BJ122"/>
  <c r="BI122"/>
  <c r="BH122"/>
  <c r="BG122"/>
  <c r="BF122"/>
  <c r="BE122"/>
  <c r="BD122"/>
  <c r="BC122"/>
  <c r="BB122"/>
  <c r="BA122" s="1"/>
  <c r="AZ122" s="1"/>
  <c r="AX122"/>
  <c r="AW122"/>
  <c r="AV122"/>
  <c r="AC122"/>
  <c r="H122"/>
  <c r="G122" s="1"/>
  <c r="BT121"/>
  <c r="BS121"/>
  <c r="BR121"/>
  <c r="BQ121"/>
  <c r="BP121"/>
  <c r="BO121"/>
  <c r="BN121"/>
  <c r="BM121"/>
  <c r="BL121" s="1"/>
  <c r="BK121"/>
  <c r="BJ121"/>
  <c r="BI121"/>
  <c r="BH121"/>
  <c r="BG121"/>
  <c r="BF121"/>
  <c r="BE121"/>
  <c r="BD121"/>
  <c r="BC121"/>
  <c r="BB121"/>
  <c r="BA121" s="1"/>
  <c r="AX121"/>
  <c r="AW121"/>
  <c r="AV121"/>
  <c r="AC121"/>
  <c r="H121"/>
  <c r="BT120"/>
  <c r="BS120"/>
  <c r="BR120"/>
  <c r="BQ120"/>
  <c r="BP120"/>
  <c r="BO120"/>
  <c r="BN120"/>
  <c r="BM120"/>
  <c r="BK120"/>
  <c r="BJ120"/>
  <c r="BI120"/>
  <c r="BH120"/>
  <c r="BG120"/>
  <c r="BF120"/>
  <c r="BE120"/>
  <c r="BD120"/>
  <c r="BC120"/>
  <c r="BB120"/>
  <c r="BA120" s="1"/>
  <c r="AZ120" s="1"/>
  <c r="AX120"/>
  <c r="AW120"/>
  <c r="AV120"/>
  <c r="AC120"/>
  <c r="H120"/>
  <c r="G120" s="1"/>
  <c r="BT119"/>
  <c r="BS119"/>
  <c r="BR119"/>
  <c r="BQ119"/>
  <c r="BP119"/>
  <c r="BO119"/>
  <c r="BN119"/>
  <c r="BM119"/>
  <c r="BL119"/>
  <c r="BK119"/>
  <c r="BJ119"/>
  <c r="BI119"/>
  <c r="BH119"/>
  <c r="BG119"/>
  <c r="BF119"/>
  <c r="BE119"/>
  <c r="BD119"/>
  <c r="BC119"/>
  <c r="BB119"/>
  <c r="AX119"/>
  <c r="AW119"/>
  <c r="AV119"/>
  <c r="AC119"/>
  <c r="H119"/>
  <c r="G119" s="1"/>
  <c r="BT118"/>
  <c r="BS118"/>
  <c r="BR118"/>
  <c r="BQ118"/>
  <c r="BP118"/>
  <c r="BO118"/>
  <c r="BN118"/>
  <c r="BM118"/>
  <c r="BL118" s="1"/>
  <c r="BK118"/>
  <c r="BJ118"/>
  <c r="BI118"/>
  <c r="BH118"/>
  <c r="BG118"/>
  <c r="BF118"/>
  <c r="BE118"/>
  <c r="BD118"/>
  <c r="BC118"/>
  <c r="BB118"/>
  <c r="BA118" s="1"/>
  <c r="AZ118" s="1"/>
  <c r="AX118"/>
  <c r="AW118"/>
  <c r="AV118"/>
  <c r="AC118"/>
  <c r="H118"/>
  <c r="G118" s="1"/>
  <c r="BT117"/>
  <c r="BS117"/>
  <c r="BR117"/>
  <c r="BQ117"/>
  <c r="BP117"/>
  <c r="BO117"/>
  <c r="BN117"/>
  <c r="BM117"/>
  <c r="BL117"/>
  <c r="BK117"/>
  <c r="BJ117"/>
  <c r="BI117"/>
  <c r="BH117"/>
  <c r="BG117"/>
  <c r="BF117"/>
  <c r="BE117"/>
  <c r="BD117"/>
  <c r="BC117"/>
  <c r="BB117"/>
  <c r="BA117" s="1"/>
  <c r="AZ117" s="1"/>
  <c r="AX117"/>
  <c r="AW117"/>
  <c r="AV117"/>
  <c r="AC117"/>
  <c r="H117"/>
  <c r="BT116"/>
  <c r="BS116"/>
  <c r="BR116"/>
  <c r="BQ116"/>
  <c r="BP116"/>
  <c r="BO116"/>
  <c r="BN116"/>
  <c r="BM116"/>
  <c r="BK116"/>
  <c r="BJ116"/>
  <c r="BI116"/>
  <c r="BH116"/>
  <c r="BG116"/>
  <c r="BF116"/>
  <c r="BE116"/>
  <c r="BD116"/>
  <c r="BC116"/>
  <c r="BB116"/>
  <c r="BA116" s="1"/>
  <c r="AZ116" s="1"/>
  <c r="AX116"/>
  <c r="AW116"/>
  <c r="AV116"/>
  <c r="AC116"/>
  <c r="H116"/>
  <c r="G116" s="1"/>
  <c r="BT115"/>
  <c r="BS115"/>
  <c r="BR115"/>
  <c r="BQ115"/>
  <c r="BP115"/>
  <c r="BO115"/>
  <c r="BN115"/>
  <c r="BM115"/>
  <c r="BL115"/>
  <c r="BK115"/>
  <c r="BJ115"/>
  <c r="BI115"/>
  <c r="BH115"/>
  <c r="BG115"/>
  <c r="BF115"/>
  <c r="BE115"/>
  <c r="BD115"/>
  <c r="BC115"/>
  <c r="BB115"/>
  <c r="AX115"/>
  <c r="AW115"/>
  <c r="AV115"/>
  <c r="AC115"/>
  <c r="H115"/>
  <c r="G115" s="1"/>
  <c r="BT114"/>
  <c r="BS114"/>
  <c r="BR114"/>
  <c r="BQ114"/>
  <c r="BP114"/>
  <c r="BO114"/>
  <c r="BN114"/>
  <c r="BM114"/>
  <c r="BL114" s="1"/>
  <c r="BK114"/>
  <c r="BJ114"/>
  <c r="BI114"/>
  <c r="BH114"/>
  <c r="BG114"/>
  <c r="BF114"/>
  <c r="BE114"/>
  <c r="BD114"/>
  <c r="BC114"/>
  <c r="BB114"/>
  <c r="BA114" s="1"/>
  <c r="AX114"/>
  <c r="AW114"/>
  <c r="AV114"/>
  <c r="AC114"/>
  <c r="H114"/>
  <c r="G114" s="1"/>
  <c r="BT113"/>
  <c r="BS113"/>
  <c r="BR113"/>
  <c r="BQ113"/>
  <c r="BP113"/>
  <c r="BO113"/>
  <c r="BN113"/>
  <c r="BM113"/>
  <c r="BL113" s="1"/>
  <c r="BK113"/>
  <c r="BJ113"/>
  <c r="BI113"/>
  <c r="BH113"/>
  <c r="BG113"/>
  <c r="BF113"/>
  <c r="BE113"/>
  <c r="BD113"/>
  <c r="BC113"/>
  <c r="BB113"/>
  <c r="BA113" s="1"/>
  <c r="AX113"/>
  <c r="AW113"/>
  <c r="AV113"/>
  <c r="AC113"/>
  <c r="H11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Z297"/>
  <c r="AX297"/>
  <c r="AW297"/>
  <c r="AV297"/>
  <c r="AC297"/>
  <c r="H297"/>
  <c r="G297"/>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X287"/>
  <c r="AW287"/>
  <c r="AV287"/>
  <c r="AC287"/>
  <c r="H287"/>
  <c r="G287"/>
  <c r="BT286"/>
  <c r="BS286"/>
  <c r="BR286"/>
  <c r="BQ286"/>
  <c r="BP286"/>
  <c r="BO286"/>
  <c r="BN286"/>
  <c r="BM286"/>
  <c r="BL286"/>
  <c r="BK286"/>
  <c r="BJ286"/>
  <c r="BI286"/>
  <c r="BH286"/>
  <c r="BG286"/>
  <c r="BF286"/>
  <c r="BE286"/>
  <c r="BD286"/>
  <c r="BC286"/>
  <c r="BB286"/>
  <c r="BA286"/>
  <c r="AZ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Z281"/>
  <c r="AX281"/>
  <c r="AW281"/>
  <c r="AV281"/>
  <c r="AC281"/>
  <c r="H281"/>
  <c r="G281"/>
  <c r="BT280"/>
  <c r="BS280"/>
  <c r="BR280"/>
  <c r="BQ280"/>
  <c r="BP280"/>
  <c r="BO280"/>
  <c r="BN280"/>
  <c r="BM280"/>
  <c r="BL280"/>
  <c r="BK280"/>
  <c r="BJ280"/>
  <c r="BI280"/>
  <c r="BH280"/>
  <c r="BG280"/>
  <c r="BF280"/>
  <c r="BE280"/>
  <c r="BD280"/>
  <c r="BC280"/>
  <c r="BB280"/>
  <c r="BA280"/>
  <c r="AX280"/>
  <c r="AW280"/>
  <c r="AV280"/>
  <c r="AC280"/>
  <c r="H280"/>
  <c r="G280"/>
  <c r="BT279"/>
  <c r="BS279"/>
  <c r="BR279"/>
  <c r="BQ279"/>
  <c r="BP279"/>
  <c r="BO279"/>
  <c r="BN279"/>
  <c r="BM279"/>
  <c r="BL279"/>
  <c r="BK279"/>
  <c r="BJ279"/>
  <c r="BI279"/>
  <c r="BH279"/>
  <c r="BG279"/>
  <c r="BF279"/>
  <c r="BE279"/>
  <c r="BD279"/>
  <c r="BC279"/>
  <c r="BB279"/>
  <c r="BA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X214"/>
  <c r="AW214"/>
  <c r="AV214"/>
  <c r="AC214"/>
  <c r="H214"/>
  <c r="G214"/>
  <c r="BT213"/>
  <c r="BS213"/>
  <c r="BR213"/>
  <c r="BQ213"/>
  <c r="BP213"/>
  <c r="BO213"/>
  <c r="BN213"/>
  <c r="BM213"/>
  <c r="BL213"/>
  <c r="BK213"/>
  <c r="BJ213"/>
  <c r="BI213"/>
  <c r="BH213"/>
  <c r="BG213"/>
  <c r="BF213"/>
  <c r="BE213"/>
  <c r="BD213"/>
  <c r="BC213"/>
  <c r="BB213"/>
  <c r="BA213"/>
  <c r="AZ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c r="AZ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c r="AZ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Z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X491"/>
  <c r="AW491"/>
  <c r="AV491"/>
  <c r="AC491"/>
  <c r="H491"/>
  <c r="G491"/>
  <c r="BT490"/>
  <c r="BS490"/>
  <c r="BR490"/>
  <c r="BQ490"/>
  <c r="BP490"/>
  <c r="BO490"/>
  <c r="BN490"/>
  <c r="BM490"/>
  <c r="BL490"/>
  <c r="BK490"/>
  <c r="BJ490"/>
  <c r="BI490"/>
  <c r="BH490"/>
  <c r="BG490"/>
  <c r="BF490"/>
  <c r="BE490"/>
  <c r="BD490"/>
  <c r="BC490"/>
  <c r="BB490"/>
  <c r="BA490"/>
  <c r="AZ490"/>
  <c r="AX490"/>
  <c r="AW490"/>
  <c r="AV490"/>
  <c r="AC490"/>
  <c r="H490"/>
  <c r="G490"/>
  <c r="BT489"/>
  <c r="BS489"/>
  <c r="BR489"/>
  <c r="BQ489"/>
  <c r="BP489"/>
  <c r="BO489"/>
  <c r="BN489"/>
  <c r="BM489"/>
  <c r="BL489"/>
  <c r="BK489"/>
  <c r="BJ489"/>
  <c r="BI489"/>
  <c r="BH489"/>
  <c r="BG489"/>
  <c r="BF489"/>
  <c r="BE489"/>
  <c r="BD489"/>
  <c r="BC489"/>
  <c r="BB489"/>
  <c r="BA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BK481"/>
  <c r="BJ481"/>
  <c r="BI481"/>
  <c r="BH481"/>
  <c r="BG481"/>
  <c r="BF481"/>
  <c r="BE481"/>
  <c r="BD481"/>
  <c r="BC481"/>
  <c r="BB481"/>
  <c r="BA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BK451"/>
  <c r="BJ451"/>
  <c r="BI451"/>
  <c r="BH451"/>
  <c r="BG451"/>
  <c r="BF451"/>
  <c r="BE451"/>
  <c r="BD451"/>
  <c r="BC451"/>
  <c r="BB451"/>
  <c r="BA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BK443"/>
  <c r="BJ443"/>
  <c r="BI443"/>
  <c r="BH443"/>
  <c r="BG443"/>
  <c r="BF443"/>
  <c r="BE443"/>
  <c r="BD443"/>
  <c r="BC443"/>
  <c r="BB443"/>
  <c r="BA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Z441"/>
  <c r="AX441"/>
  <c r="AW441"/>
  <c r="AV441"/>
  <c r="AC441"/>
  <c r="H441"/>
  <c r="G441"/>
  <c r="BT440"/>
  <c r="BS440"/>
  <c r="BR440"/>
  <c r="BQ440"/>
  <c r="BP440"/>
  <c r="BO440"/>
  <c r="BN440"/>
  <c r="BM440"/>
  <c r="BL440"/>
  <c r="BK440"/>
  <c r="BJ440"/>
  <c r="BI440"/>
  <c r="BH440"/>
  <c r="BG440"/>
  <c r="BF440"/>
  <c r="BE440"/>
  <c r="BD440"/>
  <c r="BC440"/>
  <c r="BB440"/>
  <c r="BA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BK435"/>
  <c r="BJ435"/>
  <c r="BI435"/>
  <c r="BH435"/>
  <c r="BG435"/>
  <c r="BF435"/>
  <c r="BE435"/>
  <c r="BD435"/>
  <c r="BC435"/>
  <c r="BB435"/>
  <c r="BA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Z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Z428"/>
  <c r="AX428"/>
  <c r="AW428"/>
  <c r="AV428"/>
  <c r="AC428"/>
  <c r="H428"/>
  <c r="G428"/>
  <c r="BT427"/>
  <c r="BS427"/>
  <c r="BR427"/>
  <c r="BQ427"/>
  <c r="BP427"/>
  <c r="BO427"/>
  <c r="BN427"/>
  <c r="BM427"/>
  <c r="BL427"/>
  <c r="BK427"/>
  <c r="BJ427"/>
  <c r="BI427"/>
  <c r="BH427"/>
  <c r="BG427"/>
  <c r="BF427"/>
  <c r="BE427"/>
  <c r="BD427"/>
  <c r="BC427"/>
  <c r="BB427"/>
  <c r="BA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Z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B61" i="72" s="1"/>
  <c r="L20" i="4"/>
  <c r="A5" i="62"/>
  <c r="B72" i="72" s="1"/>
  <c r="A4" i="62"/>
  <c r="B70" i="72" s="1"/>
  <c r="F33" i="9"/>
  <c r="B37" i="48"/>
  <c r="B2" i="72" s="1"/>
  <c r="B13" i="53"/>
  <c r="B29" i="72" s="1"/>
  <c r="R35" i="4"/>
  <c r="Q35"/>
  <c r="P35"/>
  <c r="O35"/>
  <c r="N35"/>
  <c r="M35"/>
  <c r="L35"/>
  <c r="K34"/>
  <c r="T34" s="1"/>
  <c r="G13" i="1"/>
  <c r="G1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L15"/>
  <c r="BN16"/>
  <c r="BN17"/>
  <c r="BP13"/>
  <c r="BP14"/>
  <c r="BP15"/>
  <c r="BP16"/>
  <c r="BP17"/>
  <c r="E20" i="6"/>
  <c r="E21"/>
  <c r="K8" i="1" s="1"/>
  <c r="M8" s="1"/>
  <c r="F23" i="15"/>
  <c r="D24" s="1"/>
  <c r="O8" i="1"/>
  <c r="P8" s="1"/>
  <c r="M12"/>
  <c r="O12" s="1"/>
  <c r="P12" s="1"/>
  <c r="E22" i="6"/>
  <c r="E23"/>
  <c r="E24"/>
  <c r="E25"/>
  <c r="E26"/>
  <c r="BB13" i="3"/>
  <c r="BC13"/>
  <c r="BD13"/>
  <c r="BE13"/>
  <c r="BF13"/>
  <c r="BG13"/>
  <c r="BH13"/>
  <c r="BI13"/>
  <c r="BJ13"/>
  <c r="BK13"/>
  <c r="BB14"/>
  <c r="BC14"/>
  <c r="BD14"/>
  <c r="BE14"/>
  <c r="BF14"/>
  <c r="BG14"/>
  <c r="BH14"/>
  <c r="BI14"/>
  <c r="BJ14"/>
  <c r="BK14"/>
  <c r="BB15"/>
  <c r="BA15" s="1"/>
  <c r="AZ15" s="1"/>
  <c r="BC15"/>
  <c r="BD15"/>
  <c r="BE15"/>
  <c r="BF15"/>
  <c r="BG15"/>
  <c r="BH15"/>
  <c r="BI15"/>
  <c r="BJ15"/>
  <c r="BK15"/>
  <c r="BB16"/>
  <c r="BA16" s="1"/>
  <c r="AZ16" s="1"/>
  <c r="BC16"/>
  <c r="BD16"/>
  <c r="BE16"/>
  <c r="BF16"/>
  <c r="BG16"/>
  <c r="BH16"/>
  <c r="BI16"/>
  <c r="BJ16"/>
  <c r="BK16"/>
  <c r="BB17"/>
  <c r="BC17"/>
  <c r="BD17"/>
  <c r="BE17"/>
  <c r="BF17"/>
  <c r="BG17"/>
  <c r="BH17"/>
  <c r="BI17"/>
  <c r="BJ17"/>
  <c r="BK17"/>
  <c r="BC10"/>
  <c r="BD10"/>
  <c r="BB10"/>
  <c r="BL16"/>
  <c r="H13"/>
  <c r="AC13"/>
  <c r="H14"/>
  <c r="AC14"/>
  <c r="H15"/>
  <c r="AC15"/>
  <c r="H16"/>
  <c r="G16" s="1"/>
  <c r="AC16"/>
  <c r="H17"/>
  <c r="G17" s="1"/>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D30" s="1"/>
  <c r="C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L548"/>
  <c r="BO548"/>
  <c r="BP548"/>
  <c r="BQ548"/>
  <c r="BR548"/>
  <c r="BS548"/>
  <c r="BT548"/>
  <c r="H549"/>
  <c r="AC549"/>
  <c r="BB549"/>
  <c r="BC549"/>
  <c r="BD549"/>
  <c r="BE549"/>
  <c r="BF549"/>
  <c r="BG549"/>
  <c r="BH549"/>
  <c r="BI549"/>
  <c r="BJ549"/>
  <c r="BK549"/>
  <c r="BM549"/>
  <c r="BN549"/>
  <c r="BO549"/>
  <c r="BP549"/>
  <c r="BR549"/>
  <c r="BS549"/>
  <c r="BT549"/>
  <c r="H550"/>
  <c r="AC550"/>
  <c r="BB550"/>
  <c r="BC550"/>
  <c r="BD550"/>
  <c r="BA550"/>
  <c r="BE550"/>
  <c r="BF550"/>
  <c r="BG550"/>
  <c r="BH550"/>
  <c r="BI550"/>
  <c r="BJ550"/>
  <c r="BK550"/>
  <c r="BM550"/>
  <c r="BL550"/>
  <c r="BN550"/>
  <c r="BO550"/>
  <c r="BP550"/>
  <c r="BQ550"/>
  <c r="BR550"/>
  <c r="BS550"/>
  <c r="BT550"/>
  <c r="H551"/>
  <c r="G551"/>
  <c r="AC551"/>
  <c r="BB551"/>
  <c r="BA551"/>
  <c r="BC551"/>
  <c r="BD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B118"/>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c r="J40"/>
  <c r="W40" s="1"/>
  <c r="H40"/>
  <c r="AB40" s="1"/>
  <c r="F40"/>
  <c r="AA40" s="1"/>
  <c r="Q39"/>
  <c r="Z39"/>
  <c r="J39"/>
  <c r="AC39" s="1"/>
  <c r="H39"/>
  <c r="U39" s="1"/>
  <c r="F39"/>
  <c r="AA39" s="1"/>
  <c r="Q38"/>
  <c r="Z38"/>
  <c r="J38"/>
  <c r="AC38" s="1"/>
  <c r="H38"/>
  <c r="AB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F34"/>
  <c r="AA34" s="1"/>
  <c r="D107"/>
  <c r="E107" s="1"/>
  <c r="D105"/>
  <c r="E105" s="1"/>
  <c r="F105" s="1"/>
  <c r="G105" s="1"/>
  <c r="H105" s="1"/>
  <c r="I105" s="1"/>
  <c r="J105" s="1"/>
  <c r="K105" s="1"/>
  <c r="L105" s="1"/>
  <c r="M105" s="1"/>
  <c r="D101"/>
  <c r="D99"/>
  <c r="E99" s="1"/>
  <c r="F99" s="1"/>
  <c r="G99" s="1"/>
  <c r="Q39"/>
  <c r="Z39"/>
  <c r="Q40"/>
  <c r="Z40"/>
  <c r="Q41"/>
  <c r="Z41"/>
  <c r="Q42"/>
  <c r="Z42"/>
  <c r="Q43"/>
  <c r="Z43"/>
  <c r="Q44"/>
  <c r="Z44"/>
  <c r="Q45"/>
  <c r="Z45"/>
  <c r="Q38"/>
  <c r="Z38"/>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H35"/>
  <c r="AB35" s="1"/>
  <c r="B104"/>
  <c r="D97"/>
  <c r="D95"/>
  <c r="E95" s="1"/>
  <c r="F95" s="1"/>
  <c r="D93"/>
  <c r="E93" s="1"/>
  <c r="F93" s="1"/>
  <c r="G93" s="1"/>
  <c r="D91"/>
  <c r="E91" s="1"/>
  <c r="F91" s="1"/>
  <c r="G91" s="1"/>
  <c r="D89"/>
  <c r="E89"/>
  <c r="B86"/>
  <c r="B84"/>
  <c r="B82"/>
  <c r="J12"/>
  <c r="AC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c r="Q17"/>
  <c r="Z17"/>
  <c r="Q15"/>
  <c r="Z15" s="1"/>
  <c r="Q14"/>
  <c r="Z14" s="1"/>
  <c r="Q13"/>
  <c r="Z13" s="1"/>
  <c r="Q12"/>
  <c r="Z12" s="1"/>
  <c r="H12"/>
  <c r="AB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c r="Q33"/>
  <c r="Z33"/>
  <c r="Q32"/>
  <c r="Z32"/>
  <c r="Q31"/>
  <c r="Z31"/>
  <c r="J31"/>
  <c r="AC31" s="1"/>
  <c r="Q30"/>
  <c r="Z30" s="1"/>
  <c r="J30"/>
  <c r="AC30" s="1"/>
  <c r="H30"/>
  <c r="AB30" s="1"/>
  <c r="F30"/>
  <c r="AA30" s="1"/>
  <c r="Q29"/>
  <c r="Z29"/>
  <c r="H29"/>
  <c r="AB29" s="1"/>
  <c r="Q28"/>
  <c r="Z28"/>
  <c r="Q27"/>
  <c r="Z27"/>
  <c r="Q26"/>
  <c r="Z26"/>
  <c r="J26"/>
  <c r="AC26" s="1"/>
  <c r="H26"/>
  <c r="AB26" s="1"/>
  <c r="F26"/>
  <c r="AA26" s="1"/>
  <c r="Q25"/>
  <c r="Z25"/>
  <c r="J25"/>
  <c r="AC25" s="1"/>
  <c r="F25"/>
  <c r="AA25" s="1"/>
  <c r="Q23"/>
  <c r="Z23"/>
  <c r="Q19"/>
  <c r="Z19" s="1"/>
  <c r="Q17"/>
  <c r="Z17"/>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c r="B91"/>
  <c r="F32"/>
  <c r="AA32" s="1"/>
  <c r="B95"/>
  <c r="H34"/>
  <c r="D83"/>
  <c r="E83"/>
  <c r="D78"/>
  <c r="E78"/>
  <c r="F78" s="1"/>
  <c r="G78" s="1"/>
  <c r="H78" s="1"/>
  <c r="I78" s="1"/>
  <c r="J78" s="1"/>
  <c r="K78" s="1"/>
  <c r="L78" s="1"/>
  <c r="M78" s="1"/>
  <c r="B75"/>
  <c r="B73"/>
  <c r="J24"/>
  <c r="AC24" s="1"/>
  <c r="B71"/>
  <c r="D70"/>
  <c r="H22"/>
  <c r="AB22" s="1"/>
  <c r="D68"/>
  <c r="E68"/>
  <c r="D64"/>
  <c r="E64"/>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c r="Q28"/>
  <c r="Z28"/>
  <c r="J28"/>
  <c r="AC28" s="1"/>
  <c r="Q27"/>
  <c r="Z27"/>
  <c r="Q26"/>
  <c r="Z26"/>
  <c r="H26"/>
  <c r="AB26" s="1"/>
  <c r="Q25"/>
  <c r="Z25"/>
  <c r="Q24"/>
  <c r="Z24"/>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c r="AB36" s="1"/>
  <c r="B99"/>
  <c r="B97"/>
  <c r="B77"/>
  <c r="B75"/>
  <c r="J24"/>
  <c r="AC24" s="1"/>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AC31"/>
  <c r="AB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8"/>
  <c r="W8" s="1"/>
  <c r="H8"/>
  <c r="AB8"/>
  <c r="F8"/>
  <c r="AA8" s="1"/>
  <c r="D120" i="34"/>
  <c r="E120"/>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c r="AC26" s="1"/>
  <c r="C23"/>
  <c r="C19"/>
  <c r="C17"/>
  <c r="C15"/>
  <c r="C15" i="21"/>
  <c r="D125" i="33"/>
  <c r="D123"/>
  <c r="D117"/>
  <c r="E117"/>
  <c r="F117" s="1"/>
  <c r="G117" s="1"/>
  <c r="D115"/>
  <c r="E115"/>
  <c r="F115" s="1"/>
  <c r="G115" s="1"/>
  <c r="H115" s="1"/>
  <c r="I115" s="1"/>
  <c r="J115" s="1"/>
  <c r="K115" s="1"/>
  <c r="L115" s="1"/>
  <c r="M115" s="1"/>
  <c r="D108"/>
  <c r="E108"/>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F54"/>
  <c r="P49"/>
  <c r="P48"/>
  <c r="V47"/>
  <c r="T47"/>
  <c r="R47"/>
  <c r="P47"/>
  <c r="Q46"/>
  <c r="Z46"/>
  <c r="Q45"/>
  <c r="Z45"/>
  <c r="Q44"/>
  <c r="Z44"/>
  <c r="Q43"/>
  <c r="Z43"/>
  <c r="Q42"/>
  <c r="Z42"/>
  <c r="J42"/>
  <c r="AC42" s="1"/>
  <c r="AC41"/>
  <c r="W41"/>
  <c r="Q41"/>
  <c r="Z41"/>
  <c r="Q40"/>
  <c r="Z40"/>
  <c r="J40"/>
  <c r="AC40" s="1"/>
  <c r="H40"/>
  <c r="AB40" s="1"/>
  <c r="AA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c r="F117" s="1"/>
  <c r="G117" s="1"/>
  <c r="D115"/>
  <c r="E115"/>
  <c r="F115" s="1"/>
  <c r="G115" s="1"/>
  <c r="H115" s="1"/>
  <c r="I115" s="1"/>
  <c r="J115" s="1"/>
  <c r="K115" s="1"/>
  <c r="L115" s="1"/>
  <c r="M115" s="1"/>
  <c r="D113"/>
  <c r="E113"/>
  <c r="F113" s="1"/>
  <c r="G113" s="1"/>
  <c r="D110"/>
  <c r="E110"/>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N585"/>
  <c r="BO585"/>
  <c r="BP585"/>
  <c r="BQ585"/>
  <c r="BL585"/>
  <c r="BR585"/>
  <c r="BS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W40"/>
  <c r="W25" i="37"/>
  <c r="U30"/>
  <c r="W31"/>
  <c r="E103"/>
  <c r="F103"/>
  <c r="F39"/>
  <c r="S39" s="1"/>
  <c r="U14"/>
  <c r="F29" i="36"/>
  <c r="AA29" s="1"/>
  <c r="W8"/>
  <c r="F16"/>
  <c r="AA16" s="1"/>
  <c r="U9"/>
  <c r="W28"/>
  <c r="S30"/>
  <c r="S32"/>
  <c r="AA31"/>
  <c r="AC31"/>
  <c r="W31"/>
  <c r="U31"/>
  <c r="J33"/>
  <c r="W33" s="1"/>
  <c r="H22" i="35"/>
  <c r="AB22" s="1"/>
  <c r="AC27"/>
  <c r="W28"/>
  <c r="U31"/>
  <c r="S34"/>
  <c r="W34"/>
  <c r="W36"/>
  <c r="W22"/>
  <c r="S31"/>
  <c r="U34"/>
  <c r="F36" i="34"/>
  <c r="J35"/>
  <c r="W9"/>
  <c r="S34"/>
  <c r="U34"/>
  <c r="H39" i="33"/>
  <c r="AB39" s="1"/>
  <c r="F26"/>
  <c r="AA26" s="1"/>
  <c r="S9"/>
  <c r="U33"/>
  <c r="U35"/>
  <c r="S40"/>
  <c r="W33"/>
  <c r="W39"/>
  <c r="H39" i="37"/>
  <c r="AB39" s="1"/>
  <c r="S27" i="35"/>
  <c r="F11" i="40"/>
  <c r="AA11" s="1"/>
  <c r="H11"/>
  <c r="AB11" s="1"/>
  <c r="W8"/>
  <c r="AB39"/>
  <c r="AC40"/>
  <c r="AA9"/>
  <c r="AC9"/>
  <c r="U9"/>
  <c r="S34"/>
  <c r="U38"/>
  <c r="S40"/>
  <c r="W31"/>
  <c r="U34"/>
  <c r="S38"/>
  <c r="S39"/>
  <c r="W39"/>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c r="H42" i="39"/>
  <c r="AB42" s="1"/>
  <c r="J34"/>
  <c r="AC34" s="1"/>
  <c r="F109"/>
  <c r="G109"/>
  <c r="H109" s="1"/>
  <c r="I109" s="1"/>
  <c r="J109" s="1"/>
  <c r="K109" s="1"/>
  <c r="L109" s="1"/>
  <c r="M109" s="1"/>
  <c r="J31"/>
  <c r="F101"/>
  <c r="H27"/>
  <c r="U27" s="1"/>
  <c r="J19"/>
  <c r="AC19" s="1"/>
  <c r="J17"/>
  <c r="J27"/>
  <c r="AC27" s="1"/>
  <c r="F27"/>
  <c r="F11" i="21"/>
  <c r="S11" s="1"/>
  <c r="S40"/>
  <c r="U34"/>
  <c r="S34"/>
  <c r="C25" i="39"/>
  <c r="C27"/>
  <c r="C21"/>
  <c r="C15"/>
  <c r="H32" i="33"/>
  <c r="AB32" s="1"/>
  <c r="H11" i="21"/>
  <c r="U11" s="1"/>
  <c r="J11"/>
  <c r="W11" s="1"/>
  <c r="H37" i="40"/>
  <c r="U37" s="1"/>
  <c r="H36"/>
  <c r="AB36" s="1"/>
  <c r="F35"/>
  <c r="AA35" s="1"/>
  <c r="H23"/>
  <c r="AB23" s="1"/>
  <c r="H17"/>
  <c r="U17" s="1"/>
  <c r="J15"/>
  <c r="W15" s="1"/>
  <c r="J11"/>
  <c r="W11" s="1"/>
  <c r="AB8" i="39"/>
  <c r="AC12" i="33"/>
  <c r="AB12"/>
  <c r="AA12"/>
  <c r="AC12" i="34"/>
  <c r="AA12"/>
  <c r="AB12" i="35"/>
  <c r="AB12" i="36"/>
  <c r="W32" i="40"/>
  <c r="S44" i="39"/>
  <c r="F37"/>
  <c r="AA37" s="1"/>
  <c r="J34" i="36"/>
  <c r="W34" s="1"/>
  <c r="U30"/>
  <c r="J30" i="35"/>
  <c r="W30" s="1"/>
  <c r="H30"/>
  <c r="AB30" s="1"/>
  <c r="F22"/>
  <c r="AA22" s="1"/>
  <c r="H10"/>
  <c r="U10" s="1"/>
  <c r="AC16" i="36"/>
  <c r="AB33"/>
  <c r="U33"/>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F120" i="34"/>
  <c r="G120" s="1"/>
  <c r="H120" s="1"/>
  <c r="I120" s="1"/>
  <c r="J120" s="1"/>
  <c r="K120" s="1"/>
  <c r="L120" s="1"/>
  <c r="M120" s="1"/>
  <c r="U42"/>
  <c r="H40"/>
  <c r="U40" s="1"/>
  <c r="E114"/>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F11"/>
  <c r="AA11" s="1"/>
  <c r="S26"/>
  <c r="W26"/>
  <c r="U40"/>
  <c r="W40"/>
  <c r="U8"/>
  <c r="S8"/>
  <c r="F37" i="40"/>
  <c r="AA37" s="1"/>
  <c r="F36"/>
  <c r="AA36" s="1"/>
  <c r="H28"/>
  <c r="U28" s="1"/>
  <c r="F23"/>
  <c r="AA23" s="1"/>
  <c r="F17"/>
  <c r="AA17" s="1"/>
  <c r="J17"/>
  <c r="W17" s="1"/>
  <c r="F15"/>
  <c r="S15" s="1"/>
  <c r="H15"/>
  <c r="AB15" s="1"/>
  <c r="AC11"/>
  <c r="S12" i="36"/>
  <c r="AA12"/>
  <c r="AB30"/>
  <c r="AC34"/>
  <c r="U30" i="35"/>
  <c r="U33"/>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H11"/>
  <c r="AB11" s="1"/>
  <c r="F28" i="40"/>
  <c r="AA28" s="1"/>
  <c r="AA29" i="35"/>
  <c r="AA42" i="34"/>
  <c r="S42"/>
  <c r="AC38"/>
  <c r="AA38"/>
  <c r="J37"/>
  <c r="AC37" s="1"/>
  <c r="J11" i="33"/>
  <c r="W11" s="1"/>
  <c r="S28" i="34"/>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83"/>
  <c r="G83" s="1"/>
  <c r="H83" s="1"/>
  <c r="I83" s="1"/>
  <c r="J83" s="1"/>
  <c r="K83" s="1"/>
  <c r="L83" s="1"/>
  <c r="M83"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W28" i="37"/>
  <c r="AA13" i="35"/>
  <c r="AA47" i="34"/>
  <c r="U31"/>
  <c r="AC13"/>
  <c r="U46" i="33"/>
  <c r="U30"/>
  <c r="AA14"/>
  <c r="J36" i="37"/>
  <c r="AC36" s="1"/>
  <c r="G105"/>
  <c r="AB11" i="36"/>
  <c r="AB11" i="35"/>
  <c r="J10" i="36"/>
  <c r="AC10" s="1"/>
  <c r="AB26" i="33"/>
  <c r="AB30" i="21"/>
  <c r="AA14" i="37"/>
  <c r="W31" i="34"/>
  <c r="AC13" i="36"/>
  <c r="W13"/>
  <c r="S11"/>
  <c r="W11"/>
  <c r="W11" i="35"/>
  <c r="AB46" i="34"/>
  <c r="AC30"/>
  <c r="AA14"/>
  <c r="S45" i="33"/>
  <c r="AB45"/>
  <c r="AB31"/>
  <c r="U31"/>
  <c r="W29"/>
  <c r="U13"/>
  <c r="AC28" i="21"/>
  <c r="S44" i="34"/>
  <c r="BA586" i="3"/>
  <c r="AZ586"/>
  <c r="BA585"/>
  <c r="F17" i="21"/>
  <c r="AA17" s="1"/>
  <c r="H17"/>
  <c r="AB17" s="1"/>
  <c r="F15"/>
  <c r="S15" s="1"/>
  <c r="AB11"/>
  <c r="J41" i="39"/>
  <c r="W41" s="1"/>
  <c r="AC45"/>
  <c r="W44"/>
  <c r="W36"/>
  <c r="W35"/>
  <c r="U36"/>
  <c r="S35"/>
  <c r="AZ585" i="3"/>
  <c r="G544"/>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AZ582"/>
  <c r="BL578"/>
  <c r="BL574"/>
  <c r="BL570"/>
  <c r="BL566"/>
  <c r="BL562"/>
  <c r="BL556"/>
  <c r="BL552"/>
  <c r="BL544"/>
  <c r="BL540"/>
  <c r="BL536"/>
  <c r="G533"/>
  <c r="BL532"/>
  <c r="G529"/>
  <c r="BL528"/>
  <c r="G525"/>
  <c r="BL524"/>
  <c r="AZ524"/>
  <c r="BL518"/>
  <c r="BL514"/>
  <c r="BL510"/>
  <c r="BL504"/>
  <c r="BL500"/>
  <c r="BL496"/>
  <c r="G493"/>
  <c r="BA584"/>
  <c r="BA582"/>
  <c r="BA580"/>
  <c r="AZ580"/>
  <c r="BA578"/>
  <c r="AZ578"/>
  <c r="BA576"/>
  <c r="AZ576"/>
  <c r="BA574"/>
  <c r="AZ574"/>
  <c r="BA572"/>
  <c r="AZ572"/>
  <c r="BA570"/>
  <c r="AZ570"/>
  <c r="BA568"/>
  <c r="AZ568"/>
  <c r="BA566"/>
  <c r="AZ566"/>
  <c r="BA564"/>
  <c r="AZ564"/>
  <c r="BA562"/>
  <c r="AZ562"/>
  <c r="BA560"/>
  <c r="BA558"/>
  <c r="AZ558"/>
  <c r="BA556"/>
  <c r="AZ556"/>
  <c r="BA554"/>
  <c r="AZ554"/>
  <c r="BA552"/>
  <c r="AZ552"/>
  <c r="BA548"/>
  <c r="BA546"/>
  <c r="BA544"/>
  <c r="AZ544"/>
  <c r="BA542"/>
  <c r="AZ542"/>
  <c r="BA540"/>
  <c r="AZ540"/>
  <c r="BA538"/>
  <c r="AZ538"/>
  <c r="BA536"/>
  <c r="AZ536"/>
  <c r="BA534"/>
  <c r="AZ534"/>
  <c r="BA532"/>
  <c r="AZ532"/>
  <c r="BA530"/>
  <c r="BA528"/>
  <c r="AZ528"/>
  <c r="BA526"/>
  <c r="AZ526"/>
  <c r="BA524"/>
  <c r="BA522"/>
  <c r="BA520"/>
  <c r="BA518"/>
  <c r="AZ518"/>
  <c r="BA516"/>
  <c r="AZ516"/>
  <c r="BA514"/>
  <c r="BA512"/>
  <c r="AZ512"/>
  <c r="BA510"/>
  <c r="AZ510"/>
  <c r="BA508"/>
  <c r="BA506"/>
  <c r="BA504"/>
  <c r="AZ504"/>
  <c r="BA502"/>
  <c r="BA500"/>
  <c r="BA498"/>
  <c r="AZ498"/>
  <c r="BA496"/>
  <c r="BA494"/>
  <c r="BA587"/>
  <c r="AZ587"/>
  <c r="BA583"/>
  <c r="BA581"/>
  <c r="AZ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C557"/>
  <c r="G557"/>
  <c r="BQ557"/>
  <c r="BL557"/>
  <c r="AZ557"/>
  <c r="BQ583"/>
  <c r="BL583"/>
  <c r="AZ583"/>
  <c r="BQ581"/>
  <c r="BL581"/>
  <c r="BQ579"/>
  <c r="BL579"/>
  <c r="AZ579"/>
  <c r="BQ577"/>
  <c r="BL577"/>
  <c r="AZ577"/>
  <c r="BQ575"/>
  <c r="BL575"/>
  <c r="AZ575"/>
  <c r="BQ573"/>
  <c r="BL573"/>
  <c r="AZ573"/>
  <c r="BQ571"/>
  <c r="BL571"/>
  <c r="AZ571"/>
  <c r="BQ569"/>
  <c r="BL569"/>
  <c r="AZ569"/>
  <c r="BQ567"/>
  <c r="BL567"/>
  <c r="AZ567"/>
  <c r="BQ565"/>
  <c r="BL565"/>
  <c r="AZ565"/>
  <c r="BQ563"/>
  <c r="BL563"/>
  <c r="BQ561"/>
  <c r="BL561"/>
  <c r="AZ561"/>
  <c r="BQ559"/>
  <c r="BL559"/>
  <c r="AZ559"/>
  <c r="G559"/>
  <c r="G555"/>
  <c r="G553"/>
  <c r="G549"/>
  <c r="G547"/>
  <c r="G545"/>
  <c r="G543"/>
  <c r="G541"/>
  <c r="G539"/>
  <c r="G537"/>
  <c r="BQ555"/>
  <c r="BL555"/>
  <c r="AZ555"/>
  <c r="BQ553"/>
  <c r="BL553"/>
  <c r="BQ551"/>
  <c r="BL551"/>
  <c r="AZ551"/>
  <c r="BQ549"/>
  <c r="BQ547"/>
  <c r="BL547"/>
  <c r="BQ545"/>
  <c r="BL545"/>
  <c r="BQ543"/>
  <c r="BL543"/>
  <c r="BQ541"/>
  <c r="BL541"/>
  <c r="BQ539"/>
  <c r="BL539"/>
  <c r="BQ537"/>
  <c r="BL537"/>
  <c r="BQ535"/>
  <c r="BL535"/>
  <c r="BQ533"/>
  <c r="BL533"/>
  <c r="BQ531"/>
  <c r="BL531"/>
  <c r="BQ529"/>
  <c r="BL529"/>
  <c r="BQ527"/>
  <c r="BL527"/>
  <c r="BQ525"/>
  <c r="BL525"/>
  <c r="BQ523"/>
  <c r="BL523"/>
  <c r="BA521"/>
  <c r="AC521"/>
  <c r="G521"/>
  <c r="BQ521"/>
  <c r="BL521"/>
  <c r="AZ521"/>
  <c r="BL520"/>
  <c r="AZ520"/>
  <c r="G519"/>
  <c r="G517"/>
  <c r="G515"/>
  <c r="G513"/>
  <c r="G511"/>
  <c r="BQ519"/>
  <c r="BL519"/>
  <c r="AZ519"/>
  <c r="BQ517"/>
  <c r="BL517"/>
  <c r="AZ517"/>
  <c r="BQ515"/>
  <c r="BL515"/>
  <c r="AZ515"/>
  <c r="BQ513"/>
  <c r="BL513"/>
  <c r="AZ513"/>
  <c r="BQ511"/>
  <c r="BL511"/>
  <c r="AZ511"/>
  <c r="BA509"/>
  <c r="AC509"/>
  <c r="BQ509"/>
  <c r="BL509"/>
  <c r="BL508"/>
  <c r="AZ508"/>
  <c r="G507"/>
  <c r="G505"/>
  <c r="G503"/>
  <c r="G501"/>
  <c r="G499"/>
  <c r="G497"/>
  <c r="G495"/>
  <c r="BQ507"/>
  <c r="BL507"/>
  <c r="AZ507"/>
  <c r="BQ505"/>
  <c r="BL505"/>
  <c r="AZ505"/>
  <c r="BQ503"/>
  <c r="BL503"/>
  <c r="AZ503"/>
  <c r="BQ501"/>
  <c r="BL501"/>
  <c r="BQ499"/>
  <c r="BL499"/>
  <c r="BQ497"/>
  <c r="BL497"/>
  <c r="BQ495"/>
  <c r="BL495"/>
  <c r="AZ495"/>
  <c r="BQ493"/>
  <c r="AZ584"/>
  <c r="S505" i="31"/>
  <c r="S503"/>
  <c r="S501"/>
  <c r="S499"/>
  <c r="O27"/>
  <c r="O28"/>
  <c r="O26"/>
  <c r="M27"/>
  <c r="M28"/>
  <c r="M26"/>
  <c r="I26"/>
  <c r="I25"/>
  <c r="S25"/>
  <c r="Q26"/>
  <c r="K26"/>
  <c r="I27"/>
  <c r="Q27"/>
  <c r="K27"/>
  <c r="I28"/>
  <c r="Q28"/>
  <c r="K28"/>
  <c r="AC28" i="34"/>
  <c r="S21" i="40"/>
  <c r="AA12" i="21"/>
  <c r="H25"/>
  <c r="U25" s="1"/>
  <c r="F25"/>
  <c r="S25" s="1"/>
  <c r="J25"/>
  <c r="AC25" s="1"/>
  <c r="E125" i="33"/>
  <c r="F125"/>
  <c r="H43"/>
  <c r="AB43" s="1"/>
  <c r="H17" i="37"/>
  <c r="U17" s="1"/>
  <c r="AB27"/>
  <c r="U32" i="33"/>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G125"/>
  <c r="J43"/>
  <c r="AC43" s="1"/>
  <c r="U43"/>
  <c r="S28" i="31"/>
  <c r="S27"/>
  <c r="S26"/>
  <c r="U14" i="40"/>
  <c r="AC32" i="36"/>
  <c r="AC33"/>
  <c r="U35" i="35"/>
  <c r="AA12"/>
  <c r="W23"/>
  <c r="W14" i="37"/>
  <c r="AB28"/>
  <c r="U33"/>
  <c r="U39"/>
  <c r="W26"/>
  <c r="AC8"/>
  <c r="U26"/>
  <c r="W47" i="34"/>
  <c r="AB13"/>
  <c r="W37"/>
  <c r="AB37"/>
  <c r="AC36"/>
  <c r="AA13" i="33"/>
  <c r="AC31"/>
  <c r="AC45"/>
  <c r="W44"/>
  <c r="U11"/>
  <c r="U19" i="21"/>
  <c r="W44"/>
  <c r="U26"/>
  <c r="AC46"/>
  <c r="U12"/>
  <c r="AB38"/>
  <c r="F43" i="33"/>
  <c r="AA43" s="1"/>
  <c r="W15" i="34"/>
  <c r="AC15"/>
  <c r="W16" i="35"/>
  <c r="W40" i="37"/>
  <c r="G107"/>
  <c r="H107" s="1"/>
  <c r="I107" s="1"/>
  <c r="J107" s="1"/>
  <c r="K107" s="1"/>
  <c r="L107" s="1"/>
  <c r="M107" s="1"/>
  <c r="H113" i="21"/>
  <c r="H37"/>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c r="J15"/>
  <c r="W15" s="1"/>
  <c r="U12"/>
  <c r="AT6" i="3"/>
  <c r="AA25" i="21"/>
  <c r="C12" i="43"/>
  <c r="H19" i="40"/>
  <c r="U19" s="1"/>
  <c r="F88"/>
  <c r="G88" s="1"/>
  <c r="F19"/>
  <c r="S19" s="1"/>
  <c r="S14"/>
  <c r="AC13"/>
  <c r="AB33"/>
  <c r="AC43" i="39"/>
  <c r="W43"/>
  <c r="U45"/>
  <c r="AB45"/>
  <c r="AB44"/>
  <c r="U44"/>
  <c r="G101"/>
  <c r="H37"/>
  <c r="AB37" s="1"/>
  <c r="AC37"/>
  <c r="W37"/>
  <c r="H25"/>
  <c r="AB25" s="1"/>
  <c r="J25"/>
  <c r="F25"/>
  <c r="AA25" s="1"/>
  <c r="F15"/>
  <c r="AA15" s="1"/>
  <c r="H15"/>
  <c r="U15" s="1"/>
  <c r="J15"/>
  <c r="W15" s="1"/>
  <c r="F89"/>
  <c r="G89" s="1"/>
  <c r="H41"/>
  <c r="W12"/>
  <c r="W27"/>
  <c r="AB34"/>
  <c r="S42"/>
  <c r="W14"/>
  <c r="W8"/>
  <c r="J19" i="40"/>
  <c r="AC19" s="1"/>
  <c r="J50"/>
  <c r="B54" i="72"/>
  <c r="H103" i="9"/>
  <c r="D8" i="53" s="1"/>
  <c r="B16"/>
  <c r="B33" i="72" s="1"/>
  <c r="C7" i="37"/>
  <c r="C7" i="34"/>
  <c r="C7" i="36"/>
  <c r="W35" i="40"/>
  <c r="A118" i="9"/>
  <c r="A4" i="52"/>
  <c r="B41" i="72" s="1"/>
  <c r="A12" i="52"/>
  <c r="B56" i="72" s="1"/>
  <c r="G4" i="4"/>
  <c r="I4"/>
  <c r="K5"/>
  <c r="B47" i="48" s="1"/>
  <c r="A2" i="9"/>
  <c r="N2" i="43"/>
  <c r="AZ550" i="3"/>
  <c r="AZ24"/>
  <c r="AZ28"/>
  <c r="AZ32"/>
  <c r="AZ497"/>
  <c r="AZ525"/>
  <c r="AZ529"/>
  <c r="AZ537"/>
  <c r="BL549"/>
  <c r="AZ494"/>
  <c r="AZ502"/>
  <c r="AZ514"/>
  <c r="AZ522"/>
  <c r="AZ530"/>
  <c r="AZ546"/>
  <c r="G546"/>
  <c r="G524"/>
  <c r="G303"/>
  <c r="BL304"/>
  <c r="G305"/>
  <c r="BL306"/>
  <c r="BA308"/>
  <c r="AZ308"/>
  <c r="BA309"/>
  <c r="BL309"/>
  <c r="G310"/>
  <c r="BA311"/>
  <c r="G319"/>
  <c r="BL320"/>
  <c r="G321"/>
  <c r="BL322"/>
  <c r="BA324"/>
  <c r="AZ324"/>
  <c r="BA325"/>
  <c r="BL325"/>
  <c r="G326"/>
  <c r="BA327"/>
  <c r="G335"/>
  <c r="BL336"/>
  <c r="G337"/>
  <c r="BL338"/>
  <c r="BA340"/>
  <c r="AZ340"/>
  <c r="BA341"/>
  <c r="BL341"/>
  <c r="BA343"/>
  <c r="BA345"/>
  <c r="BL355"/>
  <c r="G356"/>
  <c r="BL357"/>
  <c r="BA359"/>
  <c r="AZ359"/>
  <c r="BA360"/>
  <c r="BL360"/>
  <c r="G361"/>
  <c r="BA362"/>
  <c r="AZ362"/>
  <c r="G370"/>
  <c r="BL371"/>
  <c r="G372"/>
  <c r="BL373"/>
  <c r="BA375"/>
  <c r="AZ375"/>
  <c r="BA376"/>
  <c r="BL376"/>
  <c r="G377"/>
  <c r="BA378"/>
  <c r="AZ378"/>
  <c r="BL378"/>
  <c r="G379"/>
  <c r="BA380"/>
  <c r="G388"/>
  <c r="BL389"/>
  <c r="G390"/>
  <c r="BL391"/>
  <c r="BA393"/>
  <c r="AZ393"/>
  <c r="BA394"/>
  <c r="BL394"/>
  <c r="G113"/>
  <c r="BA115"/>
  <c r="AZ115" s="1"/>
  <c r="BL116"/>
  <c r="G117"/>
  <c r="BA119"/>
  <c r="AZ119" s="1"/>
  <c r="BL120"/>
  <c r="G121"/>
  <c r="BA123"/>
  <c r="AZ123" s="1"/>
  <c r="BL124"/>
  <c r="AZ124" s="1"/>
  <c r="G125"/>
  <c r="BA127"/>
  <c r="AZ127" s="1"/>
  <c r="BL128"/>
  <c r="G129"/>
  <c r="BA131"/>
  <c r="AZ131" s="1"/>
  <c r="BL132"/>
  <c r="G133"/>
  <c r="BA135"/>
  <c r="AZ135"/>
  <c r="BL136"/>
  <c r="G137"/>
  <c r="BA139"/>
  <c r="AZ139"/>
  <c r="BL140"/>
  <c r="AZ140"/>
  <c r="G141"/>
  <c r="BA143"/>
  <c r="AZ143"/>
  <c r="BL144"/>
  <c r="G145"/>
  <c r="BA147"/>
  <c r="AZ147"/>
  <c r="BL148"/>
  <c r="AZ148"/>
  <c r="G149"/>
  <c r="BA151"/>
  <c r="AZ151"/>
  <c r="BL152"/>
  <c r="G153"/>
  <c r="BA155"/>
  <c r="AZ155"/>
  <c r="BL156"/>
  <c r="AZ156"/>
  <c r="G157"/>
  <c r="BA159"/>
  <c r="AZ159"/>
  <c r="BL160"/>
  <c r="G161"/>
  <c r="BA163"/>
  <c r="AZ163"/>
  <c r="BL164"/>
  <c r="AZ164"/>
  <c r="G165"/>
  <c r="BA167"/>
  <c r="AZ167"/>
  <c r="BL168"/>
  <c r="G169"/>
  <c r="BA171"/>
  <c r="AZ171"/>
  <c r="BL172"/>
  <c r="AZ172"/>
  <c r="G173"/>
  <c r="BA175"/>
  <c r="AZ175"/>
  <c r="BL176"/>
  <c r="G177"/>
  <c r="BA179"/>
  <c r="AZ179"/>
  <c r="BL180"/>
  <c r="AZ180"/>
  <c r="G181"/>
  <c r="BA183"/>
  <c r="AZ183"/>
  <c r="BL184"/>
  <c r="G185"/>
  <c r="BA187"/>
  <c r="AZ187"/>
  <c r="BL188"/>
  <c r="AZ188"/>
  <c r="G189"/>
  <c r="BA191"/>
  <c r="AZ191"/>
  <c r="BL192"/>
  <c r="G193"/>
  <c r="BA195"/>
  <c r="AZ195"/>
  <c r="BL196"/>
  <c r="AZ196"/>
  <c r="G197"/>
  <c r="BA199"/>
  <c r="AZ199"/>
  <c r="BL200"/>
  <c r="G201"/>
  <c r="BA203"/>
  <c r="AZ203"/>
  <c r="BL204"/>
  <c r="AZ204"/>
  <c r="AZ51"/>
  <c r="AZ55"/>
  <c r="AZ63"/>
  <c r="AZ75"/>
  <c r="AZ79"/>
  <c r="AZ83"/>
  <c r="AZ136"/>
  <c r="AZ144"/>
  <c r="AZ152"/>
  <c r="AZ160"/>
  <c r="AZ168"/>
  <c r="AZ176"/>
  <c r="AZ184"/>
  <c r="AZ192"/>
  <c r="AZ200"/>
  <c r="AZ97"/>
  <c r="AZ101"/>
  <c r="AZ527"/>
  <c r="AZ539"/>
  <c r="G534"/>
  <c r="G530"/>
  <c r="G522"/>
  <c r="G516"/>
  <c r="G512"/>
  <c r="G506"/>
  <c r="G498"/>
  <c r="G494"/>
  <c r="G15"/>
  <c r="BA304"/>
  <c r="AZ304"/>
  <c r="BA305"/>
  <c r="BL305"/>
  <c r="G306"/>
  <c r="G309"/>
  <c r="BL310"/>
  <c r="BA312"/>
  <c r="AZ312"/>
  <c r="BA313"/>
  <c r="BL313"/>
  <c r="G314"/>
  <c r="G317"/>
  <c r="BL318"/>
  <c r="BA320"/>
  <c r="AZ320"/>
  <c r="BA321"/>
  <c r="BL321"/>
  <c r="G322"/>
  <c r="G325"/>
  <c r="BL326"/>
  <c r="BA328"/>
  <c r="AZ328"/>
  <c r="BA329"/>
  <c r="BL329"/>
  <c r="G330"/>
  <c r="G333"/>
  <c r="BL334"/>
  <c r="BA336"/>
  <c r="AZ336"/>
  <c r="BA337"/>
  <c r="BL337"/>
  <c r="G338"/>
  <c r="G341"/>
  <c r="BA342"/>
  <c r="BL342"/>
  <c r="AZ342"/>
  <c r="BA344"/>
  <c r="BL344"/>
  <c r="AZ344"/>
  <c r="BA346"/>
  <c r="AZ346"/>
  <c r="BA347"/>
  <c r="BL347"/>
  <c r="G350"/>
  <c r="BA351"/>
  <c r="AZ351"/>
  <c r="BL351"/>
  <c r="G352"/>
  <c r="G354"/>
  <c r="BA355"/>
  <c r="AZ355"/>
  <c r="BA356"/>
  <c r="BL356"/>
  <c r="G357"/>
  <c r="G360"/>
  <c r="BL361"/>
  <c r="BA363"/>
  <c r="AZ363"/>
  <c r="BA364"/>
  <c r="BL364"/>
  <c r="G365"/>
  <c r="G368"/>
  <c r="BL369"/>
  <c r="BA371"/>
  <c r="AZ371"/>
  <c r="BA372"/>
  <c r="AZ372"/>
  <c r="BL372"/>
  <c r="G373"/>
  <c r="G376"/>
  <c r="BL377"/>
  <c r="BL379"/>
  <c r="BA381"/>
  <c r="AZ381"/>
  <c r="BA382"/>
  <c r="BL382"/>
  <c r="G383"/>
  <c r="G386"/>
  <c r="BL387"/>
  <c r="BA389"/>
  <c r="AZ389"/>
  <c r="BA390"/>
  <c r="BL390"/>
  <c r="G391"/>
  <c r="G394"/>
  <c r="AZ138"/>
  <c r="AZ142"/>
  <c r="AZ146"/>
  <c r="AZ150"/>
  <c r="AZ154"/>
  <c r="AZ158"/>
  <c r="AZ162"/>
  <c r="AZ166"/>
  <c r="AZ170"/>
  <c r="AZ174"/>
  <c r="AZ178"/>
  <c r="AZ182"/>
  <c r="AZ186"/>
  <c r="AZ190"/>
  <c r="AZ194"/>
  <c r="AZ198"/>
  <c r="AZ202"/>
  <c r="AZ206"/>
  <c r="AZ523"/>
  <c r="AZ531"/>
  <c r="AZ543"/>
  <c r="AZ500"/>
  <c r="BL303"/>
  <c r="G304"/>
  <c r="BA306"/>
  <c r="AZ306"/>
  <c r="BL307"/>
  <c r="AZ307"/>
  <c r="G308"/>
  <c r="BA310"/>
  <c r="AZ310"/>
  <c r="BL311"/>
  <c r="G312"/>
  <c r="BA314"/>
  <c r="AZ314"/>
  <c r="BL315"/>
  <c r="AZ315"/>
  <c r="G316"/>
  <c r="BA318"/>
  <c r="AZ318"/>
  <c r="BL319"/>
  <c r="G320"/>
  <c r="BA322"/>
  <c r="AZ322"/>
  <c r="BL323"/>
  <c r="AZ323"/>
  <c r="G324"/>
  <c r="BA326"/>
  <c r="AZ326"/>
  <c r="BL327"/>
  <c r="G328"/>
  <c r="BA330"/>
  <c r="AZ330"/>
  <c r="BL331"/>
  <c r="AZ331"/>
  <c r="G332"/>
  <c r="BA334"/>
  <c r="AZ334"/>
  <c r="BL335"/>
  <c r="G336"/>
  <c r="BA338"/>
  <c r="AZ338"/>
  <c r="BL339"/>
  <c r="AZ339"/>
  <c r="G340"/>
  <c r="BL343"/>
  <c r="G344"/>
  <c r="G348"/>
  <c r="G355"/>
  <c r="AZ209"/>
  <c r="AZ214"/>
  <c r="AZ218"/>
  <c r="AZ222"/>
  <c r="AZ303"/>
  <c r="AZ311"/>
  <c r="AZ319"/>
  <c r="AZ327"/>
  <c r="AZ335"/>
  <c r="G342"/>
  <c r="BL345"/>
  <c r="G346"/>
  <c r="AZ348"/>
  <c r="BL349"/>
  <c r="AZ349"/>
  <c r="BL352"/>
  <c r="G353"/>
  <c r="BA357"/>
  <c r="AZ357"/>
  <c r="BL358"/>
  <c r="AZ358"/>
  <c r="G359"/>
  <c r="BA361"/>
  <c r="AZ361"/>
  <c r="BL362"/>
  <c r="G363"/>
  <c r="BA365"/>
  <c r="AZ365"/>
  <c r="BL366"/>
  <c r="AZ366"/>
  <c r="G367"/>
  <c r="BA369"/>
  <c r="AZ369"/>
  <c r="BL370"/>
  <c r="G371"/>
  <c r="BA373"/>
  <c r="AZ373"/>
  <c r="BL374"/>
  <c r="AZ374"/>
  <c r="G375"/>
  <c r="BA377"/>
  <c r="AZ377"/>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AZ541"/>
  <c r="AZ545"/>
  <c r="BO5"/>
  <c r="BM5"/>
  <c r="BJ5"/>
  <c r="BH5"/>
  <c r="BF5"/>
  <c r="BD5"/>
  <c r="AZ305"/>
  <c r="AZ309"/>
  <c r="AZ313"/>
  <c r="AZ317"/>
  <c r="AZ321"/>
  <c r="AZ325"/>
  <c r="AZ329"/>
  <c r="AZ333"/>
  <c r="AZ337"/>
  <c r="AZ341"/>
  <c r="AZ345"/>
  <c r="BQ5"/>
  <c r="AC5"/>
  <c r="AZ533"/>
  <c r="AZ549"/>
  <c r="AZ535"/>
  <c r="AZ547"/>
  <c r="AZ506"/>
  <c r="AZ548"/>
  <c r="AZ496"/>
  <c r="G548"/>
  <c r="G538"/>
  <c r="G520"/>
  <c r="G502"/>
  <c r="BS5"/>
  <c r="BP5"/>
  <c r="AZ343"/>
  <c r="AZ347"/>
  <c r="BK5"/>
  <c r="BG5"/>
  <c r="BC5"/>
  <c r="BA17"/>
  <c r="AZ350"/>
  <c r="AZ352"/>
  <c r="AZ356"/>
  <c r="AZ360"/>
  <c r="AZ364"/>
  <c r="AZ368"/>
  <c r="AZ380"/>
  <c r="AZ384"/>
  <c r="AZ388"/>
  <c r="AZ392"/>
  <c r="AZ396"/>
  <c r="AZ394"/>
  <c r="AZ499"/>
  <c r="AZ509"/>
  <c r="G509"/>
  <c r="BL493"/>
  <c r="AZ398"/>
  <c r="AZ402"/>
  <c r="AZ406"/>
  <c r="AZ410"/>
  <c r="AZ414"/>
  <c r="AZ418"/>
  <c r="AZ422"/>
  <c r="AZ426"/>
  <c r="AZ430"/>
  <c r="AZ434"/>
  <c r="AZ438"/>
  <c r="AZ442"/>
  <c r="AZ446"/>
  <c r="AZ450"/>
  <c r="AZ454"/>
  <c r="AZ458"/>
  <c r="AZ462"/>
  <c r="AZ479"/>
  <c r="AZ483"/>
  <c r="AZ487"/>
  <c r="AZ491"/>
  <c r="AZ467"/>
  <c r="AZ471"/>
  <c r="AZ475"/>
  <c r="AZ477"/>
  <c r="AZ481"/>
  <c r="AZ489"/>
  <c r="AZ376"/>
  <c r="AZ390"/>
  <c r="AZ382"/>
  <c r="AZ493"/>
  <c r="U36" i="40"/>
  <c r="N4" i="43"/>
  <c r="F36"/>
  <c r="F81"/>
  <c r="H83" s="1"/>
  <c r="H113"/>
  <c r="N7"/>
  <c r="F70"/>
  <c r="H73" s="1"/>
  <c r="M6"/>
  <c r="M11"/>
  <c r="E17"/>
  <c r="I17"/>
  <c r="F35"/>
  <c r="F6" i="1"/>
  <c r="I20" i="43" s="1"/>
  <c r="U17" i="39"/>
  <c r="S14" i="35"/>
  <c r="U43" i="21"/>
  <c r="U35"/>
  <c r="AC35"/>
  <c r="U10"/>
  <c r="G8" i="1"/>
  <c r="O6"/>
  <c r="P6" s="1"/>
  <c r="G9"/>
  <c r="G10"/>
  <c r="F48" i="9"/>
  <c r="O52" s="1"/>
  <c r="AZ553" i="3"/>
  <c r="AZ563"/>
  <c r="AZ501"/>
  <c r="W37" i="37"/>
  <c r="W44" i="34"/>
  <c r="AC44"/>
  <c r="S15" i="37"/>
  <c r="U13"/>
  <c r="U12" i="40"/>
  <c r="AA12"/>
  <c r="J37" i="33"/>
  <c r="W37" s="1"/>
  <c r="AC17" i="34"/>
  <c r="F106" i="33"/>
  <c r="G106" s="1"/>
  <c r="H106" s="1"/>
  <c r="I106" s="1"/>
  <c r="J106" s="1"/>
  <c r="K106" s="1"/>
  <c r="L106" s="1"/>
  <c r="M106" s="1"/>
  <c r="J34"/>
  <c r="W34" s="1"/>
  <c r="AC27" i="34"/>
  <c r="W27"/>
  <c r="F33"/>
  <c r="S33" s="1"/>
  <c r="W12" i="36"/>
  <c r="AC12"/>
  <c r="H20"/>
  <c r="U20" s="1"/>
  <c r="J20"/>
  <c r="W20" s="1"/>
  <c r="F68"/>
  <c r="W24"/>
  <c r="AB34"/>
  <c r="U34"/>
  <c r="J27"/>
  <c r="W27" s="1"/>
  <c r="AB25" i="37"/>
  <c r="AC33" i="40"/>
  <c r="F111"/>
  <c r="G111"/>
  <c r="H111" s="1"/>
  <c r="I111" s="1"/>
  <c r="J111" s="1"/>
  <c r="K111" s="1"/>
  <c r="L111" s="1"/>
  <c r="M111" s="1"/>
  <c r="H35"/>
  <c r="AB35" s="1"/>
  <c r="AC29" i="35"/>
  <c r="W29"/>
  <c r="G103" i="37"/>
  <c r="H103" s="1"/>
  <c r="I103" s="1"/>
  <c r="J103" s="1"/>
  <c r="K103" s="1"/>
  <c r="L103" s="1"/>
  <c r="M103" s="1"/>
  <c r="H35"/>
  <c r="U35" s="1"/>
  <c r="AC14" i="35"/>
  <c r="H20"/>
  <c r="U20" s="1"/>
  <c r="F20"/>
  <c r="AA20" s="1"/>
  <c r="AB23"/>
  <c r="AB29" i="36"/>
  <c r="U29"/>
  <c r="H32" i="37"/>
  <c r="AB32" s="1"/>
  <c r="F96"/>
  <c r="H27" i="40"/>
  <c r="U27" s="1"/>
  <c r="F96"/>
  <c r="G96" s="1"/>
  <c r="H96" s="1"/>
  <c r="I96" s="1"/>
  <c r="J96" s="1"/>
  <c r="K96" s="1"/>
  <c r="L96" s="1"/>
  <c r="M96" s="1"/>
  <c r="J27"/>
  <c r="AC27" s="1"/>
  <c r="F27"/>
  <c r="S27" s="1"/>
  <c r="J30"/>
  <c r="AC30" s="1"/>
  <c r="F30"/>
  <c r="AA30" s="1"/>
  <c r="AC21"/>
  <c r="S31" i="39"/>
  <c r="S11" i="40"/>
  <c r="E98"/>
  <c r="F98"/>
  <c r="G98" s="1"/>
  <c r="H98" s="1"/>
  <c r="I98" s="1"/>
  <c r="J98" s="1"/>
  <c r="K98" s="1"/>
  <c r="L98" s="1"/>
  <c r="M98" s="1"/>
  <c r="AZ424" i="3"/>
  <c r="AZ440"/>
  <c r="AZ448"/>
  <c r="AZ456"/>
  <c r="AZ464"/>
  <c r="AZ472"/>
  <c r="F10" i="33"/>
  <c r="S10" s="1"/>
  <c r="F34"/>
  <c r="S34" s="1"/>
  <c r="H34"/>
  <c r="U34" s="1"/>
  <c r="F35"/>
  <c r="S35" s="1"/>
  <c r="F39" i="34"/>
  <c r="S39" s="1"/>
  <c r="J39"/>
  <c r="W39" s="1"/>
  <c r="F40"/>
  <c r="S40" s="1"/>
  <c r="F43"/>
  <c r="AA43" s="1"/>
  <c r="H44"/>
  <c r="AB44" s="1"/>
  <c r="AC38" i="39"/>
  <c r="F39"/>
  <c r="S39" s="1"/>
  <c r="J39"/>
  <c r="AC39" s="1"/>
  <c r="E97"/>
  <c r="J23" s="1"/>
  <c r="AZ403" i="3"/>
  <c r="AZ411"/>
  <c r="AZ419"/>
  <c r="AZ427"/>
  <c r="AZ435"/>
  <c r="AZ443"/>
  <c r="AZ451"/>
  <c r="AZ459"/>
  <c r="AZ469"/>
  <c r="AZ485"/>
  <c r="AZ353"/>
  <c r="AZ354"/>
  <c r="AZ386"/>
  <c r="C40" i="11"/>
  <c r="AZ215" i="3"/>
  <c r="AZ223"/>
  <c r="AZ227"/>
  <c r="AZ232"/>
  <c r="AZ235"/>
  <c r="AZ240"/>
  <c r="AZ243"/>
  <c r="AZ248"/>
  <c r="AZ251"/>
  <c r="AZ256"/>
  <c r="AZ259"/>
  <c r="AZ268"/>
  <c r="AZ271"/>
  <c r="AZ280"/>
  <c r="AZ288"/>
  <c r="AZ296"/>
  <c r="AZ130"/>
  <c r="AZ133"/>
  <c r="AZ31"/>
  <c r="AZ33"/>
  <c r="AZ37"/>
  <c r="AZ45"/>
  <c r="AZ50"/>
  <c r="AZ69"/>
  <c r="AZ74"/>
  <c r="AZ82"/>
  <c r="AZ86"/>
  <c r="AZ102"/>
  <c r="AZ110"/>
  <c r="H74" i="43"/>
  <c r="F23" i="39"/>
  <c r="AA23" s="1"/>
  <c r="F97"/>
  <c r="H27" i="36"/>
  <c r="U27" s="1"/>
  <c r="F27"/>
  <c r="AA27" s="1"/>
  <c r="H33" i="34"/>
  <c r="U33" s="1"/>
  <c r="AA39"/>
  <c r="F32" i="37"/>
  <c r="AA32" s="1"/>
  <c r="G96"/>
  <c r="H96"/>
  <c r="I96" s="1"/>
  <c r="J96" s="1"/>
  <c r="K96" s="1"/>
  <c r="L96" s="1"/>
  <c r="M96" s="1"/>
  <c r="G68" i="36"/>
  <c r="F20"/>
  <c r="AA20" s="1"/>
  <c r="J33" i="34"/>
  <c r="AC33" s="1"/>
  <c r="H23" i="39"/>
  <c r="U23" s="1"/>
  <c r="G97"/>
  <c r="D48" i="9"/>
  <c r="M52" s="1"/>
  <c r="H86" i="43"/>
  <c r="H82"/>
  <c r="H87"/>
  <c r="K9" i="1"/>
  <c r="M9" s="1"/>
  <c r="O9" s="1"/>
  <c r="P9" s="1"/>
  <c r="F3" i="35"/>
  <c r="D93" i="9"/>
  <c r="J51" i="15"/>
  <c r="AE9" i="1"/>
  <c r="AZ132" i="3" l="1"/>
  <c r="S19" i="39"/>
  <c r="W9"/>
  <c r="U40"/>
  <c r="AA41"/>
  <c r="S40"/>
  <c r="AC23"/>
  <c r="W23"/>
  <c r="U9"/>
  <c r="AZ114" i="3"/>
  <c r="AZ113"/>
  <c r="AZ121"/>
  <c r="AZ38"/>
  <c r="AZ46"/>
  <c r="AZ52"/>
  <c r="AZ65"/>
  <c r="AZ81"/>
  <c r="AZ88"/>
  <c r="H5"/>
  <c r="F19" i="6" s="1"/>
  <c r="I4"/>
  <c r="G3" i="43" s="1"/>
  <c r="F22" s="1"/>
  <c r="E19" i="6"/>
  <c r="K6" i="1" s="1"/>
  <c r="M6" s="1"/>
  <c r="E59" i="43"/>
  <c r="B57" s="1"/>
  <c r="C24" s="1"/>
  <c r="BB5" i="3"/>
  <c r="E8" i="6" s="1"/>
  <c r="F27" s="1"/>
  <c r="D3" i="39" s="1"/>
  <c r="AZ19" i="3"/>
  <c r="F29" i="6"/>
  <c r="BI5" i="3"/>
  <c r="BE5"/>
  <c r="E15" i="6" s="1"/>
  <c r="BN5" i="3"/>
  <c r="G29" i="6" s="1"/>
  <c r="BT5" i="3"/>
  <c r="BL14"/>
  <c r="BR5"/>
  <c r="G28" i="6" s="1"/>
  <c r="G30" s="1"/>
  <c r="G31" s="1"/>
  <c r="F28"/>
  <c r="G14" i="3"/>
  <c r="BA14"/>
  <c r="AZ14" s="1"/>
  <c r="E22" i="43"/>
  <c r="C101"/>
  <c r="C104" s="1"/>
  <c r="B113"/>
  <c r="B115" s="1"/>
  <c r="C115" s="1"/>
  <c r="F101"/>
  <c r="F104" s="1"/>
  <c r="J17"/>
  <c r="F39"/>
  <c r="G20"/>
  <c r="C20" s="1"/>
  <c r="H75"/>
  <c r="J51" i="67"/>
  <c r="C42" i="1"/>
  <c r="AC34" i="33"/>
  <c r="AA34"/>
  <c r="B41" i="1"/>
  <c r="F53" i="9"/>
  <c r="F28" i="15"/>
  <c r="S22" i="3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F48" s="1"/>
  <c r="N9"/>
  <c r="D120" i="9"/>
  <c r="C18"/>
  <c r="D18" s="1"/>
  <c r="F34" i="67"/>
  <c r="F62" s="1"/>
  <c r="M20"/>
  <c r="F34" i="15"/>
  <c r="F62" s="1"/>
  <c r="G13" i="3"/>
  <c r="G5" s="1"/>
  <c r="B3" s="1"/>
  <c r="BA13"/>
  <c r="E10" i="6"/>
  <c r="E11"/>
  <c r="E61" i="39" s="1"/>
  <c r="BL17" i="3"/>
  <c r="AZ17" s="1"/>
  <c r="BL13"/>
  <c r="J56" i="9"/>
  <c r="J57" s="1"/>
  <c r="A24" i="51"/>
  <c r="B18" i="72" s="1"/>
  <c r="U29" i="34"/>
  <c r="E5" i="6"/>
  <c r="D9" i="11" s="1"/>
  <c r="C9" s="1"/>
  <c r="I115" i="43"/>
  <c r="J115" s="1"/>
  <c r="K115" s="1"/>
  <c r="L115" s="1"/>
  <c r="M115" s="1"/>
  <c r="P10" i="1"/>
  <c r="H22" i="43"/>
  <c r="L101"/>
  <c r="L109" s="1"/>
  <c r="H101"/>
  <c r="D101"/>
  <c r="D109" s="1"/>
  <c r="M101"/>
  <c r="M109" s="1"/>
  <c r="I101"/>
  <c r="I109" s="1"/>
  <c r="E101"/>
  <c r="G22"/>
  <c r="E32" i="6"/>
  <c r="L19" s="1"/>
  <c r="G1" i="68"/>
  <c r="K1" i="12"/>
  <c r="AZ13" i="3"/>
  <c r="E28" i="6"/>
  <c r="F102" i="43"/>
  <c r="C107"/>
  <c r="C103"/>
  <c r="I118"/>
  <c r="J118" s="1"/>
  <c r="K118" s="1"/>
  <c r="L118" s="1"/>
  <c r="M118" s="1"/>
  <c r="D116"/>
  <c r="E116" s="1"/>
  <c r="F116" s="1"/>
  <c r="G116" s="1"/>
  <c r="H116" s="1"/>
  <c r="D118"/>
  <c r="E118" s="1"/>
  <c r="F118" s="1"/>
  <c r="G118"/>
  <c r="H118" s="1"/>
  <c r="B116"/>
  <c r="C116" s="1"/>
  <c r="B118"/>
  <c r="C118" s="1"/>
  <c r="I117"/>
  <c r="J117" s="1"/>
  <c r="K117" s="1"/>
  <c r="L117" s="1"/>
  <c r="M117" s="1"/>
  <c r="B117"/>
  <c r="C117" s="1"/>
  <c r="I116"/>
  <c r="J116" s="1"/>
  <c r="K116" s="1"/>
  <c r="L116" s="1"/>
  <c r="M116" s="1"/>
  <c r="D115"/>
  <c r="E115" s="1"/>
  <c r="F115" s="1"/>
  <c r="G115" s="1"/>
  <c r="H115" s="1"/>
  <c r="F103"/>
  <c r="AR13" i="1"/>
  <c r="AQ13"/>
  <c r="T13"/>
  <c r="AR11"/>
  <c r="AQ11"/>
  <c r="T11"/>
  <c r="AR9"/>
  <c r="AQ9"/>
  <c r="T9"/>
  <c r="AR12"/>
  <c r="AQ12"/>
  <c r="T12"/>
  <c r="AR10"/>
  <c r="AQ10"/>
  <c r="T10"/>
  <c r="E19" i="69"/>
  <c r="E19" i="68"/>
  <c r="E19" i="11"/>
  <c r="F52" i="9"/>
  <c r="M18" i="15"/>
  <c r="F30" i="11"/>
  <c r="F32" i="15"/>
  <c r="F60" s="1"/>
  <c r="F31" i="12"/>
  <c r="F30" i="69"/>
  <c r="F30" i="68"/>
  <c r="F32" i="67"/>
  <c r="F60" s="1"/>
  <c r="F28"/>
  <c r="M18"/>
  <c r="E1" i="73"/>
  <c r="K1" s="1"/>
  <c r="G41" i="69"/>
  <c r="G22"/>
  <c r="G41" i="68"/>
  <c r="G22"/>
  <c r="G27" i="12"/>
  <c r="G26"/>
  <c r="G41" i="11"/>
  <c r="G22"/>
  <c r="G25" i="12"/>
  <c r="C100" i="43"/>
  <c r="E11"/>
  <c r="E10"/>
  <c r="E9"/>
  <c r="E8"/>
  <c r="C7" s="1"/>
  <c r="E81"/>
  <c r="B79" s="1"/>
  <c r="F109"/>
  <c r="AJ11"/>
  <c r="AJ13" s="1"/>
  <c r="AH11"/>
  <c r="AH13" s="1"/>
  <c r="AF11"/>
  <c r="AF13" s="1"/>
  <c r="AD11"/>
  <c r="AD13" s="1"/>
  <c r="AB11"/>
  <c r="AB13" s="1"/>
  <c r="Z11"/>
  <c r="Z13" s="1"/>
  <c r="Z7"/>
  <c r="AI11"/>
  <c r="AI13" s="1"/>
  <c r="AG11"/>
  <c r="AG13" s="1"/>
  <c r="AE11"/>
  <c r="AE13" s="1"/>
  <c r="AC11"/>
  <c r="AC13" s="1"/>
  <c r="AA11"/>
  <c r="AA13" s="1"/>
  <c r="Y11"/>
  <c r="Y13" s="1"/>
  <c r="E48"/>
  <c r="B46" s="1"/>
  <c r="E70"/>
  <c r="B68" s="1"/>
  <c r="F100"/>
  <c r="H17"/>
  <c r="D9" i="53"/>
  <c r="B25" i="72" s="1"/>
  <c r="B24"/>
  <c r="G6" i="1"/>
  <c r="H85" i="43"/>
  <c r="H81"/>
  <c r="H84"/>
  <c r="H88"/>
  <c r="H78"/>
  <c r="H70"/>
  <c r="H71"/>
  <c r="C17"/>
  <c r="F33"/>
  <c r="G17"/>
  <c r="F34"/>
  <c r="M7"/>
  <c r="N6"/>
  <c r="M2"/>
  <c r="M10"/>
  <c r="N3"/>
  <c r="N11"/>
  <c r="F38"/>
  <c r="F37"/>
  <c r="M9"/>
  <c r="N12"/>
  <c r="N5"/>
  <c r="M5"/>
  <c r="M12"/>
  <c r="M4"/>
  <c r="B19" i="53"/>
  <c r="B37" i="72" s="1"/>
  <c r="C7" i="39"/>
  <c r="C68" s="1"/>
  <c r="C7" i="35"/>
  <c r="C7" i="33"/>
  <c r="C7" i="21"/>
  <c r="C7" i="40"/>
  <c r="M47" i="9"/>
  <c r="G19" i="43"/>
  <c r="T35" i="4"/>
  <c r="A19" i="51" s="1"/>
  <c r="B14" i="72" s="1"/>
  <c r="C46" i="36"/>
  <c r="D46" s="1"/>
  <c r="E46" s="1"/>
  <c r="C59" i="34"/>
  <c r="D59" s="1"/>
  <c r="C52" i="37"/>
  <c r="D52" s="1"/>
  <c r="C63" i="40"/>
  <c r="P24" i="43"/>
  <c r="B66" i="40" s="1"/>
  <c r="P23" i="43"/>
  <c r="B71" i="39" s="1"/>
  <c r="A4" i="51"/>
  <c r="B6" i="72" s="1"/>
  <c r="C70" i="39"/>
  <c r="D68"/>
  <c r="D70" s="1"/>
  <c r="C48" i="35"/>
  <c r="D48" s="1"/>
  <c r="C58" i="33"/>
  <c r="D58" s="1"/>
  <c r="E58" s="1"/>
  <c r="F58" s="1"/>
  <c r="G58" s="1"/>
  <c r="H58" s="1"/>
  <c r="I58" s="1"/>
  <c r="J58" s="1"/>
  <c r="K58" s="1"/>
  <c r="L58" s="1"/>
  <c r="M58" s="1"/>
  <c r="N58" s="1"/>
  <c r="O58" s="1"/>
  <c r="C58" i="21"/>
  <c r="D58" s="1"/>
  <c r="C94" i="9"/>
  <c r="C4" i="12"/>
  <c r="C92" i="9"/>
  <c r="H76" i="43"/>
  <c r="H72"/>
  <c r="H77"/>
  <c r="L20" i="6"/>
  <c r="E56" i="39"/>
  <c r="E51" i="40"/>
  <c r="S7" i="1"/>
  <c r="B6"/>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C4" i="4" s="1"/>
  <c r="B8" i="49"/>
  <c r="E4"/>
  <c r="E11"/>
  <c r="D9" i="69"/>
  <c r="L48" i="15"/>
  <c r="M22"/>
  <c r="M8" i="67"/>
  <c r="M28"/>
  <c r="J15" i="15"/>
  <c r="F7" i="67"/>
  <c r="F42"/>
  <c r="C76"/>
  <c r="F13" i="15"/>
  <c r="M23"/>
  <c r="F43"/>
  <c r="F16" i="67"/>
  <c r="M8" i="15"/>
  <c r="G1" i="73"/>
  <c r="F13" i="67"/>
  <c r="F8" i="15"/>
  <c r="F40"/>
  <c r="L47"/>
  <c r="F9" i="67"/>
  <c r="M28" i="15"/>
  <c r="M6" i="67"/>
  <c r="M6" i="15"/>
  <c r="F38" i="67"/>
  <c r="F42" i="15"/>
  <c r="M26" i="67"/>
  <c r="L48"/>
  <c r="F6"/>
  <c r="M26" i="15"/>
  <c r="M29"/>
  <c r="M9"/>
  <c r="F37"/>
  <c r="F36"/>
  <c r="F26"/>
  <c r="F36" i="67"/>
  <c r="M9"/>
  <c r="J15"/>
  <c r="F26"/>
  <c r="M24"/>
  <c r="F16" i="15"/>
  <c r="F37" i="67"/>
  <c r="F43"/>
  <c r="M23"/>
  <c r="F8"/>
  <c r="M22"/>
  <c r="F38" i="15"/>
  <c r="M29" i="67"/>
  <c r="F6" i="15"/>
  <c r="F7"/>
  <c r="F40" i="67"/>
  <c r="L47"/>
  <c r="F9" i="15"/>
  <c r="M24"/>
  <c r="C76"/>
  <c r="C106" i="43" l="1"/>
  <c r="C109"/>
  <c r="F105"/>
  <c r="C102"/>
  <c r="C105"/>
  <c r="F106"/>
  <c r="F107"/>
  <c r="BA5" i="3"/>
  <c r="E27" i="6" s="1"/>
  <c r="K20" s="1"/>
  <c r="M20" s="1"/>
  <c r="I20" s="1"/>
  <c r="D29" i="43"/>
  <c r="D1" s="1"/>
  <c r="D117"/>
  <c r="E117" s="1"/>
  <c r="F117" s="1"/>
  <c r="G117" s="1"/>
  <c r="H117" s="1"/>
  <c r="N104" i="46"/>
  <c r="N101" i="43"/>
  <c r="N102" s="1"/>
  <c r="K101"/>
  <c r="K103" s="1"/>
  <c r="J101"/>
  <c r="J104" s="1"/>
  <c r="G101"/>
  <c r="G105" s="1"/>
  <c r="N105"/>
  <c r="D22"/>
  <c r="N107"/>
  <c r="J102"/>
  <c r="C6"/>
  <c r="F59"/>
  <c r="J106"/>
  <c r="G104"/>
  <c r="J107"/>
  <c r="E13" i="6"/>
  <c r="E58" i="40" s="1"/>
  <c r="E29" i="6"/>
  <c r="E60" i="40"/>
  <c r="E65" i="39"/>
  <c r="N109" i="43"/>
  <c r="J109"/>
  <c r="N104"/>
  <c r="J103"/>
  <c r="N106"/>
  <c r="N103"/>
  <c r="F30" i="6"/>
  <c r="F31" s="1"/>
  <c r="J105" i="43"/>
  <c r="E14" i="6"/>
  <c r="E12"/>
  <c r="E56" i="40"/>
  <c r="E69" i="3"/>
  <c r="E268"/>
  <c r="E153"/>
  <c r="E282"/>
  <c r="E305"/>
  <c r="E361"/>
  <c r="E445"/>
  <c r="N6"/>
  <c r="E550"/>
  <c r="E503"/>
  <c r="E328"/>
  <c r="E302"/>
  <c r="E53"/>
  <c r="E237"/>
  <c r="E125"/>
  <c r="E114"/>
  <c r="E175"/>
  <c r="E261"/>
  <c r="E217"/>
  <c r="E278"/>
  <c r="E319"/>
  <c r="E304"/>
  <c r="E366"/>
  <c r="E415"/>
  <c r="E530"/>
  <c r="E528"/>
  <c r="E526"/>
  <c r="E563"/>
  <c r="E501"/>
  <c r="E565"/>
  <c r="E553"/>
  <c r="E395"/>
  <c r="E343"/>
  <c r="E183"/>
  <c r="E172"/>
  <c r="E213"/>
  <c r="E260"/>
  <c r="E322"/>
  <c r="E426"/>
  <c r="E17"/>
  <c r="E508"/>
  <c r="AJ6"/>
  <c r="E535"/>
  <c r="D19" i="12"/>
  <c r="C19" s="1"/>
  <c r="H53" i="43"/>
  <c r="H56"/>
  <c r="H48"/>
  <c r="H55"/>
  <c r="H52"/>
  <c r="H49"/>
  <c r="H51"/>
  <c r="H54"/>
  <c r="H50"/>
  <c r="E4" i="4"/>
  <c r="K4" s="1"/>
  <c r="B46" i="48" s="1"/>
  <c r="C28" i="67"/>
  <c r="C31" i="12"/>
  <c r="C48" i="69"/>
  <c r="C30" i="68"/>
  <c r="C28" i="15"/>
  <c r="C24" i="12"/>
  <c r="C30" i="69"/>
  <c r="C48" i="68"/>
  <c r="C77" i="9"/>
  <c r="C74" s="1"/>
  <c r="C16" i="43"/>
  <c r="D5" s="1"/>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D113" i="43"/>
  <c r="J22" s="1"/>
  <c r="AZ5" i="3"/>
  <c r="E3" i="6" s="1"/>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K24" i="6"/>
  <c r="M24" s="1"/>
  <c r="I24" s="1"/>
  <c r="S24" s="1"/>
  <c r="K14" i="1"/>
  <c r="M14" s="1"/>
  <c r="O14" s="1"/>
  <c r="P14" s="1"/>
  <c r="BL5" i="3"/>
  <c r="P21" i="43"/>
  <c r="M20"/>
  <c r="C19" s="1"/>
  <c r="J59" i="9"/>
  <c r="J61" s="1"/>
  <c r="K21" i="6"/>
  <c r="M21" s="1"/>
  <c r="I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M22" s="1"/>
  <c r="I22" s="1"/>
  <c r="E102" i="43"/>
  <c r="E104"/>
  <c r="E106"/>
  <c r="E107"/>
  <c r="E103"/>
  <c r="E105"/>
  <c r="M102"/>
  <c r="M104"/>
  <c r="M106"/>
  <c r="M107"/>
  <c r="M103"/>
  <c r="M105"/>
  <c r="H102"/>
  <c r="H107"/>
  <c r="H103"/>
  <c r="H106"/>
  <c r="H104"/>
  <c r="H105"/>
  <c r="K19" i="6"/>
  <c r="S6" i="1"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AY6"/>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R7"/>
  <c r="AQ7"/>
  <c r="T7"/>
  <c r="C48" i="11"/>
  <c r="C30"/>
  <c r="R22" i="31"/>
  <c r="B21" s="1"/>
  <c r="B40" i="1"/>
  <c r="O19" i="43"/>
  <c r="K53" i="15"/>
  <c r="J53"/>
  <c r="P22" i="43"/>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C10" i="15"/>
  <c r="M19" i="6"/>
  <c r="S21"/>
  <c r="L27"/>
  <c r="S22"/>
  <c r="G16" i="1"/>
  <c r="H10" i="40" s="1"/>
  <c r="U10" s="1"/>
  <c r="C27" i="67"/>
  <c r="L56"/>
  <c r="J57"/>
  <c r="J55" s="1"/>
  <c r="J58" s="1"/>
  <c r="Q50" s="1"/>
  <c r="J53"/>
  <c r="K53"/>
  <c r="F70"/>
  <c r="F51"/>
  <c r="F68"/>
  <c r="L59"/>
  <c r="L58"/>
  <c r="F71"/>
  <c r="F66"/>
  <c r="F50"/>
  <c r="M7"/>
  <c r="Q71"/>
  <c r="F64"/>
  <c r="C6"/>
  <c r="F65"/>
  <c r="C9" i="69"/>
  <c r="F71" i="15"/>
  <c r="L59"/>
  <c r="Q74" s="1"/>
  <c r="L58"/>
  <c r="Q73" s="1"/>
  <c r="C27"/>
  <c r="Q71"/>
  <c r="F64"/>
  <c r="F51"/>
  <c r="F65"/>
  <c r="J57"/>
  <c r="J55" s="1"/>
  <c r="J58" s="1"/>
  <c r="Q50" s="1"/>
  <c r="L56"/>
  <c r="F68"/>
  <c r="M7"/>
  <c r="F50"/>
  <c r="F66"/>
  <c r="C6"/>
  <c r="C10" i="67"/>
  <c r="AP7" i="1"/>
  <c r="C36" i="69" s="1"/>
  <c r="M7" i="1"/>
  <c r="O7" s="1"/>
  <c r="Q16"/>
  <c r="F27" i="69" s="1"/>
  <c r="H16" i="1"/>
  <c r="AB45" i="21"/>
  <c r="AC33"/>
  <c r="W33"/>
  <c r="S33"/>
  <c r="AA33"/>
  <c r="W32"/>
  <c r="AC32"/>
  <c r="AB9"/>
  <c r="U9"/>
  <c r="AA32"/>
  <c r="S32"/>
  <c r="W9"/>
  <c r="AC9"/>
  <c r="AB32"/>
  <c r="U32"/>
  <c r="AA10"/>
  <c r="S10"/>
  <c r="F59" i="67"/>
  <c r="M17" i="15"/>
  <c r="F59"/>
  <c r="F31"/>
  <c r="M17" i="67"/>
  <c r="F31"/>
  <c r="D9" i="68"/>
  <c r="C16" i="15"/>
  <c r="C17"/>
  <c r="C16" i="67"/>
  <c r="B71" i="72" l="1"/>
  <c r="B4"/>
  <c r="E63" i="39"/>
  <c r="G103" i="43"/>
  <c r="K107"/>
  <c r="K109"/>
  <c r="G106"/>
  <c r="G107"/>
  <c r="G102"/>
  <c r="K104"/>
  <c r="K106"/>
  <c r="K102"/>
  <c r="K105"/>
  <c r="G109"/>
  <c r="E16" i="6"/>
  <c r="C9" i="68"/>
  <c r="H66" i="43"/>
  <c r="H65"/>
  <c r="H64"/>
  <c r="H63"/>
  <c r="H62"/>
  <c r="H61"/>
  <c r="H60"/>
  <c r="H59"/>
  <c r="H67"/>
  <c r="AQ6" i="1"/>
  <c r="E6" i="70"/>
  <c r="S2" i="43"/>
  <c r="S7"/>
  <c r="S4"/>
  <c r="S6"/>
  <c r="S5"/>
  <c r="S3"/>
  <c r="C23"/>
  <c r="C21" s="1"/>
  <c r="C29" s="1"/>
  <c r="E30" i="6"/>
  <c r="E31" s="1"/>
  <c r="K15" i="1"/>
  <c r="K16" s="1"/>
  <c r="E62" i="39"/>
  <c r="E57" i="40"/>
  <c r="E64" i="39"/>
  <c r="E59" i="40"/>
  <c r="K27" i="6"/>
  <c r="B14" i="74"/>
  <c r="B1" s="1"/>
  <c r="D3" i="34"/>
  <c r="D3" i="21"/>
  <c r="D3" i="33"/>
  <c r="B5" i="62"/>
  <c r="A18"/>
  <c r="B64" i="72" s="1"/>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C5" i="15"/>
  <c r="C32" s="1"/>
  <c r="E6" i="6"/>
  <c r="D19" i="11"/>
  <c r="C19" s="1"/>
  <c r="C20" s="1"/>
  <c r="C17" i="4"/>
  <c r="B4" i="52" s="1"/>
  <c r="B43" i="72" s="1"/>
  <c r="D37" i="11"/>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8" i="12"/>
  <c r="C29" s="1"/>
  <c r="D28" s="1"/>
  <c r="P7" i="1"/>
  <c r="O16"/>
  <c r="C38" i="43"/>
  <c r="G38" s="1"/>
  <c r="I38" s="1"/>
  <c r="F24" i="15"/>
  <c r="C24" s="1"/>
  <c r="F22" i="11"/>
  <c r="F25" i="12"/>
  <c r="F22" i="69"/>
  <c r="F24" i="67"/>
  <c r="C24" s="1"/>
  <c r="F22" i="68"/>
  <c r="T11" i="43"/>
  <c r="V11" s="1"/>
  <c r="T16"/>
  <c r="V16" s="1"/>
  <c r="T14"/>
  <c r="V14" s="1"/>
  <c r="T12"/>
  <c r="V12" s="1"/>
  <c r="T9"/>
  <c r="V9" s="1"/>
  <c r="T3"/>
  <c r="V3" s="1"/>
  <c r="T7"/>
  <c r="V7" s="1"/>
  <c r="T2"/>
  <c r="V2"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C53"/>
  <c r="C5"/>
  <c r="C32" s="1"/>
  <c r="F10" i="40"/>
  <c r="AA10" s="1"/>
  <c r="S20" i="6"/>
  <c r="I19"/>
  <c r="L18" i="9" s="1"/>
  <c r="M27" i="6"/>
  <c r="H10" i="39"/>
  <c r="J10"/>
  <c r="Q61" i="15"/>
  <c r="C49"/>
  <c r="Q60"/>
  <c r="M16" i="1"/>
  <c r="N16" s="1"/>
  <c r="Q60" i="67"/>
  <c r="Q73"/>
  <c r="F27" i="11"/>
  <c r="Q61" i="67"/>
  <c r="Q74"/>
  <c r="C49"/>
  <c r="F1"/>
  <c r="Q52"/>
  <c r="F27" i="68"/>
  <c r="B73" i="72" l="1"/>
  <c r="C29" i="68"/>
  <c r="D27" s="1"/>
  <c r="E66" i="39"/>
  <c r="E37" i="43"/>
  <c r="AA7" i="36"/>
  <c r="R36" s="1"/>
  <c r="E36" s="1"/>
  <c r="E40" s="1"/>
  <c r="F40" s="1"/>
  <c r="AC11" i="37"/>
  <c r="W11"/>
  <c r="AB7"/>
  <c r="T42" s="1"/>
  <c r="G42" s="1"/>
  <c r="G46" s="1"/>
  <c r="H46" s="1"/>
  <c r="W11" i="34"/>
  <c r="AC11"/>
  <c r="J5" i="67"/>
  <c r="J5" i="15"/>
  <c r="H20" i="6"/>
  <c r="C14" i="74"/>
  <c r="B2" s="1"/>
  <c r="AB7" i="36"/>
  <c r="T36" s="1"/>
  <c r="C38" i="15"/>
  <c r="E38" i="43"/>
  <c r="E6" i="3"/>
  <c r="C47" i="68"/>
  <c r="D45" s="1"/>
  <c r="AA10" i="39"/>
  <c r="D10" i="11"/>
  <c r="C10" s="1"/>
  <c r="D20" i="12"/>
  <c r="C20" s="1"/>
  <c r="M19" i="9"/>
  <c r="C118" s="1"/>
  <c r="D19" i="6"/>
  <c r="D25"/>
  <c r="D26"/>
  <c r="D15"/>
  <c r="C18" i="4"/>
  <c r="D22" i="6"/>
  <c r="D8"/>
  <c r="D21"/>
  <c r="D23"/>
  <c r="D24"/>
  <c r="D14"/>
  <c r="D20"/>
  <c r="R20" s="1"/>
  <c r="R7" i="1" s="1"/>
  <c r="D5" i="6"/>
  <c r="D6"/>
  <c r="D12"/>
  <c r="D9"/>
  <c r="D11"/>
  <c r="D10"/>
  <c r="D13"/>
  <c r="D28"/>
  <c r="D29"/>
  <c r="E61" i="40"/>
  <c r="H25" i="6"/>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L19" i="9" s="1"/>
  <c r="S19" i="6"/>
  <c r="S27" s="1"/>
  <c r="I27"/>
  <c r="W10" i="39"/>
  <c r="AC10"/>
  <c r="U10"/>
  <c r="AB10"/>
  <c r="F50" i="11"/>
  <c r="F50" i="69"/>
  <c r="F50" i="68"/>
  <c r="C47" i="11"/>
  <c r="D45" s="1"/>
  <c r="C29"/>
  <c r="D27" s="1"/>
  <c r="C28"/>
  <c r="C27" s="1"/>
  <c r="L16" i="1"/>
  <c r="D10" i="68"/>
  <c r="C34" i="11" l="1"/>
  <c r="R25" i="6"/>
  <c r="C36" i="11"/>
  <c r="J24" i="67"/>
  <c r="J18"/>
  <c r="J24" i="15"/>
  <c r="J18"/>
  <c r="G36" i="36"/>
  <c r="R37"/>
  <c r="AB7" i="34"/>
  <c r="T49" s="1"/>
  <c r="G49" s="1"/>
  <c r="G53" s="1"/>
  <c r="H53" s="1"/>
  <c r="W7" i="21"/>
  <c r="AA7"/>
  <c r="R48" s="1"/>
  <c r="E48" s="1"/>
  <c r="E52" s="1"/>
  <c r="F52" s="1"/>
  <c r="R26" i="6"/>
  <c r="R23"/>
  <c r="R24"/>
  <c r="R21"/>
  <c r="R8" i="1" s="1"/>
  <c r="R22" i="6"/>
  <c r="D30"/>
  <c r="D16"/>
  <c r="A7" i="51"/>
  <c r="B7" i="72" s="1"/>
  <c r="C4" i="52"/>
  <c r="B45" i="72" s="1"/>
  <c r="A10" i="51"/>
  <c r="B9" i="72" s="1"/>
  <c r="D27" i="6"/>
  <c r="D19" i="68"/>
  <c r="C10"/>
  <c r="C12" i="12"/>
  <c r="C15"/>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38"/>
  <c r="C14" i="12"/>
  <c r="C23"/>
  <c r="C36" i="68"/>
  <c r="C34"/>
  <c r="E6" i="76"/>
  <c r="B29" i="1" l="1"/>
  <c r="C18" i="12" s="1"/>
  <c r="C8" i="68"/>
  <c r="D31" i="6"/>
  <c r="I6" s="1"/>
  <c r="C11" i="39" s="1"/>
  <c r="E2" i="76"/>
  <c r="B2" i="43"/>
  <c r="R49" i="21"/>
  <c r="C48" s="1"/>
  <c r="G54" i="34"/>
  <c r="H54" s="1"/>
  <c r="I53" i="21"/>
  <c r="J53" s="1"/>
  <c r="C37" i="36"/>
  <c r="C36"/>
  <c r="G40"/>
  <c r="H40" s="1"/>
  <c r="E41"/>
  <c r="F41" s="1"/>
  <c r="G41"/>
  <c r="H41" s="1"/>
  <c r="C19" i="68"/>
  <c r="D37"/>
  <c r="C37" s="1"/>
  <c r="R27" i="6"/>
  <c r="R6" i="1"/>
  <c r="C16" i="12"/>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F35" i="15"/>
  <c r="F35" i="67"/>
  <c r="M21" i="15"/>
  <c r="B6" i="76"/>
  <c r="M21" i="67"/>
  <c r="C21" i="12" l="1"/>
  <c r="I5" i="6"/>
  <c r="F11" i="39"/>
  <c r="J11"/>
  <c r="H11"/>
  <c r="B2" i="76"/>
  <c r="B3" s="1"/>
  <c r="B3" i="43"/>
  <c r="C49" i="21"/>
  <c r="F63" i="67"/>
  <c r="C62" s="1"/>
  <c r="C34"/>
  <c r="J20"/>
  <c r="C24" i="68"/>
  <c r="J20" i="15"/>
  <c r="F63"/>
  <c r="C62" s="1"/>
  <c r="C34"/>
  <c r="R16" i="1"/>
  <c r="C22" i="12"/>
  <c r="C30" s="1"/>
  <c r="C28" s="1"/>
  <c r="C33" i="68"/>
  <c r="I63" i="40"/>
  <c r="H65"/>
  <c r="C39" i="11"/>
  <c r="C43" s="1"/>
  <c r="C41" s="1"/>
  <c r="I70" i="39"/>
  <c r="U11" l="1"/>
  <c r="AB11"/>
  <c r="AA11"/>
  <c r="S11"/>
  <c r="W11"/>
  <c r="AC11"/>
  <c r="C27" i="12"/>
  <c r="C25" s="1"/>
  <c r="C32" s="1"/>
  <c r="B2" s="1"/>
  <c r="B3" s="1"/>
  <c r="C39" i="68"/>
  <c r="C43" s="1"/>
  <c r="C42"/>
  <c r="J63" i="40"/>
  <c r="I65"/>
  <c r="C46" i="11"/>
  <c r="C45" s="1"/>
  <c r="C49" s="1"/>
  <c r="C51" s="1"/>
  <c r="C52" s="1"/>
  <c r="B2" s="1"/>
  <c r="B3" s="1"/>
  <c r="J70" i="39"/>
  <c r="C41" i="68" l="1"/>
  <c r="C46"/>
  <c r="C45" s="1"/>
  <c r="K63" i="40"/>
  <c r="J65"/>
  <c r="K70" i="39"/>
  <c r="C56" i="11"/>
  <c r="C57" s="1"/>
  <c r="C49" i="68" l="1"/>
  <c r="C51"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L46"/>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L51" i="67"/>
  <c r="C14" i="15"/>
  <c r="L57" i="67" l="1"/>
  <c r="L60"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L51" i="15"/>
  <c r="C66" l="1"/>
  <c r="C60"/>
  <c r="C59" s="1"/>
  <c r="AG6" i="1"/>
  <c r="C80" i="15"/>
  <c r="C79" s="1"/>
  <c r="C65"/>
  <c r="Q68"/>
  <c r="L57"/>
  <c r="L60" s="1"/>
  <c r="Q67"/>
  <c r="F41"/>
  <c r="F41" i="67"/>
  <c r="M27"/>
  <c r="M27" i="15"/>
  <c r="J26" l="1"/>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E2" i="69"/>
  <c r="AO8" i="1"/>
  <c r="AO6"/>
  <c r="AO7"/>
  <c r="B8" i="70" l="1"/>
  <c r="B7"/>
  <c r="B6"/>
  <c r="C46" i="15"/>
  <c r="B2" i="69"/>
  <c r="B3" s="1"/>
  <c r="B3" i="67"/>
  <c r="D2" i="33"/>
  <c r="E2" i="68"/>
  <c r="D2" i="21"/>
  <c r="F20" i="31"/>
  <c r="D2" i="35"/>
  <c r="D2" i="36"/>
  <c r="D2" i="37"/>
  <c r="D2" i="34"/>
  <c r="B20" i="31" l="1"/>
  <c r="B2" i="36"/>
  <c r="B3" s="1"/>
  <c r="B2" i="35"/>
  <c r="B3" s="1"/>
  <c r="B2" i="37"/>
  <c r="B3" s="1"/>
  <c r="B2" i="34"/>
  <c r="B3" s="1"/>
  <c r="B2" i="21"/>
  <c r="B3" s="1"/>
  <c r="B2" i="70"/>
  <c r="B3" s="1"/>
  <c r="D19" i="9"/>
  <c r="D20"/>
  <c r="D102" l="1"/>
  <c r="D21"/>
  <c r="D103"/>
  <c r="H109" l="1"/>
  <c r="M49" s="1"/>
  <c r="L68" s="1"/>
  <c r="M68" s="1"/>
  <c r="L65" l="1"/>
  <c r="M65" s="1"/>
  <c r="L66"/>
  <c r="M66" s="1"/>
  <c r="L64"/>
  <c r="M64" s="1"/>
  <c r="L63"/>
  <c r="M63" s="1"/>
  <c r="L67"/>
  <c r="M67" s="1"/>
  <c r="H110"/>
  <c r="D18" i="53" s="1"/>
  <c r="B35" i="72" s="1"/>
  <c r="D124" i="9"/>
  <c r="D16" i="53"/>
  <c r="B34" i="72" s="1"/>
  <c r="M69" i="9" l="1"/>
  <c r="D10" i="52"/>
  <c r="H14" i="74"/>
  <c r="D17" i="53"/>
  <c r="B36" i="72" s="1"/>
  <c r="D125" i="9"/>
  <c r="D11" i="52" s="1"/>
  <c r="N69" i="9" l="1"/>
  <c r="B7" i="74"/>
  <c r="D7" s="1"/>
  <c r="C7" l="1"/>
  <c r="J7" i="33" l="1"/>
  <c r="W7" s="1"/>
  <c r="F7"/>
  <c r="S7" s="1"/>
  <c r="H7"/>
  <c r="AB7" s="1"/>
  <c r="T48" s="1"/>
  <c r="G48" s="1"/>
  <c r="D126" i="9" l="1"/>
  <c r="I14" i="74" s="1"/>
  <c r="B8" s="1"/>
  <c r="D8" s="1"/>
  <c r="D20" i="53"/>
  <c r="B40" i="72" s="1"/>
  <c r="B38"/>
  <c r="G52" i="33"/>
  <c r="H52" s="1"/>
  <c r="AA7"/>
  <c r="R48" s="1"/>
  <c r="U7"/>
  <c r="AC7"/>
  <c r="V48" s="1"/>
  <c r="I48" s="1"/>
  <c r="D127" i="9" l="1"/>
  <c r="D13" i="52" s="1"/>
  <c r="D12"/>
  <c r="C8" i="74"/>
  <c r="I52" i="33"/>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C6" i="68" s="1"/>
  <c r="B3" i="39" l="1"/>
  <c r="C7" i="68"/>
  <c r="C5" s="1"/>
  <c r="C23" l="1"/>
  <c r="C20"/>
  <c r="C28" l="1"/>
  <c r="C27" s="1"/>
  <c r="C25"/>
  <c r="C22" s="1"/>
  <c r="H112" i="9"/>
  <c r="D21" i="53"/>
  <c r="B39" i="72"/>
  <c r="H111" i="9"/>
  <c r="D19" i="53"/>
  <c r="D59" i="9"/>
  <c r="M55"/>
  <c r="C31" i="68" l="1"/>
  <c r="C52" s="1"/>
  <c r="C57" s="1"/>
  <c r="C56" s="1"/>
  <c r="B2" l="1"/>
  <c r="C19" i="9"/>
  <c r="B3" i="68"/>
  <c r="D34" i="9" s="1"/>
  <c r="C20"/>
  <c r="D35"/>
  <c r="C103" l="1"/>
  <c r="G20"/>
  <c r="C21"/>
  <c r="G19"/>
  <c r="C102"/>
  <c r="D22"/>
  <c r="G21" l="1"/>
  <c r="C32"/>
  <c r="C35" s="1"/>
  <c r="F118" s="1"/>
  <c r="H118" l="1"/>
  <c r="C104" s="1"/>
  <c r="C34"/>
  <c r="D118" s="1"/>
  <c r="G118"/>
  <c r="G4" i="52" s="1"/>
  <c r="F119" i="9"/>
  <c r="F5" i="52" s="1"/>
  <c r="F4"/>
  <c r="B51" i="72" l="1"/>
  <c r="B52"/>
  <c r="B53"/>
  <c r="H4" i="52"/>
  <c r="D14" i="74"/>
  <c r="E14" s="1"/>
  <c r="H101" i="9"/>
  <c r="H107" s="1"/>
  <c r="I118"/>
  <c r="I4" i="52" s="1"/>
  <c r="H119" i="9"/>
  <c r="H5" i="52" s="1"/>
  <c r="D119" i="9"/>
  <c r="D5" i="52" s="1"/>
  <c r="D4"/>
  <c r="C105" i="9"/>
  <c r="B47" i="72" l="1"/>
  <c r="B49"/>
  <c r="B5" i="74"/>
  <c r="C5" s="1"/>
  <c r="F14"/>
  <c r="H102" i="9"/>
  <c r="D7" i="53" s="1"/>
  <c r="D45" i="9"/>
  <c r="D53" s="1"/>
  <c r="M48"/>
  <c r="E118"/>
  <c r="E4" i="52" s="1"/>
  <c r="D5" i="53"/>
  <c r="H108" i="9"/>
  <c r="D15" i="53" s="1"/>
  <c r="D122" i="9"/>
  <c r="D13" i="53"/>
  <c r="D5" i="74"/>
  <c r="B31" i="72" l="1"/>
  <c r="B20"/>
  <c r="B21"/>
  <c r="B48"/>
  <c r="D55" i="9"/>
  <c r="M53" s="1"/>
  <c r="C72"/>
  <c r="D52"/>
  <c r="C93"/>
  <c r="C86" s="1"/>
  <c r="C85"/>
  <c r="C64"/>
  <c r="C63" s="1"/>
  <c r="C67" s="1"/>
  <c r="C68" s="1"/>
  <c r="D54" s="1"/>
  <c r="C78"/>
  <c r="C73" s="1"/>
  <c r="D6" i="53"/>
  <c r="G14" i="74"/>
  <c r="B6" s="1"/>
  <c r="D123" i="9"/>
  <c r="D9" i="52" s="1"/>
  <c r="D8"/>
  <c r="D14" i="53"/>
  <c r="B30" i="72"/>
  <c r="B32" l="1"/>
  <c r="B22"/>
  <c r="C79" i="9"/>
  <c r="C80" s="1"/>
  <c r="E80" s="1"/>
  <c r="E81" s="1"/>
  <c r="C95"/>
  <c r="C96" s="1"/>
  <c r="E96" s="1"/>
  <c r="E97" s="1"/>
  <c r="D6" i="74"/>
  <c r="C6"/>
  <c r="C97" i="9" l="1"/>
  <c r="D58" s="1"/>
  <c r="D56" s="1"/>
  <c r="M54" s="1"/>
  <c r="N57" s="1"/>
  <c r="N59" s="1"/>
  <c r="C81"/>
  <c r="N60" l="1"/>
  <c r="N61"/>
  <c r="P57"/>
  <c r="N58"/>
  <c r="E165" i="77" l="1"/>
  <c r="E167" s="1"/>
  <c r="K23"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<sst xmlns="http://schemas.openxmlformats.org/spreadsheetml/2006/main" count="8014" uniqueCount="3323">
  <si>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</si>
  <si>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</si>
  <si>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</si>
  <si>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</si>
  <si>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</si>
  <si>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</si>
  <si>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</si>
  <si>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</si>
  <si>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</si>
  <si>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</si>
  <si>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</si>
  <si>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</si>
  <si>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</si>
  <si>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</si>
  <si>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</si>
  <si>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</si>
  <si>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</si>
  <si>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</si>
  <si>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</si>
  <si>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</si>
  <si>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</si>
  <si>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</si>
  <si>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</si>
  <si>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</si>
  <si>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</si>
  <si>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</si>
  <si>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</si>
  <si>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</si>
  <si>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</si>
  <si>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</si>
  <si>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</si>
  <si>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</si>
  <si>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</si>
  <si>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</si>
  <si>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</si>
  <si>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</si>
  <si>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</si>
  <si>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</si>
  <si>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</si>
  <si>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</si>
  <si>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</si>
  <si>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</si>
  <si>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</si>
  <si>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</si>
  <si>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</si>
  <si>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</si>
  <si>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</si>
  <si>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</si>
  <si>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</si>
  <si>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</si>
  <si>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</si>
  <si>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</si>
  <si>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</si>
  <si>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</si>
  <si>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</si>
  <si>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</si>
  <si>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</si>
  <si>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</si>
  <si>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</si>
  <si>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</si>
  <si>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</si>
  <si>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</si>
  <si>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</si>
  <si>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</si>
  <si>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</si>
  <si>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</si>
  <si>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</si>
  <si>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</si>
  <si>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</si>
  <si>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</si>
  <si>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</si>
  <si>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</si>
  <si>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</si>
  <si>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</si>
  <si>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</si>
  <si>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</si>
  <si>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</si>
  <si>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</si>
  <si>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</si>
  <si>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</si>
  <si>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</si>
  <si>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</si>
  <si>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</si>
  <si>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</si>
  <si>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</si>
  <si>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</si>
  <si>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</si>
  <si>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</si>
  <si>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</si>
  <si>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</si>
  <si>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</si>
  <si>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</si>
  <si>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</si>
  <si>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</si>
  <si>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</si>
  <si>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</si>
  <si>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</si>
  <si>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</si>
  <si>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</si>
  <si>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</si>
  <si>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</si>
  <si>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</si>
  <si>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</si>
  <si>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</si>
  <si>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</si>
  <si>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</si>
  <si>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</si>
  <si>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</si>
  <si>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</si>
  <si>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</si>
  <si>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</si>
  <si>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</si>
  <si>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</si>
  <si>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</si>
  <si>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</si>
  <si>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</si>
  <si>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</si>
  <si>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</si>
  <si>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</si>
  <si>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</si>
  <si>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</si>
  <si>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</si>
  <si>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</si>
  <si>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</si>
  <si>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</si>
  <si>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</si>
  <si>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</si>
  <si>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</si>
  <si>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</si>
  <si>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</si>
  <si>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</si>
  <si>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</si>
  <si>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</si>
  <si>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</si>
  <si>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</si>
  <si>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</si>
  <si>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</si>
  <si>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</si>
  <si>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</si>
  <si>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</si>
  <si>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</si>
  <si>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</si>
  <si>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</si>
  <si>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</si>
  <si>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</si>
  <si>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</si>
  <si>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</si>
  <si>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</si>
  <si>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</si>
  <si>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</si>
  <si>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</si>
  <si>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</si>
  <si>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</si>
  <si>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</si>
  <si>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</si>
  <si>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</si>
  <si>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</si>
  <si>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</si>
  <si>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</si>
  <si>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</si>
  <si>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</si>
  <si>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</si>
  <si>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</si>
  <si>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</si>
  <si>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</si>
  <si>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</si>
  <si>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</si>
  <si>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</si>
  <si>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</si>
  <si>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</si>
  <si>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</si>
  <si>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</si>
  <si>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</si>
  <si>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</si>
  <si>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</si>
  <si>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</si>
  <si>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</si>
  <si>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</si>
  <si>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</si>
  <si>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</si>
  <si>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</si>
  <si>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</si>
  <si>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</si>
  <si>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</si>
  <si>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</si>
  <si>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</si>
  <si>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</si>
  <si>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</si>
  <si>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</si>
  <si>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</si>
  <si>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</si>
  <si>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</si>
  <si>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</si>
  <si>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</si>
  <si>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</si>
  <si>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</si>
  <si>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</si>
  <si>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</si>
  <si>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</si>
  <si>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</si>
  <si>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</si>
  <si>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</si>
  <si>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</si>
  <si>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</si>
  <si>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</si>
  <si>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</si>
  <si>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</si>
  <si>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</si>
  <si>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</si>
  <si>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</si>
  <si>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</si>
  <si>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</si>
  <si>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</si>
  <si>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</si>
  <si>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</si>
  <si>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</si>
  <si>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</si>
  <si>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</si>
  <si>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</si>
  <si>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</si>
  <si>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</si>
  <si>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</si>
  <si>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</si>
  <si>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</si>
  <si>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</si>
  <si>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</si>
  <si>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</si>
  <si>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</si>
  <si>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</si>
  <si>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</si>
  <si>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</si>
  <si>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</si>
  <si>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</si>
  <si>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</si>
  <si>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</si>
  <si>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</si>
  <si>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</si>
  <si>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</si>
  <si>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</si>
  <si>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</si>
  <si>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</si>
  <si>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</si>
  <si>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</si>
  <si>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</si>
  <si>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</si>
  <si>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</si>
  <si>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</si>
  <si>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</si>
  <si>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</si>
  <si>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</si>
  <si>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</si>
  <si>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</si>
  <si>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</si>
  <si>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</si>
  <si>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</si>
  <si>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</si>
  <si>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</si>
  <si>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</si>
  <si>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</si>
  <si>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</si>
  <si>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</si>
  <si>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</si>
  <si>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</si>
  <si>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</si>
  <si>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</si>
  <si>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</si>
  <si>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</si>
  <si>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</si>
  <si>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</si>
  <si>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</si>
  <si>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</si>
  <si>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</si>
  <si>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</si>
  <si>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</si>
  <si>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</si>
  <si>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</si>
  <si>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</si>
  <si>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</si>
  <si>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</si>
  <si>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</si>
  <si>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</si>
  <si>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</si>
  <si>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</si>
  <si>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</si>
  <si>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</si>
  <si>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</si>
  <si>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</si>
  <si>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</si>
  <si>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</si>
  <si>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</si>
  <si>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</si>
  <si>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</si>
  <si>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</si>
  <si>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</si>
  <si>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</si>
  <si>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</si>
  <si>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</si>
  <si>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</si>
  <si>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</si>
  <si>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</si>
  <si>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</si>
  <si>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</si>
  <si>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</si>
  <si>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</si>
  <si>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</si>
  <si>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</si>
  <si>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</si>
  <si>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</si>
  <si>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</si>
  <si>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</si>
  <si>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</si>
  <si>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</si>
  <si>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</si>
  <si>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</si>
  <si>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</si>
  <si>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</si>
  <si>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</si>
  <si>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</si>
  <si>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</si>
  <si>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</si>
  <si>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</si>
  <si>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</si>
  <si>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</si>
  <si>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</si>
  <si>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</si>
  <si>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</si>
  <si>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</si>
  <si>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</si>
  <si>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</si>
  <si>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</si>
  <si>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</si>
  <si>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</si>
  <si>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</si>
  <si>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</si>
  <si>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</si>
  <si>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</si>
  <si>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</si>
  <si>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</si>
  <si>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</si>
  <si>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</si>
  <si>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</si>
  <si>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</si>
  <si>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</si>
  <si>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</si>
  <si>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</si>
  <si>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</si>
  <si>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</si>
  <si>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</si>
  <si>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</si>
  <si>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</si>
  <si>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</si>
  <si>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</si>
  <si>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</si>
  <si>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</si>
  <si>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</si>
  <si>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</si>
  <si>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</si>
  <si>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</si>
  <si>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</si>
  <si>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</si>
  <si>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</si>
  <si>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</si>
  <si>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</si>
  <si>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</si>
  <si>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</si>
  <si>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</si>
  <si>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</si>
  <si>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</si>
  <si>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</si>
  <si>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</si>
  <si>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</si>
  <si>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</si>
  <si>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</si>
  <si>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</si>
  <si>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</si>
  <si>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</si>
  <si>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</si>
  <si>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</si>
  <si>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</si>
  <si>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</si>
  <si>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</si>
  <si>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</si>
  <si>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</si>
  <si>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</si>
  <si>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</si>
  <si>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</si>
  <si>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</si>
  <si>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</si>
  <si>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</si>
  <si>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</si>
  <si>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</si>
  <si>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</si>
  <si>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</si>
  <si>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</si>
  <si>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</si>
  <si>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</si>
  <si>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</si>
  <si>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</si>
  <si>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</si>
  <si>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</si>
  <si>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</si>
  <si>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</si>
  <si>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</si>
  <si>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</si>
  <si>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</si>
  <si>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</si>
  <si>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</si>
  <si>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</si>
  <si>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</si>
  <si>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</si>
  <si>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</si>
  <si>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</si>
  <si>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</si>
  <si>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</si>
  <si>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</si>
  <si>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</si>
  <si>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</si>
  <si>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</si>
  <si>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</si>
  <si>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</si>
  <si>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</si>
  <si>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</si>
  <si>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</si>
  <si>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</si>
  <si>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</si>
  <si>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</si>
  <si>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</si>
  <si>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</si>
  <si>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</si>
  <si>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</si>
  <si>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</si>
  <si>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</si>
  <si>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</si>
  <si>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</si>
  <si>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</si>
  <si>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</si>
  <si>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</si>
  <si>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</si>
  <si>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</si>
  <si>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</si>
  <si>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</si>
  <si>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</si>
  <si>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</si>
  <si>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</si>
  <si>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</si>
  <si>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</si>
  <si>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</si>
  <si>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</si>
  <si>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</si>
  <si>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</si>
  <si>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</si>
  <si>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</si>
  <si>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</si>
  <si>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</si>
  <si>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</si>
  <si>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</si>
  <si>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</si>
  <si>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</si>
  <si>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</si>
  <si>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</si>
  <si>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</si>
  <si>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</si>
  <si>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</si>
  <si>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</si>
  <si>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</si>
  <si>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</si>
  <si>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</si>
  <si>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</si>
  <si>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</si>
  <si>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</si>
  <si>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</si>
  <si>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</si>
  <si>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</si>
  <si>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</si>
  <si>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</si>
  <si>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</si>
  <si>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</si>
  <si>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</si>
  <si>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</si>
  <si>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</si>
  <si>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</si>
  <si>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</si>
  <si>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</si>
  <si>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</si>
  <si>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</si>
  <si>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</si>
  <si>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</si>
  <si>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</si>
  <si>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</si>
  <si>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</si>
  <si>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</si>
  <si>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</si>
  <si>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</si>
  <si>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</si>
  <si>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</si>
  <si>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</si>
  <si>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</si>
  <si>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</si>
  <si>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</si>
  <si>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</si>
  <si>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</si>
  <si>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</si>
  <si>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</si>
  <si>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</si>
  <si>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</si>
  <si>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</si>
  <si>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</si>
  <si>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</si>
  <si>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</si>
  <si>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</si>
  <si>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</si>
  <si>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</si>
  <si>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</si>
  <si>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</si>
  <si>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</si>
  <si>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</si>
  <si>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</si>
  <si>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</si>
  <si>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</si>
  <si>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</si>
  <si>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</si>
  <si>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</si>
  <si>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</si>
  <si>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</si>
  <si>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</si>
  <si>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</si>
  <si>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</si>
  <si>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</si>
  <si>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</si>
  <si>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</si>
  <si>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</si>
  <si>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</si>
  <si>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</si>
  <si>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</si>
  <si>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</si>
  <si>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</si>
  <si>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</si>
  <si>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</si>
  <si>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</si>
  <si>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</si>
  <si>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</si>
  <si>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</si>
  <si>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</si>
  <si>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</si>
  <si>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</si>
  <si>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</si>
  <si>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</si>
  <si>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</si>
  <si>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</si>
  <si>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</si>
  <si>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</si>
  <si>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</si>
  <si>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</si>
  <si>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</si>
  <si>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</si>
  <si>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</si>
  <si>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</si>
  <si>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</si>
  <si>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</si>
  <si>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</si>
  <si>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</si>
  <si>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</si>
  <si>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</si>
  <si>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</si>
  <si>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</si>
  <si>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</si>
  <si>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</si>
  <si>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</si>
  <si>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</si>
  <si>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</si>
  <si>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</si>
  <si>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</si>
  <si>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</si>
  <si>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</si>
  <si>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</si>
  <si>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</si>
  <si>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</si>
  <si>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</si>
  <si>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</si>
  <si>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</si>
  <si>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</si>
  <si>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</si>
  <si>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</si>
  <si>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</si>
  <si>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</si>
  <si>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</si>
  <si>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</si>
  <si>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</si>
  <si>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</si>
  <si>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</si>
  <si>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</si>
  <si>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</si>
  <si>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</si>
  <si>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</si>
  <si>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</si>
  <si>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</si>
  <si>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</si>
  <si>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</si>
  <si>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</si>
  <si>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</si>
  <si>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</si>
  <si>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</si>
  <si>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</si>
  <si>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</si>
  <si>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</si>
  <si>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</si>
  <si>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</si>
  <si>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</si>
  <si>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</si>
  <si>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</si>
  <si>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</si>
  <si>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</si>
  <si>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</si>
  <si>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</si>
  <si>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</si>
  <si>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</si>
  <si>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</si>
  <si>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</si>
  <si>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</si>
  <si>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</si>
  <si>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</si>
  <si>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</si>
  <si>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</si>
  <si>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</si>
  <si>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</si>
  <si>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</si>
  <si>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</si>
  <si>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</si>
  <si>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</si>
  <si>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</si>
  <si>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</si>
  <si>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</si>
  <si>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</si>
  <si>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</si>
  <si>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</si>
  <si>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</si>
  <si>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</si>
  <si>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</si>
  <si>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</si>
  <si>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</si>
  <si>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</si>
  <si>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</si>
  <si>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</si>
  <si>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</si>
  <si>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</si>
  <si>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</si>
  <si>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</si>
  <si>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</si>
  <si>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</si>
  <si>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</si>
  <si>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</si>
  <si>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</si>
  <si>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</si>
  <si>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</si>
  <si>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</si>
  <si>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</si>
  <si>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</si>
  <si>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</si>
  <si>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</si>
  <si>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</si>
  <si>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</si>
  <si>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</si>
  <si>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</si>
  <si>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</si>
  <si>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</si>
  <si>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</si>
  <si>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</si>
  <si>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</si>
  <si>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</si>
  <si>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</si>
  <si>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</si>
  <si>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</si>
  <si>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</si>
  <si>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</si>
  <si>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</si>
  <si>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</si>
  <si>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</si>
  <si>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</si>
  <si>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</si>
  <si>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</si>
  <si>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</si>
  <si>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</si>
  <si>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</si>
  <si>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</si>
  <si>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</si>
  <si>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</si>
  <si>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</si>
  <si>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</si>
  <si>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</si>
  <si>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</si>
  <si>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</si>
  <si>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</si>
  <si>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</si>
  <si>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</si>
  <si>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</si>
  <si>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</si>
  <si>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</si>
  <si>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</si>
  <si>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</si>
  <si>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</si>
  <si>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</si>
  <si>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</si>
  <si>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</si>
  <si>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</si>
  <si>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</si>
  <si>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</si>
  <si>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</si>
  <si>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</si>
  <si>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</si>
  <si>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</si>
  <si>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</si>
  <si>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</si>
  <si>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</si>
  <si>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</si>
  <si>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</si>
  <si>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</si>
  <si>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</si>
  <si>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</si>
  <si>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</si>
  <si>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</si>
  <si>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</si>
  <si>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</si>
  <si>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</si>
  <si>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</si>
  <si>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</si>
  <si>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</si>
  <si>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</si>
  <si>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</si>
  <si>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</si>
  <si>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</si>
  <si>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</si>
  <si>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</si>
  <si>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</si>
  <si>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</si>
  <si>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</si>
  <si>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</si>
  <si>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</si>
  <si>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</si>
  <si>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</si>
  <si>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</si>
  <si>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</si>
  <si>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</si>
  <si>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</si>
  <si>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</si>
  <si>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</si>
  <si>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</si>
  <si>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</si>
  <si>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</si>
  <si>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</si>
  <si>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</si>
  <si>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</si>
  <si>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</si>
  <si>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</si>
  <si>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</si>
  <si>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</si>
  <si>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</si>
  <si>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</si>
  <si>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</si>
  <si>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</si>
  <si>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</si>
  <si>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</si>
  <si>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</si>
  <si>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</si>
  <si>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</si>
  <si>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</si>
  <si>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</si>
  <si>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</si>
  <si>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</si>
  <si>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</si>
  <si>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</si>
  <si>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</si>
  <si>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</si>
  <si>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</si>
  <si>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</si>
  <si>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</si>
  <si>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</si>
  <si>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</si>
  <si>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</si>
  <si>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</si>
  <si>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</si>
  <si>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</si>
  <si>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</si>
  <si>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</si>
  <si>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</si>
  <si>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</si>
  <si>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</si>
  <si>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</si>
  <si>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</si>
  <si>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</si>
  <si>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</si>
  <si>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</si>
  <si>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</si>
  <si>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</si>
  <si>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</si>
  <si>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</si>
  <si>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</si>
  <si>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</si>
  <si>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</si>
  <si>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</si>
  <si>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</si>
  <si>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</si>
  <si>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</si>
  <si>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</si>
  <si>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</si>
  <si>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</si>
  <si>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</si>
  <si>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</si>
  <si>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</si>
  <si>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</si>
  <si>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</si>
  <si>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</si>
  <si>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</si>
  <si>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</si>
  <si>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</si>
  <si>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</si>
  <si>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</si>
  <si>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</si>
  <si>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</si>
  <si>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</si>
  <si>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</si>
  <si>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</si>
  <si>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</si>
  <si>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</si>
  <si>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</si>
  <si>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</si>
  <si>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</si>
  <si>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</si>
  <si>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</si>
  <si>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</si>
  <si>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</si>
  <si>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</si>
  <si>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</si>
  <si>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</si>
  <si>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</si>
  <si>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</si>
  <si>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</si>
  <si>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</si>
  <si>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</si>
  <si>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</si>
  <si>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</si>
  <si>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</si>
  <si>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</si>
  <si>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</si>
  <si>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</si>
  <si>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</si>
  <si>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</si>
  <si>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</si>
  <si>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</si>
  <si>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</si>
  <si>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</si>
  <si>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</si>
  <si>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</si>
  <si>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</si>
  <si>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</si>
  <si>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</si>
  <si>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</si>
  <si>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</si>
  <si>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</si>
  <si>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</si>
  <si>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</si>
  <si>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</si>
  <si>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</si>
  <si>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</si>
  <si>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</si>
  <si>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</si>
  <si>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</si>
  <si>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</si>
  <si>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</si>
  <si>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</si>
  <si>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</si>
  <si>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</si>
  <si>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</si>
  <si>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</si>
  <si>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</si>
  <si>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</si>
  <si>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</si>
  <si>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</si>
  <si>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</si>
  <si>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</si>
  <si>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</si>
  <si>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</si>
  <si>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</si>
  <si>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</si>
  <si>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</si>
  <si>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</si>
  <si>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</si>
  <si>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</si>
  <si>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</si>
  <si>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</si>
  <si>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</si>
  <si>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</si>
  <si>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</si>
  <si>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</si>
  <si>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</si>
  <si>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</si>
  <si>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</si>
  <si>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</si>
  <si>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</si>
  <si>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</si>
  <si>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</si>
  <si>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</si>
  <si>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</si>
  <si>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</si>
  <si>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</si>
  <si>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</si>
  <si>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</si>
  <si>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</si>
  <si>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</si>
  <si>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</si>
  <si>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</si>
  <si>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</si>
  <si>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</si>
  <si>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</si>
  <si>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</si>
  <si>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</si>
  <si>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</si>
  <si>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</si>
  <si>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</si>
  <si>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</si>
  <si>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</si>
  <si>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</si>
  <si>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</si>
  <si>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</si>
  <si>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</si>
  <si>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</si>
  <si>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</si>
  <si>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</si>
  <si>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</si>
  <si>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</si>
  <si>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</si>
  <si>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</si>
  <si>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</si>
  <si>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</si>
  <si>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</si>
  <si>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</si>
  <si>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</si>
  <si>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</si>
  <si>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</si>
  <si>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</si>
  <si>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</si>
  <si>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</si>
  <si>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</si>
  <si>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</si>
  <si>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</si>
  <si>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</si>
  <si>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</si>
  <si>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</si>
  <si>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</si>
  <si>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</si>
  <si>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</si>
  <si>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</si>
  <si>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</si>
  <si>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</si>
  <si>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</si>
  <si>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</si>
  <si>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</si>
  <si>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</si>
  <si>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</si>
  <si>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</si>
  <si>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</si>
  <si>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</si>
  <si>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</si>
  <si>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</si>
  <si>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</si>
  <si>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</si>
  <si>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</si>
  <si>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</si>
  <si>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</si>
  <si>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</si>
  <si>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</si>
  <si>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</si>
  <si>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</si>
  <si>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</si>
  <si>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</si>
  <si>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</si>
  <si>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</si>
  <si>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</si>
  <si>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</si>
  <si>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</si>
  <si>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</si>
  <si>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</si>
  <si>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</si>
  <si>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</si>
  <si>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</si>
  <si>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</si>
  <si>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</si>
  <si>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</si>
  <si>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</si>
  <si>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</si>
  <si>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</si>
  <si>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</si>
  <si>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</si>
  <si>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</si>
  <si>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</si>
  <si>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</si>
  <si>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</si>
  <si>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</si>
  <si>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</si>
  <si>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</si>
  <si>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</si>
  <si>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</si>
  <si>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</si>
  <si>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</si>
  <si>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</si>
  <si>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</si>
  <si>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</si>
  <si>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</si>
  <si>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</si>
  <si>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</si>
  <si>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</si>
  <si>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</si>
  <si>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</si>
  <si>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</si>
  <si>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</si>
  <si>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</si>
  <si>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</si>
  <si>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</si>
  <si>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</si>
  <si>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</si>
  <si>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</si>
  <si>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</si>
  <si>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</si>
  <si>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</si>
  <si>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</si>
  <si>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</si>
  <si>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</si>
  <si>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</si>
  <si>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</si>
  <si>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</si>
  <si>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</si>
  <si>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</si>
  <si>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</si>
  <si>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</si>
  <si>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</si>
  <si>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</si>
  <si>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</si>
  <si>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</si>
  <si>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</si>
  <si>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</si>
  <si>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</si>
  <si>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</si>
  <si>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</si>
  <si>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</si>
  <si>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</si>
  <si>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</si>
  <si>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</si>
  <si>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</si>
  <si>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</si>
  <si>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</si>
  <si>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</si>
  <si>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</si>
  <si>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</si>
  <si>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</si>
  <si>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</si>
  <si>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</si>
  <si>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</si>
  <si>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</si>
  <si>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</si>
  <si>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</si>
  <si>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</si>
  <si>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</si>
  <si>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</si>
  <si>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</si>
  <si>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</si>
  <si>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</si>
  <si>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</si>
  <si>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</si>
  <si>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</si>
  <si>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</si>
  <si>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</si>
  <si>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</si>
  <si>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</si>
  <si>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</si>
  <si>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</si>
  <si>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</si>
  <si>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</si>
  <si>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</si>
  <si>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</si>
  <si>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</si>
  <si>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</si>
  <si>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</si>
  <si>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</si>
  <si>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</si>
  <si>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</si>
  <si>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</si>
  <si>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</si>
  <si>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</si>
  <si>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</si>
  <si>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</si>
  <si>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</si>
  <si>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</si>
  <si>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</si>
  <si>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</si>
  <si>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</si>
  <si>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</si>
  <si>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</si>
  <si>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</si>
  <si>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</si>
  <si>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</si>
  <si>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</si>
  <si>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</si>
  <si>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</si>
  <si>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</si>
  <si>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</si>
  <si>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</si>
  <si>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</si>
  <si>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</si>
  <si>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</si>
  <si>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</si>
  <si>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</si>
  <si>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</si>
  <si>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</si>
  <si>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</si>
  <si>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</si>
  <si>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</si>
  <si>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</si>
  <si>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</si>
  <si>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</si>
  <si>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</si>
  <si>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</si>
  <si>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</si>
  <si>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</si>
  <si>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</si>
  <si>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</si>
  <si>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</si>
  <si>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</si>
  <si>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</si>
  <si>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</si>
  <si>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</si>
  <si>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</si>
  <si>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</si>
  <si>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</si>
  <si>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</si>
  <si>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</si>
  <si>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</si>
  <si>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</si>
  <si>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</si>
  <si>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</si>
  <si>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</si>
  <si>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</si>
  <si>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</si>
  <si>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</si>
  <si>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</si>
  <si>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</si>
  <si>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</si>
  <si>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</si>
  <si>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</si>
  <si>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</si>
  <si>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</si>
  <si>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</si>
  <si>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</si>
  <si>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</si>
  <si>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</si>
  <si>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</si>
  <si>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</si>
  <si>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</si>
  <si>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</si>
  <si>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</si>
  <si>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</si>
  <si>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</si>
  <si>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</si>
  <si>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</si>
  <si>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</si>
  <si>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</si>
  <si>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</si>
  <si>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</si>
  <si>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</si>
  <si>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</si>
  <si>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</si>
  <si>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</si>
  <si>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</si>
  <si>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</si>
  <si>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</si>
  <si>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</si>
  <si>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</si>
  <si>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</si>
  <si>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</si>
  <si>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</si>
  <si>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</si>
  <si>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</si>
  <si>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</si>
  <si>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</si>
  <si>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</si>
  <si>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</si>
  <si>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</si>
  <si>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</si>
  <si>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</si>
  <si>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</si>
  <si>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</si>
  <si>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</si>
  <si>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</si>
  <si>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</si>
  <si>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</si>
  <si>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</si>
  <si>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</si>
  <si>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</si>
  <si>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</si>
  <si>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</si>
  <si>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</si>
  <si>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</si>
  <si>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</si>
  <si>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</si>
  <si>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</si>
  <si>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</si>
  <si>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</si>
  <si>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</si>
  <si>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</si>
  <si>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</si>
  <si>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</si>
  <si>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</si>
  <si>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</si>
  <si>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</si>
  <si>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</si>
  <si>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</si>
  <si>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</si>
  <si>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</si>
  <si>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</si>
  <si>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</si>
  <si>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</si>
  <si>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</si>
  <si>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</si>
  <si>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</si>
  <si>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</si>
  <si>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</si>
  <si>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</si>
  <si>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</si>
  <si>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</si>
  <si>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</si>
  <si>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</si>
  <si>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</si>
  <si>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</si>
  <si>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</si>
  <si>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</si>
  <si>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</si>
  <si>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</si>
  <si>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</si>
  <si>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</si>
  <si>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</si>
  <si>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</si>
  <si>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</si>
  <si>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</si>
  <si>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</si>
  <si>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</si>
  <si>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</si>
  <si>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</si>
  <si>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</si>
  <si>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</si>
  <si>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</si>
  <si>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</si>
  <si>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</si>
  <si>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</si>
  <si>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</si>
  <si>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</si>
  <si>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</si>
  <si>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</si>
  <si>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</si>
  <si>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</si>
  <si>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</si>
  <si>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</si>
  <si>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</si>
  <si>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</si>
  <si>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</si>
  <si>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</si>
  <si>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</si>
  <si>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</si>
  <si>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</si>
  <si>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</si>
  <si>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</si>
  <si>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</si>
  <si>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</si>
  <si>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</si>
  <si>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</si>
  <si>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</si>
  <si>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</si>
  <si>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</si>
  <si>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</si>
  <si>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</si>
  <si>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</si>
  <si>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</si>
  <si>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</si>
  <si>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</si>
  <si>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</si>
  <si>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</si>
  <si>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</si>
  <si>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</si>
  <si>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</si>
  <si>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</si>
  <si>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</si>
  <si>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</si>
  <si>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</si>
  <si>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</si>
  <si>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</si>
  <si>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</si>
  <si>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</si>
  <si>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</si>
  <si>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</si>
  <si>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</si>
  <si>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</si>
  <si>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</si>
  <si>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</si>
  <si>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</si>
  <si>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</si>
  <si>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</si>
  <si>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</si>
  <si>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</si>
  <si>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</si>
  <si>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</si>
  <si>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</si>
  <si>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</si>
  <si>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</si>
  <si>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</si>
  <si>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</si>
  <si>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</si>
  <si>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</si>
  <si>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</si>
  <si>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</si>
  <si>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</si>
  <si>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</si>
  <si>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</si>
  <si>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</si>
  <si>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</si>
  <si>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</si>
  <si>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</si>
  <si>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</si>
  <si>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</si>
  <si>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</si>
  <si>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</si>
  <si>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</si>
  <si>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</si>
  <si>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</si>
  <si>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</si>
  <si>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</si>
  <si>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</si>
  <si>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</si>
  <si>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</si>
  <si>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</si>
  <si>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</si>
  <si>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</si>
  <si>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</si>
  <si>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</si>
  <si>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</si>
  <si>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</si>
  <si>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</si>
  <si>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</si>
  <si>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</si>
  <si>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</si>
  <si>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</si>
  <si>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</si>
  <si>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</si>
  <si>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</si>
  <si>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</si>
  <si>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</si>
  <si>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</si>
  <si>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</si>
  <si>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</si>
  <si>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</si>
  <si>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</si>
  <si>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</si>
  <si>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</si>
  <si>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</si>
  <si>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</si>
  <si>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</si>
  <si>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</si>
  <si>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</si>
  <si>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</si>
  <si>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</si>
  <si>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</si>
  <si>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</si>
  <si>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</si>
  <si>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</si>
  <si>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</si>
  <si>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</si>
  <si>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</si>
  <si>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</si>
  <si>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</si>
  <si>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</si>
  <si>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</si>
  <si>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</si>
  <si>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</si>
  <si>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</si>
  <si>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</si>
  <si>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</si>
  <si>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</si>
  <si>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</si>
  <si>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</si>
  <si>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</si>
  <si>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</si>
  <si>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</si>
  <si>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</si>
  <si>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</si>
  <si>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</si>
  <si>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</si>
  <si>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</si>
  <si>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</si>
  <si>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</si>
  <si>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</si>
  <si>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</si>
  <si>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</si>
  <si>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</si>
  <si>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</si>
  <si>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</si>
  <si>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</si>
  <si>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</si>
  <si>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</si>
  <si>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</si>
  <si>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</si>
  <si>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</si>
  <si>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</si>
  <si>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</si>
  <si>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</si>
  <si>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</si>
  <si>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</si>
  <si>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</si>
  <si>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</si>
  <si>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</si>
  <si>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</si>
  <si>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</si>
  <si>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</si>
  <si>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</si>
  <si>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</si>
  <si>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</si>
  <si>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</si>
  <si>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</si>
  <si>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</si>
  <si>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</si>
  <si>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</si>
  <si>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</si>
  <si>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</si>
  <si>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</si>
  <si>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</si>
  <si>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</si>
  <si>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</si>
  <si>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</si>
  <si>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</si>
  <si>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</si>
  <si>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</si>
  <si>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</si>
  <si>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</si>
  <si>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</si>
  <si>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</si>
  <si>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</si>
  <si>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</si>
  <si>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</si>
  <si>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</si>
  <si>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</si>
  <si>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</si>
  <si>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</si>
  <si>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</si>
  <si>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</si>
  <si>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</si>
  <si>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</si>
  <si>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</si>
  <si>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</si>
  <si>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</si>
  <si>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</si>
  <si>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</si>
  <si>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</si>
  <si>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</si>
  <si>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</si>
  <si>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</si>
  <si>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</si>
  <si>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</si>
  <si>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</si>
  <si>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</si>
  <si>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</si>
  <si>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</si>
  <si>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</si>
  <si>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</si>
  <si>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</si>
  <si>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</si>
  <si>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</si>
  <si>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</si>
  <si>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</si>
  <si>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</si>
  <si>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</si>
  <si>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</si>
  <si>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</si>
  <si>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</si>
  <si>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</si>
  <si>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</si>
  <si>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</si>
  <si>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</si>
  <si>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</si>
  <si>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</si>
  <si>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</si>
  <si>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</si>
  <si>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</si>
  <si>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</si>
  <si>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</si>
  <si>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</si>
  <si>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</si>
  <si>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</si>
  <si>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</si>
  <si>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</si>
  <si>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</si>
  <si>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</si>
  <si>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</si>
  <si>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</si>
  <si>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</si>
  <si>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</si>
  <si>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</si>
  <si>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</si>
  <si>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</si>
  <si>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</si>
  <si>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</si>
  <si>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</si>
  <si>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</si>
  <si>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</si>
  <si>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</si>
  <si>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</si>
  <si>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</si>
  <si>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</si>
  <si>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</si>
  <si>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</si>
  <si>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</si>
  <si>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</si>
  <si>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</si>
  <si>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</si>
  <si>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</si>
  <si>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</si>
  <si>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</si>
  <si>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</si>
  <si>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</si>
  <si>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</si>
  <si>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</si>
  <si>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</si>
  <si>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</si>
  <si>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</si>
  <si>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</si>
  <si>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</si>
  <si>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</si>
  <si>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</si>
  <si>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</si>
  <si>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</si>
  <si>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</si>
  <si>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</si>
  <si>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</si>
  <si>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</si>
  <si>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</si>
  <si>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</si>
  <si>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</si>
  <si>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</si>
  <si>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</si>
  <si>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</si>
  <si>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</si>
  <si>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</si>
  <si>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</si>
  <si>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</si>
  <si>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</si>
  <si>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</si>
  <si>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</si>
  <si>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</si>
  <si>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</si>
  <si>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</si>
  <si>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</si>
  <si>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</si>
  <si>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</si>
  <si>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</si>
  <si>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</si>
  <si>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</si>
  <si>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</si>
  <si>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</si>
  <si>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</si>
  <si>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</si>
  <si>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</si>
  <si>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</si>
  <si>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</si>
  <si>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</si>
  <si>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</si>
  <si>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</si>
  <si>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</si>
  <si>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</si>
  <si>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</si>
  <si>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</si>
  <si>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</si>
  <si>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</si>
  <si>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</si>
  <si>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</si>
  <si>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</si>
  <si>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</si>
  <si>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</si>
  <si>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</si>
  <si>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</si>
  <si>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</si>
  <si>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</si>
  <si>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</si>
  <si>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</si>
  <si>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</si>
  <si>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</si>
  <si>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</si>
  <si>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</si>
  <si>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</si>
  <si>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</si>
  <si>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</si>
  <si>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</si>
  <si>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</si>
  <si>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</si>
  <si>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</si>
  <si>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</si>
  <si>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</si>
  <si>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</si>
  <si>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</si>
  <si>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</si>
  <si>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</si>
  <si>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</si>
  <si>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</si>
  <si>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</si>
  <si>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</si>
  <si>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</si>
  <si>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</si>
  <si>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</si>
  <si>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</si>
  <si>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</si>
  <si>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</si>
  <si>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</si>
  <si>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</si>
  <si>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</si>
  <si>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</si>
  <si>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</si>
  <si>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</si>
  <si>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</si>
  <si>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</si>
  <si>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</si>
  <si>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</si>
  <si>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</si>
  <si>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</si>
  <si>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</si>
  <si>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</si>
  <si>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</si>
  <si>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</si>
  <si>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</si>
  <si>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</si>
  <si>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</si>
  <si>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</si>
  <si>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</si>
  <si>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</si>
  <si>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</si>
  <si>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</si>
  <si>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</si>
  <si>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</si>
  <si>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</si>
  <si>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</si>
  <si>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</si>
  <si>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</si>
  <si>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</si>
  <si>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</si>
  <si>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</si>
  <si>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</si>
  <si>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</si>
  <si>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</si>
  <si>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</si>
  <si>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</si>
  <si>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</si>
  <si>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</si>
  <si>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</si>
  <si>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</si>
  <si>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</si>
  <si>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</si>
  <si>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</si>
  <si>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</si>
  <si>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</si>
  <si>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</si>
  <si>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</si>
  <si>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</si>
  <si>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</si>
  <si>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</si>
  <si>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</si>
  <si>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</si>
  <si>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</si>
  <si>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</si>
  <si>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</si>
  <si>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</si>
  <si>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</si>
  <si>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</si>
  <si>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</si>
  <si>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</si>
  <si>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</si>
  <si>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</si>
  <si>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</si>
  <si>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</si>
  <si>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</si>
  <si>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</si>
  <si>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</si>
  <si>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</si>
  <si>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</si>
  <si>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</si>
  <si>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</si>
  <si>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</si>
  <si>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</si>
  <si>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</si>
  <si>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</si>
  <si>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</si>
  <si>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</si>
  <si>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</si>
  <si>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</si>
  <si>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</si>
  <si>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</si>
  <si>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</si>
  <si>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</si>
  <si>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</si>
  <si>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</si>
  <si>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</si>
  <si>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</si>
  <si>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</si>
  <si>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</si>
  <si>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</si>
  <si>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</si>
  <si>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</si>
  <si>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</si>
  <si>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</si>
  <si>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</si>
  <si>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</si>
  <si>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</si>
  <si>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</si>
  <si>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</si>
  <si>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</si>
  <si>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</si>
  <si>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</si>
  <si>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</si>
  <si>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</si>
  <si>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</si>
  <si>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</si>
  <si>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</si>
  <si>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</si>
  <si>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</si>
  <si>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</si>
  <si>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</si>
  <si>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</si>
  <si>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</si>
  <si>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</si>
  <si>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</si>
  <si>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</si>
  <si>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</si>
  <si>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</si>
  <si>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</si>
  <si>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</si>
  <si>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</si>
  <si>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</si>
  <si>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</si>
  <si>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</si>
  <si>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</si>
  <si>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</si>
  <si>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</si>
  <si>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</si>
  <si>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</si>
  <si>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</si>
  <si>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</si>
  <si>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</si>
  <si>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</si>
  <si>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</si>
  <si>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</si>
  <si>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</si>
  <si>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</si>
  <si>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</si>
  <si>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</si>
  <si>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</si>
  <si>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</si>
  <si>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</si>
  <si>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</si>
  <si>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</si>
  <si>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</si>
  <si>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</si>
  <si>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</si>
  <si>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</si>
  <si>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</si>
  <si>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</si>
  <si>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</si>
  <si>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</si>
  <si>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</si>
  <si>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</si>
  <si>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</si>
  <si>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</si>
  <si>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</si>
  <si>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</si>
  <si>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</si>
  <si>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</si>
  <si>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</si>
  <si>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</si>
  <si>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</si>
  <si>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</si>
  <si>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</si>
  <si>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</si>
  <si>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</si>
  <si>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</si>
  <si>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</si>
  <si>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</si>
  <si>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</si>
  <si>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</si>
  <si>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</si>
  <si>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</si>
  <si>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</si>
  <si>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</si>
  <si>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</si>
  <si>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</si>
  <si>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</si>
  <si>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</si>
  <si>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</si>
  <si>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</si>
  <si>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</si>
  <si>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</si>
  <si>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</si>
  <si>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</si>
  <si>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</si>
  <si>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</si>
  <si>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</si>
  <si>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</si>
  <si>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</si>
  <si>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</si>
  <si>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</si>
  <si>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</si>
  <si>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</si>
  <si>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</si>
  <si>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</si>
  <si>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</si>
  <si>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</si>
  <si>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</si>
  <si>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</si>
  <si>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</si>
  <si>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</si>
  <si>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</si>
  <si>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</si>
  <si>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</si>
  <si>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</si>
  <si>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</si>
  <si>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</si>
  <si>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</si>
  <si>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</si>
  <si>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</si>
  <si>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</si>
  <si>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</si>
  <si>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</si>
  <si>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</si>
  <si>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</si>
  <si>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</si>
  <si>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</si>
  <si>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</si>
  <si>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</si>
  <si>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</si>
  <si>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</si>
  <si>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</si>
  <si>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</si>
  <si>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</si>
  <si>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</si>
  <si>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</si>
  <si>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</si>
  <si>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</si>
  <si>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</si>
  <si>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</si>
  <si>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</si>
  <si>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</si>
  <si>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</si>
  <si>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</si>
  <si>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</si>
  <si>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</si>
  <si>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</si>
  <si>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</si>
  <si>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</si>
  <si>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</si>
  <si>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</si>
  <si>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</si>
  <si>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</si>
  <si>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</si>
  <si>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</si>
  <si>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</si>
  <si>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</si>
  <si>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</si>
  <si>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</si>
  <si>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</si>
  <si>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</si>
  <si>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</si>
  <si>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</si>
  <si>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</si>
  <si>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</si>
  <si>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</si>
  <si>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</si>
  <si>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</si>
  <si>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</si>
  <si>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</si>
  <si>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</si>
  <si>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</si>
  <si>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</si>
  <si>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</si>
  <si>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</si>
  <si>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</si>
  <si>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</si>
  <si>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</si>
  <si>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</si>
  <si>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</si>
  <si>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</si>
  <si>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</si>
  <si>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</si>
  <si>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</si>
  <si>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</si>
  <si>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</si>
  <si>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</si>
  <si>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</si>
  <si>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</si>
  <si>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</si>
  <si>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</si>
  <si>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</si>
  <si>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</si>
  <si>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</si>
  <si>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</si>
  <si>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</si>
  <si>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</si>
  <si>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</si>
  <si>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</si>
  <si>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</si>
  <si>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</si>
  <si>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</si>
  <si>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</si>
  <si>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</si>
  <si>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</si>
  <si>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</si>
  <si>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</si>
  <si>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</si>
  <si>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</si>
  <si>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</si>
  <si>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</si>
  <si>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</si>
  <si>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</si>
  <si>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</si>
  <si>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</si>
  <si>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</si>
  <si>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</si>
  <si>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</si>
  <si>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</si>
  <si>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</si>
  <si>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</si>
  <si>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</si>
  <si>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</si>
  <si>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</si>
  <si>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</si>
  <si>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</si>
  <si>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</si>
  <si>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</si>
  <si>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</si>
  <si>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</si>
  <si>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</si>
  <si>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</si>
  <si>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</si>
  <si>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</si>
  <si>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</si>
  <si>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</si>
  <si>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</si>
  <si>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</si>
  <si>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</si>
  <si>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</si>
  <si>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</si>
  <si>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</si>
  <si>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</si>
  <si>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</si>
  <si>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</si>
  <si>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</si>
  <si>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</si>
  <si>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</si>
  <si>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</si>
  <si>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</si>
  <si>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</si>
  <si>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</si>
  <si>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</si>
  <si>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</si>
  <si>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</si>
  <si>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</si>
  <si>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</si>
  <si>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</si>
  <si>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</si>
  <si>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</si>
  <si>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</si>
  <si>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</si>
  <si>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</si>
  <si>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</si>
  <si>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</si>
  <si>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</si>
  <si>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</si>
  <si>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</si>
  <si>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</si>
  <si>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</si>
  <si>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</si>
  <si>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</si>
  <si>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</si>
  <si>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</si>
  <si>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</si>
  <si>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</si>
  <si>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</si>
  <si>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</si>
  <si>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</si>
  <si>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</si>
  <si>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</si>
  <si>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</si>
  <si>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</si>
  <si>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</si>
  <si>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</si>
  <si>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</si>
  <si>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</si>
  <si>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</si>
  <si>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</si>
  <si>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</si>
  <si>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</si>
  <si>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</si>
  <si>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</si>
  <si>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</si>
  <si>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</si>
  <si>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</si>
  <si>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</si>
  <si>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</si>
  <si>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</si>
  <si>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</si>
  <si>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</si>
  <si>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</si>
  <si>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</si>
  <si>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</si>
  <si>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</si>
  <si>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</si>
  <si>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</si>
  <si>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</si>
  <si>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</si>
  <si>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</si>
  <si>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</si>
  <si>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</si>
  <si>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</si>
  <si>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</si>
  <si>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</si>
  <si>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</si>
  <si>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</si>
  <si>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</si>
  <si>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</si>
  <si>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</si>
  <si>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</si>
  <si>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</si>
  <si>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</si>
  <si>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</si>
  <si>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</si>
  <si>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</si>
  <si>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</si>
  <si>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</si>
  <si>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</si>
  <si>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</si>
  <si>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</si>
  <si>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</si>
  <si>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</si>
  <si>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</si>
  <si>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</si>
  <si>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</si>
  <si>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</si>
  <si>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</si>
  <si>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</si>
  <si>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</si>
  <si>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</si>
  <si>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</si>
  <si>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</si>
  <si>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</si>
  <si>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</si>
  <si>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</si>
  <si>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</si>
  <si>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</si>
  <si>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</si>
  <si>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</si>
  <si>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</si>
  <si>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</si>
  <si>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</si>
  <si>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</si>
  <si>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</si>
  <si>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</si>
  <si>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</si>
  <si>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</si>
  <si>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</si>
  <si>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</si>
  <si>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</si>
  <si>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</si>
  <si>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</si>
  <si>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</si>
  <si>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</si>
  <si>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</si>
  <si>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</si>
  <si>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</si>
  <si>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</si>
  <si>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</si>
  <si>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</si>
  <si>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</si>
  <si>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</si>
  <si>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</si>
  <si>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</si>
  <si>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</si>
  <si>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</si>
  <si>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</si>
  <si>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</si>
  <si>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</si>
  <si>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</si>
  <si>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</si>
  <si>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</si>
  <si>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</si>
  <si>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</si>
  <si>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</si>
  <si>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</si>
  <si>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</si>
  <si>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</si>
  <si>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</si>
  <si>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</si>
  <si>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</si>
  <si>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</si>
  <si>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</si>
  <si>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</si>
  <si>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</si>
  <si>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</si>
  <si>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</si>
  <si>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</si>
  <si>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</si>
  <si>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</si>
  <si>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</si>
  <si>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</si>
  <si>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</si>
  <si>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</si>
  <si>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</si>
  <si>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</si>
  <si>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</si>
  <si>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</si>
  <si>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</si>
  <si>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</si>
  <si>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</si>
  <si>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</si>
  <si>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</si>
  <si>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</si>
  <si>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</si>
  <si>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</si>
  <si>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</si>
  <si>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</si>
  <si>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</si>
  <si>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</si>
  <si>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</si>
  <si>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</si>
  <si>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</si>
  <si>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</si>
  <si>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</si>
  <si>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</si>
  <si>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</si>
  <si>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</si>
  <si>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</si>
  <si>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</si>
  <si>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</si>
  <si>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</si>
  <si>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</si>
  <si>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</si>
  <si>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</si>
  <si>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</si>
  <si>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</si>
  <si>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</si>
  <si>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</si>
  <si>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</si>
  <si>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</si>
  <si>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</si>
  <si>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</si>
  <si>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</si>
  <si>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</si>
  <si>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</si>
  <si>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</si>
  <si>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</si>
  <si>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</si>
  <si>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</si>
  <si>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</si>
  <si>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</si>
  <si>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</si>
  <si>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</si>
  <si>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</si>
  <si>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</si>
  <si>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</si>
  <si>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</si>
  <si>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</si>
  <si>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</si>
  <si>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</si>
  <si>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</si>
  <si>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</si>
  <si>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</si>
  <si>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</si>
  <si>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</si>
  <si>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</si>
  <si>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</si>
  <si>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</si>
  <si>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</si>
  <si>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</si>
  <si>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</si>
  <si>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</si>
  <si>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</si>
  <si>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</si>
  <si>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</si>
  <si>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</si>
  <si>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</si>
  <si>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</si>
  <si>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</si>
  <si>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</si>
  <si>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</si>
  <si>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</si>
  <si>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</si>
  <si>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</si>
  <si>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</si>
  <si>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</si>
  <si>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</si>
  <si>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</si>
  <si>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</si>
  <si>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</si>
  <si>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</si>
  <si>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</si>
  <si>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</si>
  <si>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</si>
  <si>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</si>
  <si>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</si>
  <si>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</si>
  <si>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</si>
  <si>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</si>
  <si>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</si>
  <si>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</si>
  <si>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</si>
  <si>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</si>
  <si>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</si>
  <si>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</si>
  <si>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</si>
  <si>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</si>
  <si>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</si>
  <si>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</si>
  <si>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</si>
  <si>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</si>
  <si>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</si>
  <si>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</si>
  <si>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</si>
  <si>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</si>
  <si>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</si>
  <si>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</si>
  <si>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</si>
  <si>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</si>
  <si>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</si>
  <si>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</si>
  <si>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</si>
  <si>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</si>
  <si>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</si>
  <si>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</si>
  <si>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</si>
  <si>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</si>
  <si>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</si>
  <si>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</si>
  <si>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</si>
  <si>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</si>
  <si>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</si>
  <si>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</si>
  <si>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</si>
  <si>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</si>
  <si>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</si>
  <si>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</si>
  <si>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</si>
  <si>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</si>
  <si>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</si>
  <si>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</si>
  <si>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</si>
  <si>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</si>
  <si>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</si>
  <si>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</si>
  <si>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</si>
  <si>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</si>
  <si>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</si>
  <si>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</si>
  <si>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</si>
  <si>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</si>
  <si>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</si>
  <si>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</si>
  <si>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</si>
  <si>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</si>
  <si>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</si>
  <si>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</si>
  <si>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</si>
  <si>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</si>
  <si>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</si>
  <si>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</si>
  <si>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</si>
  <si>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</si>
  <si>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</si>
  <si>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</si>
  <si>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</si>
  <si>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</si>
  <si>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</si>
  <si>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</si>
  <si>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</si>
  <si>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</si>
  <si>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</si>
  <si>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</si>
  <si>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</si>
  <si>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</si>
  <si>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</si>
  <si>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</si>
  <si>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</si>
  <si>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</si>
  <si>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</si>
  <si>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</si>
  <si>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</si>
  <si>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</si>
  <si>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</si>
  <si>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</si>
  <si>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</si>
  <si>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</si>
  <si>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</si>
  <si>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</si>
  <si>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</si>
  <si>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</si>
  <si>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</si>
  <si>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</si>
  <si>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</si>
  <si>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</si>
  <si>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</si>
  <si>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</si>
  <si>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</si>
  <si>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</si>
  <si>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</si>
  <si>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</si>
  <si>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</si>
  <si>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</si>
  <si>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</si>
  <si>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</si>
  <si>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</si>
  <si>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</si>
  <si>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</si>
  <si>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</si>
  <si>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</si>
  <si>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</si>
  <si>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</si>
  <si>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</si>
  <si>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</si>
  <si>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</si>
  <si>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</si>
  <si>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</si>
  <si>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</si>
  <si>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</si>
  <si>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</si>
  <si>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</si>
  <si>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</si>
  <si>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</si>
  <si>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</si>
  <si>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</si>
  <si>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</si>
  <si>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</si>
  <si>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</si>
  <si>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</si>
  <si>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</si>
  <si>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</si>
  <si>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</si>
  <si>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</si>
  <si>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</si>
  <si>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</si>
  <si>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</si>
  <si>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</si>
  <si>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</si>
  <si>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</si>
  <si>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</si>
  <si>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</si>
  <si>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</si>
  <si>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</si>
  <si>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</si>
  <si>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</si>
  <si>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</si>
  <si>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</si>
  <si>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</si>
  <si>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</si>
  <si>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</si>
  <si>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</si>
  <si>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</si>
  <si>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</si>
  <si>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</si>
  <si>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</si>
  <si>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</si>
  <si>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</si>
  <si>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</si>
  <si>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</si>
  <si>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</si>
  <si>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</si>
  <si>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</si>
  <si>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</si>
  <si>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</si>
  <si>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</si>
  <si>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</si>
  <si>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</si>
  <si>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</si>
  <si>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</si>
  <si>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</si>
  <si>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</si>
  <si>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</si>
  <si>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</si>
  <si>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</si>
  <si>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</si>
  <si>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</si>
  <si>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</si>
  <si>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</si>
  <si>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</si>
  <si>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</si>
  <si>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</si>
  <si>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</si>
  <si>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</si>
  <si>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</si>
  <si>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</si>
  <si>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</si>
  <si>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</si>
  <si>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</si>
  <si>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</si>
  <si>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</si>
  <si>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</si>
  <si>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</si>
  <si>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</si>
  <si>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</si>
  <si>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</si>
  <si>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</si>
  <si>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</si>
  <si>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</si>
  <si>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</si>
  <si>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</si>
  <si>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</si>
  <si>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</si>
  <si>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</si>
  <si>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</si>
  <si>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</si>
  <si>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</si>
  <si>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</si>
  <si>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</si>
  <si>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</si>
  <si>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</si>
  <si>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</si>
  <si>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</si>
  <si>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</si>
  <si>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</si>
  <si>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</si>
  <si>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</si>
  <si>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</si>
  <si>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</si>
  <si>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</si>
  <si>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</si>
  <si>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</si>
  <si>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</si>
  <si>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</si>
  <si>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</si>
  <si>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</si>
  <si>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</si>
  <si>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</si>
  <si>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</si>
  <si>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</si>
  <si>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</si>
  <si>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</si>
  <si>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</si>
  <si>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</si>
  <si>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</si>
  <si>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</si>
  <si>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</si>
  <si>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</si>
  <si>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</si>
  <si>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</si>
  <si>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</si>
  <si>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</si>
  <si>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</si>
  <si>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</si>
  <si>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</si>
  <si>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</si>
  <si>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</si>
  <si>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</si>
  <si>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</si>
  <si>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</si>
  <si>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</si>
  <si>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</si>
  <si>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</si>
  <si>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</si>
  <si>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</si>
  <si>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</si>
  <si>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</si>
  <si>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</si>
  <si>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</si>
  <si>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</si>
  <si>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</si>
  <si>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</si>
  <si>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</si>
  <si>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</si>
  <si>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</si>
  <si>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</si>
  <si>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</si>
  <si>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</si>
  <si>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</si>
  <si>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</si>
  <si>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</si>
  <si>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</si>
  <si>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</si>
  <si>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</si>
  <si>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</si>
  <si>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</si>
  <si>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</si>
  <si>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</si>
  <si>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</si>
  <si>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</si>
  <si>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</si>
  <si>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</si>
  <si>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</si>
  <si>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</si>
  <si>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</si>
  <si>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</si>
  <si>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</si>
  <si>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</si>
  <si>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</si>
  <si>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</si>
  <si>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</si>
  <si>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</si>
  <si>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</si>
  <si>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</si>
  <si>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</si>
  <si>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</si>
  <si>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</si>
  <si>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</si>
  <si>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</si>
  <si>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</si>
  <si>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</si>
  <si>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</si>
  <si>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</si>
  <si>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</si>
  <si>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</si>
  <si>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</si>
  <si>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</si>
  <si>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</si>
  <si>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</si>
  <si>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</si>
  <si>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</si>
  <si>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</si>
  <si>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</si>
  <si>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</si>
  <si>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</si>
  <si>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</si>
  <si>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</si>
  <si>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</si>
  <si>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</si>
  <si>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</si>
  <si>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</si>
  <si>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</si>
  <si>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</si>
  <si>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</si>
  <si>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</si>
  <si>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</si>
  <si>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</si>
  <si>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</si>
  <si>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</si>
  <si>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</si>
  <si>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</si>
  <si>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</si>
  <si>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</si>
  <si>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</si>
  <si>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</si>
  <si>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</si>
  <si>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</si>
  <si>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</si>
  <si>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</si>
  <si>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</si>
  <si>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</si>
  <si>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</si>
  <si>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</si>
  <si>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</si>
  <si>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</si>
  <si>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</si>
  <si>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</si>
  <si>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</si>
  <si>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</si>
  <si>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</si>
  <si>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</si>
  <si>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</si>
  <si>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</si>
  <si>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</si>
  <si>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</si>
  <si>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</si>
  <si>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</si>
  <si>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</si>
  <si>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</si>
  <si>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</si>
  <si>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</si>
  <si>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</si>
  <si>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</si>
  <si>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</si>
  <si>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</si>
  <si>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</si>
  <si>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</si>
  <si>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</si>
  <si>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</si>
  <si>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</si>
  <si>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</si>
  <si>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</si>
  <si>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</si>
  <si>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</si>
  <si>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</si>
  <si>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</si>
  <si>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</si>
  <si>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</si>
  <si>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</si>
  <si>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</si>
  <si>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</si>
  <si>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</si>
  <si>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</si>
  <si>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</si>
  <si>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</si>
  <si>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</si>
  <si>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</si>
  <si>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</si>
  <si>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</si>
  <si>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</si>
  <si>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</si>
  <si>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</si>
  <si>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</si>
  <si>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</si>
  <si>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</si>
  <si>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</si>
  <si>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</si>
  <si>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</si>
  <si>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</si>
  <si>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</si>
  <si>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</si>
  <si>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</si>
  <si>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</si>
  <si>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</si>
  <si>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</si>
  <si>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</si>
  <si>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</si>
  <si>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</si>
  <si>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</si>
  <si>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</si>
  <si>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</si>
  <si>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</si>
  <si>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</si>
  <si>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</si>
  <si>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</si>
  <si>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</si>
  <si>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</si>
  <si>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</si>
  <si>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</si>
  <si>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</si>
  <si>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</si>
  <si>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</si>
  <si>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</si>
  <si>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</si>
  <si>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</si>
  <si>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</si>
  <si>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</si>
  <si>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</si>
  <si>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</si>
  <si>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</si>
  <si>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</si>
  <si>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</si>
  <si>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</si>
  <si>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</si>
  <si>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</si>
  <si>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</si>
  <si>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</si>
  <si>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</si>
  <si>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</si>
  <si>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</si>
  <si>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</si>
  <si>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</si>
  <si>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</si>
  <si>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</si>
  <si>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</si>
  <si>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</si>
  <si>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</si>
  <si>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</si>
  <si>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</si>
  <si>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</si>
  <si>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</si>
  <si>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</si>
  <si>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</si>
  <si>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</si>
  <si>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</si>
  <si>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</si>
  <si>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</si>
  <si>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</si>
  <si>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</si>
  <si>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</si>
  <si>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</si>
  <si>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</si>
  <si>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</si>
  <si>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</si>
  <si>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</si>
  <si>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</si>
  <si>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</si>
  <si>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</si>
  <si>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</si>
  <si>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</si>
  <si>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</si>
  <si>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</si>
  <si>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</si>
  <si>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</si>
  <si>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</si>
  <si>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</si>
  <si>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</si>
  <si>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</si>
  <si>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</si>
  <si>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</si>
  <si>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</si>
  <si>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</si>
  <si>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</si>
  <si>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</si>
  <si>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</si>
  <si>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</si>
  <si>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</si>
  <si>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</si>
  <si>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</si>
  <si>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</si>
  <si>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</si>
  <si>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</si>
  <si>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</si>
  <si>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</si>
  <si>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</si>
  <si>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</si>
  <si>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</si>
  <si>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</si>
  <si>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</si>
  <si>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</si>
  <si>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</si>
  <si>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</si>
  <si>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</si>
  <si>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</si>
  <si>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</si>
  <si>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</si>
  <si>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</si>
  <si>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</si>
  <si>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</si>
  <si>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</si>
  <si>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</si>
  <si>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</si>
  <si>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</si>
  <si>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</si>
  <si>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</si>
  <si>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</si>
  <si>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</si>
  <si>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</si>
  <si>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</si>
  <si>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</si>
  <si>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</si>
  <si>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</si>
  <si>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</si>
  <si>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</si>
  <si>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</si>
  <si>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</si>
  <si>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</si>
  <si>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</si>
  <si>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</si>
  <si>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</si>
  <si>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</si>
  <si>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</si>
  <si>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</si>
  <si>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</si>
  <si>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</si>
  <si>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</si>
  <si>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</si>
  <si>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</si>
  <si>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</si>
  <si>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</si>
  <si>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</si>
  <si>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</si>
  <si>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</si>
  <si>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</si>
  <si>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</si>
  <si>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</si>
  <si>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</si>
  <si>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</si>
  <si>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</si>
  <si>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</si>
  <si>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</si>
  <si>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</si>
  <si>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</si>
  <si>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</si>
  <si>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</si>
  <si>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</si>
  <si>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</si>
  <si>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</si>
  <si>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</si>
  <si>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</si>
  <si>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</si>
  <si>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</si>
  <si>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</si>
  <si>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</si>
  <si>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</si>
  <si>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</si>
  <si>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</si>
  <si>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</si>
  <si>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</si>
  <si>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</si>
  <si>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</si>
  <si>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</si>
  <si>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</si>
  <si>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</si>
  <si>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</si>
  <si>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</si>
  <si>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</si>
  <si>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</si>
  <si>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</si>
  <si>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</si>
  <si>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</si>
  <si>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</si>
  <si>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</si>
  <si>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</si>
  <si>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</si>
  <si>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</si>
  <si>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</si>
  <si>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</si>
  <si>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</si>
  <si>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</si>
  <si>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</si>
  <si>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</si>
  <si>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</si>
  <si>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</si>
  <si>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</si>
  <si>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</si>
  <si>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</si>
  <si>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</si>
  <si>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</si>
  <si>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</si>
  <si>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</si>
  <si>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</si>
  <si>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</si>
  <si>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</si>
  <si>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</si>
  <si>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</si>
  <si>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</si>
  <si>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</si>
  <si>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</si>
  <si>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</si>
  <si>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</si>
  <si>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</si>
  <si>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</si>
  <si>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</si>
  <si>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</si>
  <si>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</si>
  <si>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</si>
  <si>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</si>
  <si>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</si>
  <si>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</si>
  <si>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</si>
  <si>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</si>
  <si>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</si>
  <si>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</si>
  <si>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</si>
  <si>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</si>
  <si>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</si>
  <si>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</si>
  <si>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</si>
  <si>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</si>
  <si>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</si>
  <si>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</si>
  <si>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</si>
  <si>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</si>
  <si>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</si>
  <si>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</si>
  <si>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</si>
  <si>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</si>
  <si>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</si>
  <si>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</si>
  <si>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</si>
  <si>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</si>
  <si>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</si>
  <si>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</si>
  <si>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</si>
  <si>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</si>
  <si>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</si>
  <si>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</si>
  <si>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</si>
  <si>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</si>
  <si>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</si>
  <si>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</si>
  <si>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</si>
  <si>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</si>
  <si>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</si>
  <si>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</si>
  <si>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</si>
  <si>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</si>
  <si>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</si>
  <si>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</si>
  <si>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</si>
  <si>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</si>
  <si>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</si>
  <si>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</si>
  <si>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</si>
  <si>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</si>
  <si>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</si>
  <si>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</si>
  <si>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</si>
  <si>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</si>
  <si>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</si>
  <si>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</si>
  <si>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</si>
  <si>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</si>
  <si>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</si>
  <si>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</si>
  <si>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</si>
  <si>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</si>
  <si>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</si>
  <si>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</si>
  <si>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</si>
  <si>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</si>
  <si>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</si>
  <si>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</si>
  <si>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</si>
  <si>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</si>
  <si>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</si>
  <si>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</si>
  <si>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</si>
  <si>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</si>
  <si>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</si>
  <si>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</si>
  <si>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</si>
  <si>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</si>
  <si>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</si>
  <si>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</si>
  <si>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</si>
  <si>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</si>
  <si>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</si>
  <si>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</si>
  <si>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</si>
  <si>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</si>
  <si>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</si>
  <si>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</si>
  <si>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</si>
  <si>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</si>
  <si>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</si>
  <si>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</si>
  <si>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</si>
  <si>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</si>
  <si>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</si>
  <si>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</si>
  <si>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</si>
  <si>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</si>
  <si>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</si>
  <si>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</si>
  <si>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</si>
  <si>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</si>
  <si>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</si>
  <si>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</si>
  <si>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</si>
  <si>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</si>
  <si>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</si>
  <si>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</si>
  <si>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</si>
  <si>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</si>
  <si>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</si>
  <si>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</si>
  <si>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</si>
  <si>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</si>
  <si>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</si>
  <si>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</si>
  <si>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</si>
  <si>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</si>
  <si>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</si>
  <si>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</si>
  <si>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</si>
  <si>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</si>
  <si>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</si>
  <si>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</si>
  <si>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</si>
  <si>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</si>
  <si>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</si>
  <si>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</si>
  <si>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</si>
  <si>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</si>
  <si>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</si>
  <si>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</si>
  <si>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</si>
  <si>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</si>
  <si>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</si>
  <si>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</si>
  <si>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</si>
  <si>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</si>
  <si>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</si>
  <si>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</si>
  <si>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</si>
  <si>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</si>
  <si>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</si>
  <si>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</si>
  <si>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</si>
  <si>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</si>
  <si>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</si>
  <si>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</si>
  <si>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</si>
  <si>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</si>
  <si>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</si>
  <si>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</si>
  <si>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</si>
  <si>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</si>
  <si>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</si>
  <si>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</si>
  <si>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</si>
  <si>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</si>
  <si>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</si>
  <si>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</si>
  <si>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</si>
  <si>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</si>
  <si>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</si>
  <si>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</si>
  <si>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</si>
  <si>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</si>
  <si>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</si>
  <si>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</si>
  <si>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</si>
  <si>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</si>
  <si>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</si>
  <si>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</si>
  <si>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</si>
  <si>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</si>
  <si>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</si>
  <si>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</si>
  <si>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</si>
  <si>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</si>
  <si>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</si>
  <si>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</si>
  <si>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</si>
  <si>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</si>
  <si>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</si>
  <si>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</si>
  <si>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</si>
  <si>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</si>
  <si>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</si>
  <si>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</si>
  <si>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</si>
  <si>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</si>
  <si>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</si>
  <si>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</si>
  <si>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</si>
  <si>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</si>
  <si>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</si>
  <si>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</si>
  <si>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</si>
  <si>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</si>
  <si>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</si>
  <si>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</si>
  <si>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</si>
  <si>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</si>
  <si>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</si>
  <si>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</si>
  <si>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</si>
  <si>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</si>
  <si>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</si>
  <si>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</si>
  <si>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</si>
  <si>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</si>
  <si>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</si>
  <si>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</si>
  <si>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</si>
  <si>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</si>
  <si>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</si>
  <si>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</si>
  <si>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</si>
  <si>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</si>
  <si>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</si>
  <si>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</si>
  <si>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</si>
  <si>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</si>
  <si>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</si>
  <si>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</si>
  <si>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</si>
  <si>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</si>
  <si>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</si>
  <si>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</si>
  <si>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</si>
  <si>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</si>
  <si>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</si>
  <si>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</si>
  <si>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</si>
  <si>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</si>
  <si>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</si>
  <si>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</si>
  <si>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</si>
  <si>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</si>
  <si>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</si>
  <si>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刘梅</t>
  </si>
  <si>
    <t>吴薇</t>
  </si>
  <si>
    <t>抵押</t>
  </si>
  <si>
    <t>房地产抵押价值</t>
  </si>
  <si>
    <t>北京市</t>
  </si>
  <si>
    <t>怀柔区</t>
    <phoneticPr fontId="6" type="noConversion"/>
  </si>
  <si>
    <t>企业</t>
  </si>
  <si>
    <t>怀柔区杨宋镇凤翔二园1号1-7幢</t>
    <phoneticPr fontId="6" type="noConversion"/>
  </si>
  <si>
    <t>星美今晟影视城管理有限公司</t>
    <phoneticPr fontId="6" type="noConversion"/>
  </si>
  <si>
    <t>34.31年</t>
    <phoneticPr fontId="6" type="noConversion"/>
  </si>
  <si>
    <t>《房屋所有权证》[X京房权证怀字第028434号]</t>
    <phoneticPr fontId="6" type="noConversion"/>
  </si>
  <si>
    <t>《国有土地使用证》[京怀国用（2014出）第00037号]</t>
    <phoneticPr fontId="6" type="noConversion"/>
  </si>
  <si>
    <t>凤翔二园1号清单</t>
    <phoneticPr fontId="263" type="noConversion"/>
  </si>
  <si>
    <t>房产证编号</t>
    <phoneticPr fontId="263" type="noConversion"/>
  </si>
  <si>
    <t>层数</t>
    <phoneticPr fontId="263" type="noConversion"/>
  </si>
  <si>
    <t>结构</t>
    <phoneticPr fontId="263" type="noConversion"/>
  </si>
  <si>
    <t>建成年代</t>
    <phoneticPr fontId="263" type="noConversion"/>
  </si>
  <si>
    <t>建筑面积（㎡）</t>
    <phoneticPr fontId="263" type="noConversion"/>
  </si>
  <si>
    <t>混合</t>
    <phoneticPr fontId="263" type="noConversion"/>
  </si>
  <si>
    <t>合计（2）</t>
    <phoneticPr fontId="263" type="noConversion"/>
  </si>
  <si>
    <t>土地面积</t>
    <phoneticPr fontId="205" type="noConversion"/>
  </si>
  <si>
    <t>容积率</t>
    <phoneticPr fontId="205" type="noConversion"/>
  </si>
  <si>
    <t>合同约定容积率</t>
    <phoneticPr fontId="205" type="noConversion"/>
  </si>
  <si>
    <t>北区待办证房产及无证房产</t>
  </si>
  <si>
    <t>土地证</t>
  </si>
  <si>
    <t>建筑物</t>
  </si>
  <si>
    <t>详细地址</t>
  </si>
  <si>
    <t>建筑</t>
  </si>
  <si>
    <t>拟建</t>
  </si>
  <si>
    <r>
      <t>建筑面积(m</t>
    </r>
    <r>
      <rPr>
        <b/>
        <vertAlign val="superscript"/>
        <sz val="9"/>
        <color rgb="FF000000"/>
        <rFont val="宋体"/>
        <family val="3"/>
        <charset val="134"/>
        <scheme val="minor"/>
      </rPr>
      <t>2</t>
    </r>
    <r>
      <rPr>
        <b/>
        <sz val="9"/>
        <color rgb="FF000000"/>
        <rFont val="宋体"/>
        <family val="3"/>
        <charset val="134"/>
        <scheme val="minor"/>
      </rPr>
      <t>)</t>
    </r>
  </si>
  <si>
    <t>完工日期</t>
  </si>
  <si>
    <t>施工证</t>
  </si>
  <si>
    <t>编号</t>
  </si>
  <si>
    <t>名称</t>
  </si>
  <si>
    <t>结构</t>
  </si>
  <si>
    <t>总层数</t>
  </si>
  <si>
    <t>建设工程规划许可证</t>
  </si>
  <si>
    <t>京怀国用(2001出)字第0156号</t>
  </si>
  <si>
    <t>6#宿舍楼</t>
  </si>
  <si>
    <t>北京市怀柔区</t>
  </si>
  <si>
    <t>框架</t>
  </si>
  <si>
    <t>　无</t>
  </si>
  <si>
    <t>住宿</t>
  </si>
  <si>
    <t>杨宋镇凤翔二园1号</t>
  </si>
  <si>
    <t>3#宿舍楼</t>
  </si>
  <si>
    <t>砖混</t>
  </si>
  <si>
    <t>无　</t>
  </si>
  <si>
    <t xml:space="preserve">其他 </t>
  </si>
  <si>
    <t>新建综合楼</t>
  </si>
  <si>
    <t>2008规（怀）建字0021号</t>
  </si>
  <si>
    <t>施工（2009）施建字0687号</t>
  </si>
  <si>
    <t>别墅</t>
  </si>
  <si>
    <t>砖混+构造柱</t>
  </si>
  <si>
    <t>无规划证</t>
  </si>
  <si>
    <t>无施工证</t>
  </si>
  <si>
    <t>美术楼</t>
  </si>
  <si>
    <t>配电室</t>
  </si>
  <si>
    <t>（95）怀规建字139号　</t>
  </si>
  <si>
    <t>锅炉房</t>
  </si>
  <si>
    <t>2001-怀规建市政字-0038号</t>
  </si>
  <si>
    <t>Ⅷ-怀1</t>
  </si>
  <si>
    <t>不临58条商业街</t>
  </si>
  <si>
    <t>六通一平</t>
  </si>
  <si>
    <t>增加</t>
  </si>
  <si>
    <t>燃气</t>
  </si>
  <si>
    <t>容积率修正</t>
  </si>
  <si>
    <t>现房</t>
  </si>
  <si>
    <t>地上</t>
  </si>
  <si>
    <t>是</t>
    <phoneticPr fontId="3" type="noConversion"/>
  </si>
  <si>
    <t>是</t>
    <phoneticPr fontId="3" type="noConversion"/>
  </si>
  <si>
    <t>北区</t>
    <phoneticPr fontId="205" type="noConversion"/>
  </si>
  <si>
    <t>备注</t>
    <phoneticPr fontId="205" type="noConversion"/>
  </si>
  <si>
    <t>为原2号楼</t>
    <phoneticPr fontId="205" type="noConversion"/>
  </si>
  <si>
    <t>已拆除，建成星美酒店，未办理产权证，已投入使用，为下表3</t>
    <phoneticPr fontId="205" type="noConversion"/>
  </si>
  <si>
    <t>拆除重建，目前进度为地上1层，为新建摄影棚</t>
    <phoneticPr fontId="205" type="noConversion"/>
  </si>
  <si>
    <t>新建摄影棚</t>
    <phoneticPr fontId="205" type="noConversion"/>
  </si>
  <si>
    <t>已建至地上1层，未封顶</t>
    <phoneticPr fontId="205" type="noConversion"/>
  </si>
  <si>
    <t>2015规（怀）建字0026号</t>
    <phoneticPr fontId="205" type="noConversion"/>
  </si>
  <si>
    <t>无</t>
    <phoneticPr fontId="205" type="noConversion"/>
  </si>
  <si>
    <t>摄影棚</t>
    <phoneticPr fontId="205" type="noConversion"/>
  </si>
  <si>
    <t>为原6号楼</t>
    <phoneticPr fontId="205" type="noConversion"/>
  </si>
  <si>
    <t>南区</t>
    <phoneticPr fontId="205" type="noConversion"/>
  </si>
  <si>
    <t>凤和一园9号清单</t>
    <phoneticPr fontId="263" type="noConversion"/>
  </si>
  <si>
    <t>房产证编号</t>
    <phoneticPr fontId="263" type="noConversion"/>
  </si>
  <si>
    <t>房屋总层数</t>
    <phoneticPr fontId="263" type="noConversion"/>
  </si>
  <si>
    <t>结构</t>
    <phoneticPr fontId="263" type="noConversion"/>
  </si>
  <si>
    <t>建成年份</t>
    <phoneticPr fontId="263" type="noConversion"/>
  </si>
  <si>
    <t>建筑面积（平方米）</t>
    <phoneticPr fontId="263" type="noConversion"/>
  </si>
  <si>
    <t>混合</t>
    <phoneticPr fontId="263" type="noConversion"/>
  </si>
  <si>
    <t>砖木</t>
    <phoneticPr fontId="263" type="noConversion"/>
  </si>
  <si>
    <t>合计（1)</t>
    <phoneticPr fontId="263" type="noConversion"/>
  </si>
  <si>
    <t>土地面积</t>
    <phoneticPr fontId="205" type="noConversion"/>
  </si>
  <si>
    <t>容积率</t>
    <phoneticPr fontId="205" type="noConversion"/>
  </si>
  <si>
    <t>项目总建筑面积</t>
    <phoneticPr fontId="205" type="noConversion"/>
  </si>
  <si>
    <r>
      <t>2</t>
    </r>
    <r>
      <rPr>
        <sz val="11"/>
        <color theme="1"/>
        <rFont val="宋体"/>
        <family val="3"/>
        <charset val="134"/>
        <scheme val="minor"/>
      </rPr>
      <t>016年主营业务收入</t>
    </r>
    <phoneticPr fontId="205" type="noConversion"/>
  </si>
  <si>
    <t>建成年代</t>
    <phoneticPr fontId="205" type="noConversion"/>
  </si>
  <si>
    <t>收益法</t>
  </si>
  <si>
    <t>办公</t>
    <phoneticPr fontId="3" type="noConversion"/>
  </si>
  <si>
    <t>综合项目（商业、办公）</t>
  </si>
  <si>
    <t>影视基地</t>
  </si>
  <si>
    <t>影视基地</t>
    <phoneticPr fontId="17" type="noConversion"/>
  </si>
  <si>
    <t>影视基地</t>
    <phoneticPr fontId="7" type="noConversion"/>
  </si>
  <si>
    <t>估价对象位于怀柔区杨宋镇，目前投用项目有中影基地、星美影视城、百汇演艺学校等类似用房以及相关行业酒店等配套设施，产业聚集度较好</t>
    <phoneticPr fontId="34" type="noConversion"/>
  </si>
  <si>
    <t>估价对象紧邻城市次干道——怀耿路，半径1公里内有866、H07、H09、H44路等公交线路，周边有怀耿路、杨雁路两条城市次干道，西北距离怀柔火车站4公里，交通便捷度较差</t>
    <phoneticPr fontId="62" type="noConversion"/>
  </si>
  <si>
    <t>周边2公里内的公共服务配套设施情况一般，无大型购物场所、医院（怀柔区杨宋镇卫生院）、银行（中国邮政储蓄银行）、学校（北京影视研修学院、北京怀柔中视腾飞影视培训学校）、餐饮等公共服务配套设施。</t>
    <phoneticPr fontId="62" type="noConversion"/>
  </si>
  <si>
    <t>估价对象所在区域基础设施水平达到七通</t>
    <phoneticPr fontId="34" type="noConversion"/>
  </si>
  <si>
    <t>周边约1公里范围内有北京影视研修学院、北京怀柔中视腾飞影视培训学校等演艺教育学校，人文环境一般；周边有约1公里有栖河，自然环境一般。综合评价自然与人文环境一般</t>
    <phoneticPr fontId="62" type="noConversion"/>
  </si>
  <si>
    <t>一般</t>
  </si>
  <si>
    <t>一般</t>
    <phoneticPr fontId="34" type="noConversion"/>
  </si>
  <si>
    <t>双面临街</t>
  </si>
  <si>
    <t>文体娱乐用地</t>
  </si>
  <si>
    <t>较好</t>
  </si>
  <si>
    <t>较差</t>
  </si>
  <si>
    <t>城市主干道-怀耿路</t>
    <phoneticPr fontId="34" type="noConversion"/>
  </si>
  <si>
    <t>宗地形状不规则，但对宗地利用影响有一定不利影响</t>
    <phoneticPr fontId="107" type="noConversion"/>
  </si>
  <si>
    <t>好</t>
  </si>
  <si>
    <t>未包含在土地购买价格中</t>
  </si>
  <si>
    <t>已包含在土地取得成本中</t>
  </si>
  <si>
    <t>项目全部</t>
  </si>
  <si>
    <t>成本法</t>
  </si>
  <si>
    <t>押一</t>
  </si>
  <si>
    <t>基准地价</t>
  </si>
  <si>
    <t>钢混</t>
  </si>
  <si>
    <t>成本比率</t>
  </si>
  <si>
    <t>建安</t>
    <phoneticPr fontId="205" type="noConversion"/>
  </si>
  <si>
    <t>现状用途</t>
    <phoneticPr fontId="205" type="noConversion"/>
  </si>
  <si>
    <t>成新率</t>
    <phoneticPr fontId="205" type="noConversion"/>
  </si>
  <si>
    <t>影棚</t>
    <phoneticPr fontId="205" type="noConversion"/>
  </si>
  <si>
    <t>酒店</t>
    <phoneticPr fontId="205" type="noConversion"/>
  </si>
  <si>
    <t>餐厅，空置维修</t>
    <phoneticPr fontId="205" type="noConversion"/>
  </si>
  <si>
    <t>客房</t>
    <phoneticPr fontId="205" type="noConversion"/>
  </si>
  <si>
    <t>置景车间</t>
    <phoneticPr fontId="205" type="noConversion"/>
  </si>
  <si>
    <t>拆除</t>
    <phoneticPr fontId="205" type="noConversion"/>
  </si>
  <si>
    <t>楼房建筑面积</t>
    <phoneticPr fontId="3" type="noConversion"/>
  </si>
  <si>
    <t>平房建筑面积</t>
    <phoneticPr fontId="3" type="noConversion"/>
  </si>
  <si>
    <t>楼号或幢号</t>
    <phoneticPr fontId="3" type="noConversion"/>
  </si>
  <si>
    <t>房屋总层数</t>
    <phoneticPr fontId="3" type="noConversion"/>
  </si>
  <si>
    <t>结构</t>
    <phoneticPr fontId="3" type="noConversion"/>
  </si>
  <si>
    <t>建成年份</t>
    <phoneticPr fontId="3" type="noConversion"/>
  </si>
  <si>
    <t>建筑面积</t>
    <phoneticPr fontId="3" type="noConversion"/>
  </si>
  <si>
    <t>建安单价</t>
    <phoneticPr fontId="3" type="noConversion"/>
  </si>
  <si>
    <t>建安费用</t>
    <phoneticPr fontId="3" type="noConversion"/>
  </si>
  <si>
    <t>混合</t>
    <phoneticPr fontId="3" type="noConversion"/>
  </si>
  <si>
    <t>灭失</t>
    <phoneticPr fontId="3" type="noConversion"/>
  </si>
  <si>
    <t>砖木</t>
    <phoneticPr fontId="3" type="noConversion"/>
  </si>
  <si>
    <t>建安合计（1）</t>
    <phoneticPr fontId="3" type="noConversion"/>
  </si>
  <si>
    <t>规划许可证</t>
    <phoneticPr fontId="3" type="noConversion"/>
  </si>
  <si>
    <t>建设项目</t>
    <phoneticPr fontId="3" type="noConversion"/>
  </si>
  <si>
    <t>砖混</t>
    <phoneticPr fontId="3" type="noConversion"/>
  </si>
  <si>
    <t>影视剧拍摄用房（酒楼）</t>
    <phoneticPr fontId="3" type="noConversion"/>
  </si>
  <si>
    <t>拍摄用房（前院大厅）</t>
    <phoneticPr fontId="3" type="noConversion"/>
  </si>
  <si>
    <t>东院茶屋</t>
    <phoneticPr fontId="3" type="noConversion"/>
  </si>
  <si>
    <t>东、西厢房</t>
    <phoneticPr fontId="3" type="noConversion"/>
  </si>
  <si>
    <t>大门</t>
    <phoneticPr fontId="3" type="noConversion"/>
  </si>
  <si>
    <t>四合院</t>
    <phoneticPr fontId="3" type="noConversion"/>
  </si>
  <si>
    <t>八角亭</t>
    <phoneticPr fontId="3" type="noConversion"/>
  </si>
  <si>
    <t>水榭和五角亭</t>
    <phoneticPr fontId="3" type="noConversion"/>
  </si>
  <si>
    <t>大街小楼</t>
    <phoneticPr fontId="3" type="noConversion"/>
  </si>
  <si>
    <t>建安合计（2）</t>
    <phoneticPr fontId="3" type="noConversion"/>
  </si>
  <si>
    <t>总建安费用</t>
    <phoneticPr fontId="3" type="noConversion"/>
  </si>
  <si>
    <t>办公</t>
    <phoneticPr fontId="45" type="noConversion"/>
  </si>
  <si>
    <t>验算</t>
    <phoneticPr fontId="205" type="noConversion"/>
  </si>
  <si>
    <t>地块名称</t>
  </si>
  <si>
    <t>城市</t>
  </si>
  <si>
    <t>用地性质</t>
  </si>
  <si>
    <t>建设用地面积(㎡)</t>
  </si>
  <si>
    <t>规划建筑面积(㎡)</t>
  </si>
  <si>
    <t>容积率</t>
  </si>
  <si>
    <t>出让方式</t>
  </si>
  <si>
    <t>截止日期</t>
  </si>
  <si>
    <t>起始价(万元)</t>
  </si>
  <si>
    <t>成交价(万元)</t>
  </si>
  <si>
    <t>成交楼面价(元/㎡)</t>
  </si>
  <si>
    <t>地面价</t>
    <phoneticPr fontId="3" type="noConversion"/>
  </si>
  <si>
    <t>溢价率</t>
  </si>
  <si>
    <t>受让单位</t>
  </si>
  <si>
    <t>怀柔区怀柔新城13街区HR00-0013-6005地块</t>
  </si>
  <si>
    <t>商业/办公用地</t>
  </si>
  <si>
    <t>挂牌</t>
  </si>
  <si>
    <t>2015-12-15</t>
  </si>
  <si>
    <t>北京中关村微纳能源投资有限公司</t>
  </si>
  <si>
    <t>怀柔区怀柔新城03街区HR00-0003-0018地块B4综合性商业金融服务业用地</t>
  </si>
  <si>
    <t>2014-10-21</t>
  </si>
  <si>
    <t>北京怀胜青春广场置业有限公司</t>
  </si>
  <si>
    <t>怀柔区雁栖镇柏崖厂村HR02-0200-6001等地块其它类多功能、文化设施、广场、社会停车场、供应设施及市政设施综合用地</t>
  </si>
  <si>
    <t>2014-08-21</t>
  </si>
  <si>
    <t>北京北控国际会都房地产开发有限责任公司</t>
  </si>
  <si>
    <t>平谷区夏各庄新城2号2-15地块</t>
  </si>
  <si>
    <t>2015-02-12</t>
  </si>
  <si>
    <t>北京中弘弘庆房地产开发有限公司</t>
  </si>
  <si>
    <t>平谷区马坊镇B01-01地块商业金融用地</t>
  </si>
  <si>
    <t>2015-01-07</t>
  </si>
  <si>
    <t>北京新华联伟业房地产有限公司和北京运河长基投资有限公司联合体</t>
  </si>
  <si>
    <t>顺义区高丽营镇02-08-01、02-08-02地块</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</si>
  <si>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</si>
  <si>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</si>
  <si>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</si>
  <si>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</si>
  <si>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</si>
  <si>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</si>
  <si>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</si>
  <si>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</si>
  <si>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</si>
  <si>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</si>
  <si>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</si>
  <si>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</si>
  <si>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</si>
  <si>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</si>
  <si>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</si>
  <si>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正常</t>
    <phoneticPr fontId="45" type="noConversion"/>
  </si>
  <si>
    <t>商业办公</t>
    <phoneticPr fontId="45" type="noConversion"/>
  </si>
  <si>
    <t>商业办公</t>
    <phoneticPr fontId="45" type="noConversion"/>
  </si>
  <si>
    <t>商业办公</t>
    <phoneticPr fontId="45" type="noConversion"/>
  </si>
  <si>
    <t>商业办公</t>
    <phoneticPr fontId="45" type="noConversion"/>
  </si>
  <si>
    <t>办公</t>
    <phoneticPr fontId="45" type="noConversion"/>
  </si>
  <si>
    <r>
      <t>40</t>
    </r>
    <r>
      <rPr>
        <sz val="11"/>
        <color indexed="8"/>
        <rFont val="宋体"/>
        <family val="3"/>
        <charset val="134"/>
      </rPr>
      <t>、</t>
    </r>
    <r>
      <rPr>
        <sz val="11"/>
        <color indexed="8"/>
        <rFont val="Arial"/>
        <family val="2"/>
      </rPr>
      <t>50</t>
    </r>
    <phoneticPr fontId="45" type="noConversion"/>
  </si>
  <si>
    <t>七通</t>
  </si>
  <si>
    <t>单面临街</t>
  </si>
  <si>
    <r>
      <rPr>
        <sz val="11"/>
        <rFont val="宋体"/>
        <family val="3"/>
        <charset val="134"/>
      </rPr>
      <t>城市主干道</t>
    </r>
    <r>
      <rPr>
        <sz val="11"/>
        <rFont val="Arial"/>
        <family val="2"/>
      </rPr>
      <t>-</t>
    </r>
    <r>
      <rPr>
        <sz val="11"/>
        <rFont val="宋体"/>
        <family val="3"/>
        <charset val="134"/>
      </rPr>
      <t>怀耿路</t>
    </r>
    <phoneticPr fontId="45" type="noConversion"/>
  </si>
  <si>
    <t>快速路</t>
    <phoneticPr fontId="45" type="noConversion"/>
  </si>
  <si>
    <t>城市主干道</t>
  </si>
  <si>
    <t>城市主干道</t>
    <phoneticPr fontId="45" type="noConversion"/>
  </si>
  <si>
    <t>城市次干道</t>
  </si>
  <si>
    <t>城市次干道</t>
    <phoneticPr fontId="45" type="noConversion"/>
  </si>
  <si>
    <t>城市支路</t>
  </si>
  <si>
    <t>城市支路</t>
    <phoneticPr fontId="45" type="noConversion"/>
  </si>
  <si>
    <t>规则</t>
    <phoneticPr fontId="45" type="noConversion"/>
  </si>
  <si>
    <t>较规则</t>
    <phoneticPr fontId="45" type="noConversion"/>
  </si>
  <si>
    <t>不规则</t>
  </si>
  <si>
    <t>不规则</t>
    <phoneticPr fontId="45" type="noConversion"/>
  </si>
  <si>
    <t>较好</t>
    <phoneticPr fontId="45" type="noConversion"/>
  </si>
  <si>
    <t>六通</t>
    <phoneticPr fontId="45" type="noConversion"/>
  </si>
  <si>
    <t>城市支路</t>
    <phoneticPr fontId="45" type="noConversion"/>
  </si>
  <si>
    <t>三通</t>
    <phoneticPr fontId="45" type="noConversion"/>
  </si>
  <si>
    <t>单面临街</t>
    <phoneticPr fontId="45" type="noConversion"/>
  </si>
  <si>
    <t>多面临街</t>
  </si>
  <si>
    <t>全部缴纳</t>
  </si>
  <si>
    <t>七通</t>
    <phoneticPr fontId="45" type="noConversion"/>
  </si>
  <si>
    <t>六通</t>
    <phoneticPr fontId="45" type="noConversion"/>
  </si>
  <si>
    <t>五通</t>
    <phoneticPr fontId="45" type="noConversion"/>
  </si>
  <si>
    <t>四通</t>
    <phoneticPr fontId="45" type="noConversion"/>
  </si>
  <si>
    <t>三通</t>
    <phoneticPr fontId="45" type="noConversion"/>
  </si>
  <si>
    <t>楼面地价</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</si>
  <si>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</si>
  <si>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</si>
  <si>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北京市门头沟区龙泉镇MC00-0010-6004地块B2商务用地</t>
  </si>
  <si>
    <t>2017-09-07</t>
  </si>
  <si>
    <t>北京象地房地产开发有限公司</t>
  </si>
  <si>
    <t>门头沟区门头沟新城MC00-0017-6002地块(S1线区域组团02地块西北侧地块)</t>
  </si>
  <si>
    <t>北京龙湖中佰置业有限公司和北京龙湖天行置业有限公司联合体</t>
  </si>
  <si>
    <t>新桥大街</t>
    <phoneticPr fontId="45" type="noConversion"/>
  </si>
  <si>
    <t>四纬路</t>
    <phoneticPr fontId="45" type="noConversion"/>
  </si>
  <si>
    <r>
      <t>备注(</t>
    </r>
    <r>
      <rPr>
        <sz val="11"/>
        <color theme="1"/>
        <rFont val="宋体"/>
        <family val="3"/>
        <charset val="134"/>
        <scheme val="minor"/>
      </rPr>
      <t>2014)</t>
    </r>
    <phoneticPr fontId="3" type="noConversion"/>
  </si>
  <si>
    <t>南厂已灭失</t>
    <phoneticPr fontId="205" type="noConversion"/>
  </si>
  <si>
    <t>收益面积</t>
    <phoneticPr fontId="205" type="noConversion"/>
  </si>
  <si>
    <t>规证面积</t>
    <phoneticPr fontId="205" type="noConversion"/>
  </si>
  <si>
    <r>
      <t>2</t>
    </r>
    <r>
      <rPr>
        <sz val="11"/>
        <color theme="1"/>
        <rFont val="宋体"/>
        <family val="3"/>
        <charset val="134"/>
        <scheme val="minor"/>
      </rPr>
      <t>014年</t>
    </r>
    <r>
      <rPr>
        <sz val="11"/>
        <color theme="1"/>
        <rFont val="宋体"/>
        <family val="3"/>
        <charset val="134"/>
        <scheme val="minor"/>
      </rPr>
      <t>房屋所有权证</t>
    </r>
    <phoneticPr fontId="3" type="noConversion"/>
  </si>
  <si>
    <t>建安费用单价</t>
    <phoneticPr fontId="205" type="noConversion"/>
  </si>
  <si>
    <t>折算到收益面积</t>
    <phoneticPr fontId="205" type="noConversion"/>
  </si>
</sst>
</file>

<file path=xl/styles.xml><?xml version="1.0" encoding="utf-8"?>
<styleSheet xmlns="http://schemas.openxmlformats.org/spreadsheetml/2006/main">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theme="1"/>
      <name val="宋体"/>
      <family val="3"/>
      <charset val="134"/>
      <scheme val="minor"/>
    </font>
    <font>
      <sz val="9"/>
      <name val="宋体"/>
      <family val="2"/>
      <charset val="134"/>
      <scheme val="minor"/>
    </font>
    <font>
      <b/>
      <sz val="9"/>
      <color theme="1"/>
      <name val="宋体"/>
      <family val="3"/>
      <charset val="134"/>
      <scheme val="minor"/>
    </font>
    <font>
      <b/>
      <sz val="9"/>
      <color rgb="FF000000"/>
      <name val="宋体"/>
      <family val="3"/>
      <charset val="134"/>
      <scheme val="minor"/>
    </font>
    <font>
      <b/>
      <vertAlign val="superscript"/>
      <sz val="9"/>
      <color rgb="FF000000"/>
      <name val="宋体"/>
      <family val="3"/>
      <charset val="134"/>
      <scheme val="minor"/>
    </font>
    <font>
      <sz val="9"/>
      <color rgb="FF000000"/>
      <name val="宋体"/>
      <family val="3"/>
      <charset val="134"/>
      <scheme val="minor"/>
    </font>
    <font>
      <b/>
      <sz val="20"/>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FFFF"/>
        <bgColor indexed="64"/>
      </patternFill>
    </fill>
    <fill>
      <patternFill patternType="solid">
        <fgColor theme="0" tint="-0.14999847407452621"/>
        <bgColor indexed="64"/>
      </patternFill>
    </fill>
    <fill>
      <patternFill patternType="solid">
        <fgColor theme="8"/>
        <bgColor indexed="64"/>
      </patternFill>
    </fill>
    <fill>
      <patternFill patternType="solid">
        <fgColor theme="7" tint="0.39997558519241921"/>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62" fillId="0" borderId="0" applyFont="0" applyFill="0" applyBorder="0" applyAlignment="0" applyProtection="0">
      <alignment vertical="center"/>
    </xf>
    <xf numFmtId="0" fontId="77" fillId="0" borderId="0"/>
  </cellStyleXfs>
  <cellXfs count="382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179" fontId="0" fillId="0" borderId="1" xfId="0" applyNumberFormat="1" applyBorder="1" applyAlignment="1">
      <alignment horizontal="center" vertical="center" wrapText="1"/>
    </xf>
    <xf numFmtId="0" fontId="0" fillId="0" borderId="1" xfId="0" applyBorder="1" applyAlignment="1">
      <alignment horizontal="center" vertical="center"/>
    </xf>
    <xf numFmtId="43" fontId="0" fillId="0" borderId="1" xfId="13" applyFont="1" applyBorder="1" applyAlignment="1">
      <alignment horizontal="center" vertical="center"/>
    </xf>
    <xf numFmtId="0" fontId="0" fillId="0" borderId="1" xfId="0" applyBorder="1" applyAlignment="1">
      <alignment horizontal="center" vertical="center"/>
    </xf>
    <xf numFmtId="0" fontId="130" fillId="0" borderId="0" xfId="0" applyFont="1">
      <alignment vertical="center"/>
    </xf>
    <xf numFmtId="43" fontId="0" fillId="0" borderId="0" xfId="0" applyNumberFormat="1">
      <alignment vertical="center"/>
    </xf>
    <xf numFmtId="0" fontId="0" fillId="0" borderId="58" xfId="0" applyFill="1" applyBorder="1" applyAlignment="1">
      <alignment horizontal="center" vertical="center"/>
    </xf>
    <xf numFmtId="0" fontId="265" fillId="0" borderId="1" xfId="0" applyFont="1" applyBorder="1" applyAlignment="1">
      <alignment horizontal="center" vertical="center" wrapText="1"/>
    </xf>
    <xf numFmtId="0" fontId="265" fillId="0" borderId="1" xfId="0" applyFont="1" applyBorder="1" applyAlignment="1">
      <alignment horizontal="center" vertical="top" wrapText="1"/>
    </xf>
    <xf numFmtId="0" fontId="265" fillId="0" borderId="1" xfId="0" applyFont="1" applyBorder="1" applyAlignment="1">
      <alignment horizontal="justify" vertical="top" wrapText="1"/>
    </xf>
    <xf numFmtId="0" fontId="267" fillId="0" borderId="1" xfId="0" applyFont="1" applyBorder="1" applyAlignment="1">
      <alignment horizontal="center" vertical="center" wrapText="1"/>
    </xf>
    <xf numFmtId="0" fontId="267" fillId="0" borderId="1" xfId="0" applyFont="1" applyBorder="1" applyAlignment="1">
      <alignment horizontal="left" vertical="center"/>
    </xf>
    <xf numFmtId="4" fontId="267" fillId="0" borderId="1" xfId="0" applyNumberFormat="1" applyFont="1" applyBorder="1" applyAlignment="1">
      <alignment horizontal="right" vertical="center"/>
    </xf>
    <xf numFmtId="0" fontId="0" fillId="0" borderId="1" xfId="0" applyBorder="1" applyAlignment="1" applyProtection="1">
      <alignment horizontal="center" vertical="center"/>
      <protection locked="0"/>
    </xf>
    <xf numFmtId="43" fontId="71" fillId="3" borderId="3" xfId="0" applyNumberFormat="1" applyFont="1" applyFill="1" applyBorder="1" applyProtection="1">
      <alignment vertical="center"/>
      <protection locked="0"/>
    </xf>
    <xf numFmtId="0" fontId="130" fillId="5" borderId="0" xfId="0" applyFont="1" applyFill="1">
      <alignment vertical="center"/>
    </xf>
    <xf numFmtId="0" fontId="267" fillId="5"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Border="1" applyAlignment="1">
      <alignment vertical="center" wrapText="1"/>
    </xf>
    <xf numFmtId="0" fontId="130" fillId="0" borderId="1" xfId="0" applyFont="1" applyBorder="1" applyAlignment="1">
      <alignment vertical="center" wrapText="1"/>
    </xf>
    <xf numFmtId="0" fontId="0" fillId="5" borderId="1" xfId="0" applyFill="1" applyBorder="1" applyAlignment="1">
      <alignment horizontal="center" vertical="center"/>
    </xf>
    <xf numFmtId="43" fontId="0" fillId="5" borderId="1" xfId="13" applyFont="1" applyFill="1" applyBorder="1" applyAlignment="1">
      <alignment horizontal="center" vertical="center"/>
    </xf>
    <xf numFmtId="0" fontId="130" fillId="5" borderId="1" xfId="0" applyFont="1" applyFill="1" applyBorder="1" applyAlignment="1">
      <alignment vertical="center" wrapText="1"/>
    </xf>
    <xf numFmtId="0" fontId="130" fillId="9" borderId="0" xfId="0" applyFont="1" applyFill="1">
      <alignment vertical="center"/>
    </xf>
    <xf numFmtId="43" fontId="0" fillId="0" borderId="1" xfId="13" applyFont="1" applyBorder="1" applyAlignment="1">
      <alignment horizontal="center" vertical="center" wrapText="1"/>
    </xf>
    <xf numFmtId="0" fontId="130" fillId="0" borderId="1" xfId="0" applyFont="1" applyFill="1" applyBorder="1" applyAlignment="1">
      <alignment horizontal="center" vertical="center" wrapText="1"/>
    </xf>
    <xf numFmtId="0" fontId="68" fillId="9" borderId="23" xfId="0" applyFont="1" applyFill="1" applyBorder="1" applyAlignment="1" applyProtection="1">
      <alignment vertical="center"/>
      <protection locked="0"/>
    </xf>
    <xf numFmtId="10" fontId="137" fillId="0" borderId="1" xfId="0" applyNumberFormat="1" applyFont="1" applyFill="1" applyBorder="1" applyAlignment="1" applyProtection="1">
      <alignment horizontal="center" vertical="center"/>
      <protection locked="0"/>
    </xf>
    <xf numFmtId="0" fontId="130" fillId="0" borderId="1" xfId="0" applyFont="1" applyFill="1" applyBorder="1" applyAlignment="1">
      <alignment vertical="center" wrapText="1"/>
    </xf>
    <xf numFmtId="10" fontId="0" fillId="0" borderId="1" xfId="0" applyNumberFormat="1" applyBorder="1" applyAlignment="1">
      <alignment vertical="center" wrapText="1"/>
    </xf>
    <xf numFmtId="0" fontId="0" fillId="0" borderId="0" xfId="0" applyAlignment="1">
      <alignment vertical="center"/>
    </xf>
    <xf numFmtId="0" fontId="0" fillId="0" borderId="1" xfId="0" applyBorder="1">
      <alignment vertical="center"/>
    </xf>
    <xf numFmtId="0" fontId="0" fillId="8" borderId="1" xfId="0" applyFill="1" applyBorder="1">
      <alignment vertical="center"/>
    </xf>
    <xf numFmtId="0" fontId="0" fillId="16" borderId="1" xfId="0" applyFill="1" applyBorder="1">
      <alignment vertical="center"/>
    </xf>
    <xf numFmtId="0" fontId="0" fillId="17" borderId="1" xfId="0" applyFill="1" applyBorder="1">
      <alignment vertical="center"/>
    </xf>
    <xf numFmtId="0" fontId="0" fillId="5" borderId="1" xfId="0" applyFill="1" applyBorder="1">
      <alignment vertical="center"/>
    </xf>
    <xf numFmtId="0" fontId="268" fillId="8" borderId="1" xfId="0" applyFont="1" applyFill="1" applyBorder="1">
      <alignment vertical="center"/>
    </xf>
    <xf numFmtId="0" fontId="0" fillId="0" borderId="1" xfId="0" applyFont="1" applyBorder="1">
      <alignment vertical="center"/>
    </xf>
    <xf numFmtId="0" fontId="0" fillId="5" borderId="0" xfId="0" applyFill="1">
      <alignment vertical="center"/>
    </xf>
    <xf numFmtId="0" fontId="0" fillId="0" borderId="1" xfId="0" applyFont="1" applyBorder="1" applyAlignment="1">
      <alignment horizontal="center" vertical="center"/>
    </xf>
    <xf numFmtId="0" fontId="0" fillId="0" borderId="0" xfId="0" applyFont="1">
      <alignment vertical="center"/>
    </xf>
    <xf numFmtId="0" fontId="0" fillId="0" borderId="1" xfId="0" applyFill="1" applyBorder="1">
      <alignment vertical="center"/>
    </xf>
    <xf numFmtId="0" fontId="0" fillId="18" borderId="0" xfId="0" applyFill="1">
      <alignment vertical="center"/>
    </xf>
    <xf numFmtId="43" fontId="13" fillId="9" borderId="1" xfId="0" applyNumberFormat="1" applyFont="1" applyFill="1" applyBorder="1" applyAlignment="1" applyProtection="1">
      <alignment vertical="center" wrapText="1"/>
      <protection locked="0"/>
    </xf>
    <xf numFmtId="43" fontId="0" fillId="9" borderId="0" xfId="0" applyNumberFormat="1" applyFill="1">
      <alignment vertical="center"/>
    </xf>
    <xf numFmtId="0" fontId="0" fillId="9" borderId="1" xfId="0" applyFill="1" applyBorder="1">
      <alignment vertical="center"/>
    </xf>
    <xf numFmtId="0" fontId="20" fillId="0" borderId="0" xfId="0" applyFont="1" applyAlignment="1"/>
    <xf numFmtId="0" fontId="0" fillId="9" borderId="0" xfId="0" applyFill="1" applyAlignment="1"/>
    <xf numFmtId="0" fontId="130" fillId="0" borderId="0" xfId="1" applyAlignment="1"/>
    <xf numFmtId="0" fontId="130" fillId="9" borderId="0" xfId="1" applyFill="1" applyAlignment="1"/>
    <xf numFmtId="0" fontId="75" fillId="6" borderId="2"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130" fillId="5" borderId="0" xfId="1" applyFill="1" applyAlignment="1"/>
    <xf numFmtId="0" fontId="0" fillId="5" borderId="0" xfId="0" applyFill="1" applyAlignment="1"/>
    <xf numFmtId="43" fontId="0" fillId="5" borderId="0" xfId="0" applyNumberFormat="1" applyFill="1">
      <alignment vertical="center"/>
    </xf>
    <xf numFmtId="0" fontId="130" fillId="0" borderId="0" xfId="1" applyFill="1" applyAlignment="1"/>
    <xf numFmtId="0" fontId="0" fillId="0" borderId="0" xfId="0" applyFill="1" applyAlignment="1"/>
    <xf numFmtId="0" fontId="0" fillId="0" borderId="0" xfId="0" applyAlignment="1">
      <alignment wrapText="1"/>
    </xf>
    <xf numFmtId="0" fontId="0" fillId="9" borderId="0" xfId="0" applyFill="1" applyAlignment="1">
      <alignment wrapText="1"/>
    </xf>
    <xf numFmtId="0" fontId="130" fillId="0" borderId="0" xfId="1" applyAlignment="1">
      <alignment wrapText="1"/>
    </xf>
    <xf numFmtId="0" fontId="130" fillId="0" borderId="0" xfId="1" applyFill="1" applyAlignment="1">
      <alignment wrapText="1"/>
    </xf>
    <xf numFmtId="0" fontId="130" fillId="5" borderId="0" xfId="1" applyFill="1" applyAlignment="1">
      <alignment wrapText="1"/>
    </xf>
    <xf numFmtId="0" fontId="130" fillId="9" borderId="0" xfId="1" applyFill="1" applyAlignment="1">
      <alignment wrapText="1"/>
    </xf>
    <xf numFmtId="0" fontId="0" fillId="19" borderId="0" xfId="0" applyFill="1" applyAlignment="1">
      <alignment wrapText="1"/>
    </xf>
    <xf numFmtId="0" fontId="0" fillId="19" borderId="0" xfId="0" applyFill="1" applyAlignment="1"/>
    <xf numFmtId="0" fontId="130" fillId="0" borderId="1" xfId="0" applyFont="1" applyBorder="1">
      <alignment vertical="center"/>
    </xf>
    <xf numFmtId="0" fontId="130" fillId="0" borderId="15" xfId="0" applyFont="1" applyFill="1" applyBorder="1" applyAlignment="1">
      <alignment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30" fillId="0" borderId="0" xfId="0" applyFont="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267" fillId="0" borderId="1" xfId="0" applyFont="1" applyBorder="1" applyAlignment="1">
      <alignment horizontal="center" vertical="center" wrapText="1"/>
    </xf>
    <xf numFmtId="0" fontId="267" fillId="0" borderId="1" xfId="0" applyFont="1" applyBorder="1" applyAlignment="1">
      <alignment horizontal="center" vertical="center"/>
    </xf>
    <xf numFmtId="31" fontId="267" fillId="0" borderId="1" xfId="0" applyNumberFormat="1" applyFont="1" applyBorder="1" applyAlignment="1">
      <alignment horizontal="center" vertical="center" wrapText="1"/>
    </xf>
    <xf numFmtId="0" fontId="267" fillId="0" borderId="1" xfId="0" applyFont="1" applyBorder="1" applyAlignment="1">
      <alignment horizontal="left" vertical="center" wrapText="1"/>
    </xf>
    <xf numFmtId="0" fontId="267" fillId="5" borderId="1" xfId="0" applyFont="1" applyFill="1" applyBorder="1" applyAlignment="1">
      <alignment horizontal="center" vertical="center" wrapText="1"/>
    </xf>
    <xf numFmtId="0" fontId="267" fillId="5" borderId="1" xfId="0" applyFont="1" applyFill="1" applyBorder="1" applyAlignment="1">
      <alignment horizontal="center" vertical="center"/>
    </xf>
    <xf numFmtId="4" fontId="267" fillId="5" borderId="1" xfId="0" applyNumberFormat="1" applyFont="1" applyFill="1" applyBorder="1" applyAlignment="1">
      <alignment horizontal="center" vertical="center" wrapText="1"/>
    </xf>
    <xf numFmtId="31" fontId="267" fillId="5" borderId="1" xfId="0" applyNumberFormat="1" applyFont="1" applyFill="1" applyBorder="1" applyAlignment="1">
      <alignment horizontal="center" vertical="center" wrapText="1"/>
    </xf>
    <xf numFmtId="4" fontId="267" fillId="0" borderId="1" xfId="0" applyNumberFormat="1" applyFont="1" applyBorder="1" applyAlignment="1">
      <alignment horizontal="center" vertical="center" wrapText="1"/>
    </xf>
    <xf numFmtId="0" fontId="0" fillId="0" borderId="60" xfId="0" applyBorder="1" applyAlignment="1">
      <alignment horizontal="center" vertical="center"/>
    </xf>
    <xf numFmtId="0" fontId="264" fillId="0" borderId="1" xfId="0" applyFont="1" applyBorder="1" applyAlignment="1">
      <alignment horizontal="left" vertical="center"/>
    </xf>
    <xf numFmtId="0" fontId="265" fillId="0" borderId="1" xfId="0" applyFont="1" applyBorder="1" applyAlignment="1">
      <alignment horizontal="center" vertical="center" wrapText="1"/>
    </xf>
    <xf numFmtId="0" fontId="130" fillId="0" borderId="1" xfId="0" applyFont="1" applyBorder="1" applyAlignment="1">
      <alignment horizontal="center" vertical="center"/>
    </xf>
    <xf numFmtId="0" fontId="267" fillId="5" borderId="1" xfId="0" applyFont="1" applyFill="1" applyBorder="1" applyAlignment="1">
      <alignment horizontal="left" vertical="center" wrapText="1"/>
    </xf>
  </cellXfs>
  <cellStyles count="15">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4576;&#26580;&#21306;&#26143;&#32654;&#24433;&#35270;&#22522;&#22320;-&#21271;&#2137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28973.439999999999</v>
          </cell>
        </row>
      </sheetData>
      <sheetData sheetId="14"/>
      <sheetData sheetId="15"/>
      <sheetData sheetId="16"/>
      <sheetData sheetId="17">
        <row r="19">
          <cell r="G19">
            <v>71289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3053" customWidth="1"/>
    <col min="2" max="2" width="81" style="3070" customWidth="1"/>
    <col min="3" max="16384" width="9" style="3068"/>
  </cols>
  <sheetData>
    <row r="1" spans="1:2" s="3056" customFormat="1" ht="16.5" thickBot="1">
      <c r="A1" s="3055" t="s">
        <v>2797</v>
      </c>
      <c r="B1" s="3054" t="s">
        <v>2886</v>
      </c>
    </row>
    <row r="2" spans="1:2" s="3059" customFormat="1" ht="15" thickTop="1">
      <c r="A2" s="3057" t="s">
        <v>2798</v>
      </c>
      <c r="B2" s="3058" t="str">
        <f>'预评函-封皮'!B37:I37</f>
        <v>北京市怀柔区杨宋镇凤翔二园1号1-7幢房地产抵押价值预评估</v>
      </c>
    </row>
    <row r="3" spans="1:2" s="3062" customFormat="1">
      <c r="A3" s="3060" t="s">
        <v>2799</v>
      </c>
      <c r="B3" s="3061">
        <f>'预评函-封皮'!B40</f>
        <v>0</v>
      </c>
    </row>
    <row r="4" spans="1:2" s="3062" customFormat="1">
      <c r="A4" s="3060" t="s">
        <v>2800</v>
      </c>
      <c r="B4" s="3061" t="str">
        <f ca="1">'预评函-封皮'!B46</f>
        <v>刘梅（注册号：1120140022)、吴薇（注册号：1419970001)</v>
      </c>
    </row>
    <row r="5" spans="1:2" s="3056" customFormat="1" ht="15" thickBot="1">
      <c r="A5" s="3063" t="s">
        <v>2801</v>
      </c>
      <c r="B5" s="3064" t="str">
        <f>'预评函-封皮'!B49</f>
        <v>康正预评字号</v>
      </c>
    </row>
    <row r="6" spans="1:2" s="3059" customFormat="1" ht="15" thickTop="1">
      <c r="A6" s="3057" t="s">
        <v>2802</v>
      </c>
      <c r="B6" s="3058" t="str">
        <f>'预评函-1'!A4</f>
        <v>受贵公司委托，我公司对北京市怀柔区杨宋镇凤翔二园1号1-7幢房地产抵押价值进行了预评估。</v>
      </c>
    </row>
    <row r="7" spans="1:2" s="3062" customFormat="1">
      <c r="A7" s="3060" t="s">
        <v>2842</v>
      </c>
      <c r="B7" s="3061" t="str">
        <f>'预评函-1'!A7</f>
        <v>估价对象为北京市怀柔区杨宋镇凤翔二园1号1-7幢房地产，为星美今晟影视城管理有限公司所有。根据《国有土地使用证》[京怀国用（2014出）第00037号]，估价对象（分摊）出让国有建设用地使用权面积为82323.28平方米，建筑面积为12736.12平方米。</v>
      </c>
    </row>
    <row r="8" spans="1:2" s="3062" customFormat="1">
      <c r="A8" s="3060" t="s">
        <v>2843</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2844</v>
      </c>
      <c r="B9" s="3061" t="str">
        <f>'预评函-1'!A10</f>
        <v>估价对象为北京市怀柔区杨宋镇凤翔二园1号1-7幢房地产,为星美今晟影视城管理有限公司开发建设的综合项目（商业、办公），该项目尚在开发建设中。根据《国有土地使用证》[京怀国用（2014出）第00037号]，估价对象（分摊）出让国有建设用地使用权面积为82323.28平方米，规划建筑面积为12736.12平方米。</v>
      </c>
    </row>
    <row r="10" spans="1:2" s="3062" customFormat="1">
      <c r="A10" s="3060" t="s">
        <v>2845</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2803</v>
      </c>
      <c r="B11" s="3061" t="str">
        <f>'预评函-1'!A13</f>
        <v>拟使用北京市怀柔区杨宋镇凤翔二园1号1-7幢房地产作为抵押担保物，向办理贷款手续。特委托北京康正宏基房地产评估有限公司对上述抵押物进行评估。本次评估为确定房地产抵押贷款额度提供参考依据而评估房地产抵押价值。</v>
      </c>
    </row>
    <row r="12" spans="1:2" s="3062" customFormat="1">
      <c r="A12" s="3060" t="s">
        <v>2804</v>
      </c>
      <c r="B12" s="3061" t="str">
        <f>'预评函-1'!A15</f>
        <v>2017年9月8日（评估专业人员实地查勘之日）</v>
      </c>
    </row>
    <row r="13" spans="1:2" s="3062" customFormat="1">
      <c r="A13" s="3060" t="s">
        <v>2805</v>
      </c>
      <c r="B13" s="3061" t="str">
        <f>'预评函-1'!A18</f>
        <v>本次估价的“房地产价值”是指在正常市场情况下，在价值时点2017年9月8日，估价对象规划用途为，土地取得方式为出让，出让国有建设用地使用权剩余土地使用年限为34.31年，假定未设立法定优先受偿款下的房地产市场价值。</v>
      </c>
    </row>
    <row r="14" spans="1:2" s="3062" customFormat="1">
      <c r="A14" s="3060" t="s">
        <v>2806</v>
      </c>
      <c r="B14" s="3061" t="str">
        <f>'预评函-1'!A19</f>
        <v>其中，“出让国有建设用地使用权价值”是指估价对象用途为，实际开发程度为宗地红线外“七通”（即、、、、、、）、红线内场地平整条件下，剩余土地使用年限为34.31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2807</v>
      </c>
      <c r="B15" s="30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2" customFormat="1">
      <c r="A16" s="3060" t="s">
        <v>2808</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2809</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6" customFormat="1" ht="15" thickBot="1">
      <c r="A18" s="3063" t="s">
        <v>2810</v>
      </c>
      <c r="B18" s="3064" t="str">
        <f>'预评函-1'!A24</f>
        <v>本次评估采用的主估价方法为成本法和收益法。</v>
      </c>
    </row>
    <row r="19" spans="1:2" s="3059" customFormat="1" ht="15" thickTop="1">
      <c r="A19" s="3057" t="s">
        <v>2811</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2812</v>
      </c>
      <c r="B20" s="3061">
        <f ca="1">'预评函-2'!D5</f>
        <v>31162</v>
      </c>
    </row>
    <row r="21" spans="1:2" s="3062" customFormat="1">
      <c r="A21" s="3060" t="s">
        <v>2813</v>
      </c>
      <c r="B21" s="3061">
        <f ca="1">'预评函-2'!D7</f>
        <v>24467</v>
      </c>
    </row>
    <row r="22" spans="1:2" s="3062" customFormat="1">
      <c r="A22" s="3060" t="s">
        <v>2814</v>
      </c>
      <c r="B22" s="3061" t="str">
        <f ca="1">'预评函-2'!D6</f>
        <v>叁亿壹仟壹佰陆拾贰万元整</v>
      </c>
    </row>
    <row r="23" spans="1:2" s="3062" customFormat="1">
      <c r="A23" s="3060" t="s">
        <v>2874</v>
      </c>
      <c r="B23" s="3061" t="str">
        <f>'预评函-2'!B8</f>
        <v>2.估价师知悉的法定优先受偿款</v>
      </c>
    </row>
    <row r="24" spans="1:2" s="3062" customFormat="1">
      <c r="A24" s="3060" t="s">
        <v>2880</v>
      </c>
      <c r="B24" s="3061">
        <f>'预评函-2'!D8</f>
        <v>0</v>
      </c>
    </row>
    <row r="25" spans="1:2" s="3062" customFormat="1">
      <c r="A25" s="3060" t="s">
        <v>2815</v>
      </c>
      <c r="B25" s="3061" t="str">
        <f>'预评函-2'!D9</f>
        <v>零元整</v>
      </c>
    </row>
    <row r="26" spans="1:2" s="3062" customFormat="1">
      <c r="A26" s="3060" t="s">
        <v>2816</v>
      </c>
      <c r="B26" s="3061">
        <f>'预评函-2'!D10</f>
        <v>0</v>
      </c>
    </row>
    <row r="27" spans="1:2" s="3062" customFormat="1">
      <c r="A27" s="3060" t="s">
        <v>2817</v>
      </c>
      <c r="B27" s="3061">
        <f>'预评函-2'!D11</f>
        <v>0</v>
      </c>
    </row>
    <row r="28" spans="1:2" s="3062" customFormat="1">
      <c r="A28" s="3060" t="s">
        <v>2818</v>
      </c>
      <c r="B28" s="3061">
        <f>'预评函-2'!D12</f>
        <v>0</v>
      </c>
    </row>
    <row r="29" spans="1:2" s="3062" customFormat="1">
      <c r="A29" s="3060" t="s">
        <v>2878</v>
      </c>
      <c r="B29" s="3061" t="str">
        <f>'预评函-2'!B13</f>
        <v>3.房地产抵押价值</v>
      </c>
    </row>
    <row r="30" spans="1:2" s="3062" customFormat="1">
      <c r="A30" s="3060" t="s">
        <v>2879</v>
      </c>
      <c r="B30" s="3061">
        <f ca="1">'预评函-2'!D13</f>
        <v>31162</v>
      </c>
    </row>
    <row r="31" spans="1:2" s="3062" customFormat="1">
      <c r="A31" s="3060" t="s">
        <v>2853</v>
      </c>
      <c r="B31" s="3061">
        <f ca="1">'预评函-2'!D15</f>
        <v>24467</v>
      </c>
    </row>
    <row r="32" spans="1:2" s="3062" customFormat="1">
      <c r="A32" s="3060" t="s">
        <v>2819</v>
      </c>
      <c r="B32" s="3061" t="str">
        <f ca="1">'预评函-2'!D14</f>
        <v>叁亿壹仟壹佰陆拾贰万元整</v>
      </c>
    </row>
    <row r="33" spans="1:2" s="3062" customFormat="1">
      <c r="A33" s="3060" t="s">
        <v>2855</v>
      </c>
      <c r="B33" s="3061" t="str">
        <f>'预评函-2'!B16</f>
        <v>——</v>
      </c>
    </row>
    <row r="34" spans="1:2" s="3062" customFormat="1">
      <c r="A34" s="3060" t="s">
        <v>2881</v>
      </c>
      <c r="B34" s="3061" t="str">
        <f>'预评函-2'!D16</f>
        <v>——</v>
      </c>
    </row>
    <row r="35" spans="1:2" s="3062" customFormat="1">
      <c r="A35" s="3060" t="s">
        <v>2854</v>
      </c>
      <c r="B35" s="3061" t="str">
        <f>'预评函-2'!D18</f>
        <v>——</v>
      </c>
    </row>
    <row r="36" spans="1:2" s="3062" customFormat="1">
      <c r="A36" s="3060" t="s">
        <v>2820</v>
      </c>
      <c r="B36" s="3061" t="e">
        <f>'预评函-2'!D17</f>
        <v>#VALUE!</v>
      </c>
    </row>
    <row r="37" spans="1:2" s="3062" customFormat="1">
      <c r="A37" s="3060" t="s">
        <v>2856</v>
      </c>
      <c r="B37" s="3061" t="str">
        <f>'预评函-2'!B19</f>
        <v>——</v>
      </c>
    </row>
    <row r="38" spans="1:2" s="3062" customFormat="1">
      <c r="A38" s="3060" t="s">
        <v>2882</v>
      </c>
      <c r="B38" s="3061" t="str">
        <f>'预评函-2'!D19</f>
        <v>——</v>
      </c>
    </row>
    <row r="39" spans="1:2" s="3062" customFormat="1">
      <c r="A39" s="3060" t="s">
        <v>2821</v>
      </c>
      <c r="B39" s="3061" t="str">
        <f>'预评函-2'!D21</f>
        <v>——</v>
      </c>
    </row>
    <row r="40" spans="1:2" s="3062" customFormat="1">
      <c r="A40" s="3060" t="s">
        <v>2822</v>
      </c>
      <c r="B40" s="3061" t="e">
        <f>'预评函-2'!D20</f>
        <v>#VALUE!</v>
      </c>
    </row>
    <row r="41" spans="1:2" s="3062" customFormat="1">
      <c r="A41" s="3060" t="s">
        <v>2877</v>
      </c>
      <c r="B41" s="3061" t="str">
        <f>'预评函-3'!A4</f>
        <v>北京市怀柔区杨宋镇凤翔二园1号1-7幢房地产</v>
      </c>
    </row>
    <row r="42" spans="1:2" s="3062" customFormat="1">
      <c r="A42" s="3060" t="s">
        <v>2875</v>
      </c>
      <c r="B42" s="3061" t="str">
        <f>'预评函-3'!B2</f>
        <v>建筑面积</v>
      </c>
    </row>
    <row r="43" spans="1:2" s="3062" customFormat="1">
      <c r="A43" s="3060" t="s">
        <v>2876</v>
      </c>
      <c r="B43" s="3061">
        <f>'预评函-3'!B4</f>
        <v>12736.12000000001</v>
      </c>
    </row>
    <row r="44" spans="1:2" s="3062" customFormat="1">
      <c r="A44" s="3060" t="s">
        <v>2852</v>
      </c>
      <c r="B44" s="3061" t="str">
        <f>'预评函-3'!C2</f>
        <v>(分摊)土地面积</v>
      </c>
    </row>
    <row r="45" spans="1:2" s="3062" customFormat="1">
      <c r="A45" s="3060" t="s">
        <v>2823</v>
      </c>
      <c r="B45" s="3061">
        <f>'预评函-3'!C4</f>
        <v>82323.28</v>
      </c>
    </row>
    <row r="46" spans="1:2" s="3062" customFormat="1">
      <c r="A46" s="3060" t="s">
        <v>2850</v>
      </c>
      <c r="B46" s="3061" t="str">
        <f>'预评函-3'!D2</f>
        <v>出让国有建设用地使用权价值</v>
      </c>
    </row>
    <row r="47" spans="1:2" s="3062" customFormat="1">
      <c r="A47" s="3060" t="s">
        <v>2824</v>
      </c>
      <c r="B47" s="3061">
        <f ca="1">'预评函-3'!D4</f>
        <v>28576</v>
      </c>
    </row>
    <row r="48" spans="1:2" s="3062" customFormat="1">
      <c r="A48" s="3060" t="s">
        <v>2825</v>
      </c>
      <c r="B48" s="3061">
        <f ca="1">'预评函-3'!E4</f>
        <v>22437</v>
      </c>
    </row>
    <row r="49" spans="1:2" s="3062" customFormat="1">
      <c r="A49" s="3060" t="s">
        <v>2826</v>
      </c>
      <c r="B49" s="3061" t="str">
        <f ca="1">'预评函-3'!D5</f>
        <v>贰亿捌仟伍佰柒拾陆万元整</v>
      </c>
    </row>
    <row r="50" spans="1:2" s="3062" customFormat="1">
      <c r="A50" s="3060" t="s">
        <v>2851</v>
      </c>
      <c r="B50" s="3061" t="str">
        <f>'预评函-3'!F2</f>
        <v>在建建筑物价值</v>
      </c>
    </row>
    <row r="51" spans="1:2" s="3062" customFormat="1">
      <c r="A51" s="3060" t="s">
        <v>2827</v>
      </c>
      <c r="B51" s="3061">
        <f ca="1">'预评函-3'!F4</f>
        <v>2586</v>
      </c>
    </row>
    <row r="52" spans="1:2" s="3062" customFormat="1">
      <c r="A52" s="3060" t="s">
        <v>2828</v>
      </c>
      <c r="B52" s="3061">
        <f ca="1">'预评函-3'!G4</f>
        <v>2030</v>
      </c>
    </row>
    <row r="53" spans="1:2" s="3062" customFormat="1">
      <c r="A53" s="3060" t="s">
        <v>2857</v>
      </c>
      <c r="B53" s="3061" t="str">
        <f ca="1">'预评函-3'!F5</f>
        <v>贰仟伍佰捌拾陆万元整</v>
      </c>
    </row>
    <row r="54" spans="1:2" s="3062" customFormat="1">
      <c r="A54" s="3060" t="s">
        <v>2884</v>
      </c>
      <c r="B54" s="3061" t="str">
        <f>'预评函-3'!A8</f>
        <v>房地产抵押价值</v>
      </c>
    </row>
    <row r="55" spans="1:2" s="3062" customFormat="1">
      <c r="A55" s="3060" t="s">
        <v>2858</v>
      </c>
      <c r="B55" s="3061" t="str">
        <f>'预评函-3'!A10</f>
        <v/>
      </c>
    </row>
    <row r="56" spans="1:2" s="3062" customFormat="1">
      <c r="A56" s="3060" t="s">
        <v>2859</v>
      </c>
      <c r="B56" s="3061" t="str">
        <f>'预评函-3'!A12</f>
        <v/>
      </c>
    </row>
    <row r="57" spans="1:2" s="3056" customFormat="1" ht="15" thickBot="1">
      <c r="A57" s="3063" t="s">
        <v>2885</v>
      </c>
      <c r="B57" s="3064" t="str">
        <f>'预评函-3'!A6</f>
        <v>估价师知悉的法定优先受偿款</v>
      </c>
    </row>
    <row r="58" spans="1:2" s="3059" customFormat="1" ht="15" thickTop="1">
      <c r="A58" s="3057" t="s">
        <v>2829</v>
      </c>
      <c r="B58" s="3058" t="str">
        <f>'预评函-4'!A12</f>
        <v>2.本《评估意见函》仅供金融机构进行内部审核使用，不做其他目的之用。</v>
      </c>
    </row>
    <row r="59" spans="1:2" s="3062" customFormat="1">
      <c r="A59" s="3060" t="s">
        <v>2830</v>
      </c>
      <c r="B59" s="3061" t="str">
        <f>'预评函-4'!A13</f>
        <v>3.抵押双方在办理抵押登记手续时，应使用本公司出具的正式《房地产评估报告》，特提醒报告使用者注意。</v>
      </c>
    </row>
    <row r="60" spans="1:2" s="3062" customFormat="1">
      <c r="A60" s="3060" t="s">
        <v>2831</v>
      </c>
      <c r="B60" s="3061" t="str">
        <f>'预评函-4'!A14</f>
        <v>4.本次评估估价师所知悉的法定优先受偿款情况说明如下：</v>
      </c>
    </row>
    <row r="61" spans="1:2" s="3062" customFormat="1">
      <c r="A61" s="3060" t="s">
        <v>2832</v>
      </c>
      <c r="B61" s="30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2" customFormat="1">
      <c r="A62" s="3060" t="s">
        <v>2833</v>
      </c>
      <c r="B62" s="3061" t="str">
        <f>'预评函-4'!A16</f>
        <v>（2）根据《工程款支付情况说明》，截至价值时点，估价对象不存在应付未付工程款项。（只要没有施工方盖章的，均“设定”进行表述）</v>
      </c>
    </row>
    <row r="63" spans="1:2" s="3062" customFormat="1">
      <c r="A63" s="3060" t="s">
        <v>2834</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2846</v>
      </c>
      <c r="B64" s="3061" t="str">
        <f>'预评函-4'!A18</f>
        <v>故，本次评估不存在估价师知悉的法定优先受偿款</v>
      </c>
    </row>
    <row r="65" spans="1:2" s="3062" customFormat="1">
      <c r="A65" s="3060" t="s">
        <v>2835</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2836</v>
      </c>
      <c r="B66" s="3061" t="str">
        <f>'预评函-4'!A20</f>
        <v>——</v>
      </c>
    </row>
    <row r="67" spans="1:2" s="3062" customFormat="1">
      <c r="A67" s="3060" t="s">
        <v>2847</v>
      </c>
      <c r="B67" s="3061" t="str">
        <f>'预评函-4'!A21</f>
        <v>——</v>
      </c>
    </row>
    <row r="68" spans="1:2" s="3062" customFormat="1">
      <c r="A68" s="3060" t="s">
        <v>2848</v>
      </c>
      <c r="B68" s="3061" t="str">
        <f>'预评函-4'!A22</f>
        <v>8.其他需特殊说明事项：无（注意调整序号）</v>
      </c>
    </row>
    <row r="69" spans="1:2" s="3056" customFormat="1" ht="15" thickBot="1">
      <c r="A69" s="3063" t="s">
        <v>2837</v>
      </c>
      <c r="B69" s="3065">
        <f>'预评函-4'!C31</f>
        <v>42551</v>
      </c>
    </row>
    <row r="70" spans="1:2" ht="15" thickTop="1">
      <c r="A70" s="3066" t="s">
        <v>2838</v>
      </c>
      <c r="B70" s="3067" t="str">
        <f>'预评函-4'!A4</f>
        <v>刘梅</v>
      </c>
    </row>
    <row r="71" spans="1:2">
      <c r="A71" s="3060" t="s">
        <v>2839</v>
      </c>
      <c r="B71" s="3061">
        <f ca="1">'预评函-4'!B4</f>
        <v>1120140022</v>
      </c>
    </row>
    <row r="72" spans="1:2">
      <c r="A72" s="3060" t="s">
        <v>2840</v>
      </c>
      <c r="B72" s="3069" t="str">
        <f>'预评函-4'!A5</f>
        <v>吴薇</v>
      </c>
    </row>
    <row r="73" spans="1:2" s="3056" customFormat="1" ht="15" thickBot="1">
      <c r="A73" s="3063" t="s">
        <v>2841</v>
      </c>
      <c r="B73" s="3064">
        <f ca="1">'预评函-4'!B5</f>
        <v>1419970001</v>
      </c>
    </row>
    <row r="74" spans="1:2" ht="15" thickTop="1">
      <c r="A74" s="3053" t="s">
        <v>2902</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X29" sqref="X29"/>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532</v>
      </c>
      <c r="B1" s="289" t="s">
        <v>256</v>
      </c>
      <c r="C1" s="1768" t="s">
        <v>1876</v>
      </c>
      <c r="D1" s="290" t="s">
        <v>257</v>
      </c>
      <c r="E1" s="290" t="s">
        <v>258</v>
      </c>
      <c r="F1" s="290" t="s">
        <v>259</v>
      </c>
      <c r="G1" s="290" t="s">
        <v>260</v>
      </c>
      <c r="H1" s="290" t="s">
        <v>261</v>
      </c>
      <c r="I1" s="290" t="s">
        <v>262</v>
      </c>
      <c r="J1" s="290" t="s">
        <v>263</v>
      </c>
      <c r="K1" s="290" t="s">
        <v>264</v>
      </c>
      <c r="L1" s="290" t="s">
        <v>265</v>
      </c>
      <c r="M1" s="290" t="s">
        <v>266</v>
      </c>
      <c r="N1" s="290" t="s">
        <v>267</v>
      </c>
      <c r="O1" s="290" t="s">
        <v>268</v>
      </c>
      <c r="P1" s="11" t="s">
        <v>1848</v>
      </c>
      <c r="Q1" s="11" t="s">
        <v>2642</v>
      </c>
      <c r="R1" s="1486" t="s">
        <v>2632</v>
      </c>
      <c r="S1" s="290" t="s">
        <v>269</v>
      </c>
      <c r="T1" s="291" t="s">
        <v>270</v>
      </c>
      <c r="U1" s="290" t="s">
        <v>271</v>
      </c>
      <c r="V1" s="290" t="s">
        <v>272</v>
      </c>
      <c r="W1" s="1486" t="s">
        <v>1851</v>
      </c>
    </row>
    <row r="2" spans="1:23">
      <c r="A2" s="2798" t="s">
        <v>114</v>
      </c>
      <c r="B2" s="2798" t="s">
        <v>579</v>
      </c>
      <c r="C2" s="1769" t="s">
        <v>1877</v>
      </c>
      <c r="D2" s="292" t="s">
        <v>230</v>
      </c>
      <c r="E2" s="292" t="s">
        <v>273</v>
      </c>
      <c r="F2" s="292" t="s">
        <v>274</v>
      </c>
      <c r="G2" s="292">
        <v>40</v>
      </c>
      <c r="H2" s="292" t="s">
        <v>275</v>
      </c>
      <c r="I2" s="292" t="s">
        <v>276</v>
      </c>
      <c r="J2" s="292" t="s">
        <v>277</v>
      </c>
      <c r="K2" s="292" t="s">
        <v>231</v>
      </c>
      <c r="L2" s="292" t="s">
        <v>231</v>
      </c>
      <c r="M2" s="292" t="s">
        <v>231</v>
      </c>
      <c r="N2" s="292" t="s">
        <v>231</v>
      </c>
      <c r="O2" s="292" t="s">
        <v>231</v>
      </c>
      <c r="P2" s="292" t="s">
        <v>231</v>
      </c>
      <c r="Q2" s="292" t="s">
        <v>231</v>
      </c>
      <c r="R2" s="2764" t="s">
        <v>2636</v>
      </c>
      <c r="S2" s="292" t="s">
        <v>231</v>
      </c>
      <c r="T2" s="292" t="s">
        <v>232</v>
      </c>
      <c r="U2" s="292" t="s">
        <v>231</v>
      </c>
      <c r="V2" s="292" t="s">
        <v>233</v>
      </c>
      <c r="W2" s="292" t="s">
        <v>231</v>
      </c>
    </row>
    <row r="3" spans="1:23">
      <c r="A3" s="2798" t="s">
        <v>578</v>
      </c>
      <c r="B3" s="2799" t="s">
        <v>2678</v>
      </c>
      <c r="C3" s="1770" t="s">
        <v>1878</v>
      </c>
      <c r="D3" s="292" t="s">
        <v>234</v>
      </c>
      <c r="E3" s="292" t="s">
        <v>51</v>
      </c>
      <c r="F3" s="292" t="s">
        <v>235</v>
      </c>
      <c r="G3" s="292">
        <v>50</v>
      </c>
      <c r="H3" s="292" t="s">
        <v>236</v>
      </c>
      <c r="I3" s="292" t="s">
        <v>237</v>
      </c>
      <c r="J3" s="292" t="s">
        <v>238</v>
      </c>
      <c r="K3" s="292" t="s">
        <v>239</v>
      </c>
      <c r="L3" s="292" t="s">
        <v>239</v>
      </c>
      <c r="M3" s="292" t="s">
        <v>239</v>
      </c>
      <c r="N3" s="292" t="s">
        <v>239</v>
      </c>
      <c r="O3" s="292" t="s">
        <v>239</v>
      </c>
      <c r="P3" s="292" t="s">
        <v>239</v>
      </c>
      <c r="Q3" s="292" t="s">
        <v>239</v>
      </c>
      <c r="R3" s="2764" t="s">
        <v>2634</v>
      </c>
      <c r="S3" s="292" t="s">
        <v>239</v>
      </c>
      <c r="T3" s="292" t="s">
        <v>240</v>
      </c>
      <c r="U3" s="292" t="s">
        <v>239</v>
      </c>
      <c r="V3" s="292" t="s">
        <v>241</v>
      </c>
      <c r="W3" s="292" t="s">
        <v>239</v>
      </c>
    </row>
    <row r="4" spans="1:23">
      <c r="A4" s="2798" t="s">
        <v>580</v>
      </c>
      <c r="B4" s="2798" t="s">
        <v>581</v>
      </c>
      <c r="C4" s="1769" t="s">
        <v>1879</v>
      </c>
      <c r="D4" s="292" t="s">
        <v>2043</v>
      </c>
      <c r="E4" s="292" t="s">
        <v>278</v>
      </c>
      <c r="F4" s="292" t="s">
        <v>279</v>
      </c>
      <c r="G4" s="292">
        <v>70</v>
      </c>
      <c r="H4" s="292" t="s">
        <v>280</v>
      </c>
      <c r="I4" s="292" t="s">
        <v>281</v>
      </c>
      <c r="K4" s="292" t="s">
        <v>242</v>
      </c>
      <c r="L4" s="292" t="s">
        <v>242</v>
      </c>
      <c r="M4" s="292" t="s">
        <v>242</v>
      </c>
      <c r="N4" s="292" t="s">
        <v>242</v>
      </c>
      <c r="O4" s="292" t="s">
        <v>242</v>
      </c>
      <c r="P4" s="292" t="s">
        <v>242</v>
      </c>
      <c r="Q4" s="292" t="s">
        <v>242</v>
      </c>
      <c r="R4" s="2764" t="s">
        <v>2637</v>
      </c>
      <c r="S4" s="292" t="s">
        <v>242</v>
      </c>
      <c r="T4" s="292" t="s">
        <v>243</v>
      </c>
      <c r="U4" s="292" t="s">
        <v>242</v>
      </c>
      <c r="W4" s="292" t="s">
        <v>242</v>
      </c>
    </row>
    <row r="5" spans="1:23">
      <c r="A5" s="2798" t="s">
        <v>582</v>
      </c>
      <c r="B5" s="2798" t="s">
        <v>583</v>
      </c>
      <c r="C5" s="1769" t="s">
        <v>1880</v>
      </c>
      <c r="F5" s="292" t="s">
        <v>244</v>
      </c>
      <c r="H5" s="292" t="s">
        <v>245</v>
      </c>
      <c r="I5" s="292" t="s">
        <v>246</v>
      </c>
      <c r="K5" s="292" t="s">
        <v>247</v>
      </c>
      <c r="L5" s="292" t="s">
        <v>247</v>
      </c>
      <c r="M5" s="292" t="s">
        <v>247</v>
      </c>
      <c r="N5" s="292" t="s">
        <v>247</v>
      </c>
      <c r="O5" s="292" t="s">
        <v>247</v>
      </c>
      <c r="P5" s="292" t="s">
        <v>247</v>
      </c>
      <c r="Q5" s="292" t="s">
        <v>247</v>
      </c>
      <c r="R5" s="2764" t="s">
        <v>2638</v>
      </c>
      <c r="S5" s="292" t="s">
        <v>247</v>
      </c>
      <c r="T5" s="292" t="s">
        <v>248</v>
      </c>
      <c r="U5" s="292" t="s">
        <v>247</v>
      </c>
      <c r="W5" s="292" t="s">
        <v>247</v>
      </c>
    </row>
    <row r="6" spans="1:23">
      <c r="A6" s="2798" t="s">
        <v>584</v>
      </c>
      <c r="B6" s="2799" t="s">
        <v>2679</v>
      </c>
      <c r="C6" s="1771" t="s">
        <v>162</v>
      </c>
      <c r="F6" s="292" t="s">
        <v>249</v>
      </c>
      <c r="H6" s="292" t="s">
        <v>250</v>
      </c>
      <c r="I6" s="292" t="s">
        <v>251</v>
      </c>
      <c r="K6" s="292" t="s">
        <v>252</v>
      </c>
      <c r="L6" s="292" t="s">
        <v>252</v>
      </c>
      <c r="M6" s="292" t="s">
        <v>252</v>
      </c>
      <c r="N6" s="292" t="s">
        <v>252</v>
      </c>
      <c r="O6" s="292" t="s">
        <v>252</v>
      </c>
      <c r="P6" s="292" t="s">
        <v>252</v>
      </c>
      <c r="Q6" s="292" t="s">
        <v>252</v>
      </c>
      <c r="R6" s="2764" t="s">
        <v>2639</v>
      </c>
      <c r="S6" s="292" t="s">
        <v>252</v>
      </c>
      <c r="T6" s="292"/>
      <c r="U6" s="292" t="s">
        <v>252</v>
      </c>
      <c r="W6" s="292" t="s">
        <v>252</v>
      </c>
    </row>
    <row r="7" spans="1:23">
      <c r="A7" s="2798" t="s">
        <v>586</v>
      </c>
      <c r="B7" s="2799" t="s">
        <v>2680</v>
      </c>
      <c r="C7" s="1769" t="s">
        <v>163</v>
      </c>
      <c r="F7" s="292" t="s">
        <v>253</v>
      </c>
      <c r="H7" s="292" t="s">
        <v>254</v>
      </c>
      <c r="I7" s="292" t="s">
        <v>255</v>
      </c>
    </row>
    <row r="8" spans="1:23">
      <c r="A8" s="2798" t="s">
        <v>588</v>
      </c>
      <c r="B8" s="2798" t="s">
        <v>585</v>
      </c>
      <c r="C8" s="1769" t="s">
        <v>1881</v>
      </c>
      <c r="F8" s="292" t="s">
        <v>282</v>
      </c>
      <c r="H8" s="292"/>
      <c r="I8" s="292" t="s">
        <v>283</v>
      </c>
    </row>
    <row r="9" spans="1:23">
      <c r="A9" s="2798" t="s">
        <v>590</v>
      </c>
      <c r="B9" s="2798" t="s">
        <v>587</v>
      </c>
      <c r="C9" s="1769" t="s">
        <v>1882</v>
      </c>
      <c r="F9" s="292" t="s">
        <v>284</v>
      </c>
      <c r="H9" s="292"/>
    </row>
    <row r="10" spans="1:23">
      <c r="A10" s="2798" t="s">
        <v>592</v>
      </c>
      <c r="B10" s="2798" t="s">
        <v>589</v>
      </c>
      <c r="C10" s="1769" t="s">
        <v>1883</v>
      </c>
      <c r="F10" s="292" t="s">
        <v>51</v>
      </c>
    </row>
    <row r="11" spans="1:23">
      <c r="A11" s="2798" t="s">
        <v>594</v>
      </c>
      <c r="B11" s="2798" t="s">
        <v>591</v>
      </c>
      <c r="C11" s="1769" t="s">
        <v>1884</v>
      </c>
    </row>
    <row r="12" spans="1:23">
      <c r="A12" s="2798" t="s">
        <v>596</v>
      </c>
      <c r="B12" s="2798" t="s">
        <v>593</v>
      </c>
      <c r="C12" s="1769" t="s">
        <v>1885</v>
      </c>
    </row>
    <row r="13" spans="1:23">
      <c r="A13" s="2798" t="s">
        <v>598</v>
      </c>
      <c r="B13" s="2798" t="s">
        <v>595</v>
      </c>
      <c r="C13" s="1769" t="s">
        <v>1886</v>
      </c>
    </row>
    <row r="14" spans="1:23">
      <c r="A14" s="2798" t="s">
        <v>600</v>
      </c>
      <c r="B14" s="2798" t="s">
        <v>597</v>
      </c>
      <c r="C14" s="292" t="s">
        <v>51</v>
      </c>
    </row>
    <row r="15" spans="1:23">
      <c r="A15" s="2798" t="s">
        <v>601</v>
      </c>
      <c r="B15" s="2798" t="s">
        <v>599</v>
      </c>
      <c r="C15" s="1772"/>
    </row>
    <row r="16" spans="1:23">
      <c r="A16" s="2798" t="s">
        <v>602</v>
      </c>
      <c r="B16" s="2798" t="s">
        <v>1867</v>
      </c>
      <c r="C16" s="1772"/>
    </row>
    <row r="17" spans="1:3">
      <c r="A17" s="2798" t="s">
        <v>603</v>
      </c>
      <c r="B17" s="2798" t="s">
        <v>1868</v>
      </c>
      <c r="C17" s="1772"/>
    </row>
    <row r="18" spans="1:3">
      <c r="A18" s="2798" t="s">
        <v>604</v>
      </c>
      <c r="B18" s="2798" t="s">
        <v>1868</v>
      </c>
      <c r="C18" s="1772"/>
    </row>
    <row r="19" spans="1:3">
      <c r="A19" s="2798" t="s">
        <v>605</v>
      </c>
      <c r="B19" s="2798" t="s">
        <v>1868</v>
      </c>
      <c r="C19" s="1772"/>
    </row>
    <row r="20" spans="1:3">
      <c r="A20" s="2798" t="s">
        <v>606</v>
      </c>
      <c r="B20" s="2798" t="s">
        <v>1868</v>
      </c>
      <c r="C20" s="1772"/>
    </row>
    <row r="21" spans="1:3">
      <c r="A21" s="2798" t="s">
        <v>607</v>
      </c>
      <c r="B21" s="2798" t="s">
        <v>1868</v>
      </c>
      <c r="C21" s="1772"/>
    </row>
    <row r="22" spans="1:3">
      <c r="A22" s="2798" t="s">
        <v>608</v>
      </c>
      <c r="B22" s="2798" t="s">
        <v>1868</v>
      </c>
      <c r="C22" s="1772"/>
    </row>
    <row r="23" spans="1:3">
      <c r="A23" s="2798" t="s">
        <v>609</v>
      </c>
      <c r="B23" s="2798" t="s">
        <v>1868</v>
      </c>
      <c r="C23" s="1772"/>
    </row>
    <row r="24" spans="1:3">
      <c r="A24" s="2798" t="s">
        <v>610</v>
      </c>
      <c r="B24" s="2798" t="s">
        <v>1868</v>
      </c>
      <c r="C24" s="1772"/>
    </row>
    <row r="25" spans="1:3">
      <c r="A25" s="2798" t="s">
        <v>611</v>
      </c>
      <c r="B25" s="2798" t="s">
        <v>1868</v>
      </c>
      <c r="C25" s="1772"/>
    </row>
    <row r="26" spans="1:3">
      <c r="A26" s="2798" t="s">
        <v>612</v>
      </c>
      <c r="B26" s="2798" t="s">
        <v>1868</v>
      </c>
      <c r="C26" s="1772"/>
    </row>
    <row r="27" spans="1:3">
      <c r="A27" s="2798" t="s">
        <v>3164</v>
      </c>
      <c r="B27" s="2798" t="s">
        <v>1868</v>
      </c>
      <c r="C27" s="1772"/>
    </row>
    <row r="28" spans="1:3">
      <c r="A28" s="2798" t="s">
        <v>1868</v>
      </c>
      <c r="B28" s="2798" t="s">
        <v>1868</v>
      </c>
      <c r="C28" s="1772"/>
    </row>
    <row r="29" spans="1:3">
      <c r="A29" s="2798" t="s">
        <v>1868</v>
      </c>
      <c r="B29" s="2798" t="s">
        <v>1868</v>
      </c>
      <c r="C29" s="1772"/>
    </row>
    <row r="30" spans="1:3">
      <c r="A30" s="2798" t="s">
        <v>1868</v>
      </c>
      <c r="B30" s="2798" t="s">
        <v>1868</v>
      </c>
      <c r="C30" s="1772"/>
    </row>
    <row r="31" spans="1:3">
      <c r="A31" s="2798" t="s">
        <v>1868</v>
      </c>
      <c r="B31" s="2798" t="s">
        <v>1868</v>
      </c>
      <c r="C31" s="1772"/>
    </row>
    <row r="32" spans="1:3">
      <c r="A32" s="2798" t="s">
        <v>1868</v>
      </c>
      <c r="B32" s="2798" t="s">
        <v>1868</v>
      </c>
      <c r="C32" s="1772"/>
    </row>
    <row r="33" spans="1:3">
      <c r="A33" s="2798" t="s">
        <v>1868</v>
      </c>
      <c r="B33" s="2798" t="s">
        <v>1868</v>
      </c>
      <c r="C33" s="1772"/>
    </row>
    <row r="34" spans="1:3">
      <c r="A34" s="2798" t="s">
        <v>1868</v>
      </c>
      <c r="B34" s="2798" t="s">
        <v>1868</v>
      </c>
      <c r="C34" s="1772"/>
    </row>
    <row r="35" spans="1:3">
      <c r="A35" s="2798" t="s">
        <v>1868</v>
      </c>
      <c r="B35" s="2798" t="s">
        <v>1868</v>
      </c>
      <c r="C35" s="1772"/>
    </row>
    <row r="36" spans="1:3">
      <c r="A36" s="2798" t="s">
        <v>1868</v>
      </c>
      <c r="B36" s="2798" t="s">
        <v>1868</v>
      </c>
      <c r="C36" s="1772"/>
    </row>
    <row r="37" spans="1:3">
      <c r="A37" s="2798" t="s">
        <v>1868</v>
      </c>
      <c r="B37" s="2798" t="s">
        <v>1868</v>
      </c>
      <c r="C37" s="1772"/>
    </row>
    <row r="38" spans="1:3">
      <c r="A38" s="2798" t="s">
        <v>1868</v>
      </c>
      <c r="B38" s="2798" t="s">
        <v>1868</v>
      </c>
      <c r="C38" s="1772"/>
    </row>
    <row r="39" spans="1:3">
      <c r="A39" s="2798" t="s">
        <v>1868</v>
      </c>
      <c r="B39" s="2798" t="s">
        <v>1868</v>
      </c>
      <c r="C39" s="1772"/>
    </row>
    <row r="40" spans="1:3">
      <c r="A40" s="2798" t="s">
        <v>1868</v>
      </c>
      <c r="B40" s="2798" t="s">
        <v>1868</v>
      </c>
      <c r="C40" s="1772"/>
    </row>
    <row r="41" spans="1:3">
      <c r="A41" s="2798" t="s">
        <v>1868</v>
      </c>
      <c r="B41" s="2798" t="s">
        <v>1868</v>
      </c>
      <c r="C41" s="1772"/>
    </row>
    <row r="42" spans="1:3">
      <c r="A42" s="2798" t="s">
        <v>1868</v>
      </c>
      <c r="B42" s="2798" t="s">
        <v>1868</v>
      </c>
      <c r="C42" s="1772"/>
    </row>
    <row r="43" spans="1:3">
      <c r="A43" s="2798" t="s">
        <v>1868</v>
      </c>
      <c r="B43" s="2798" t="s">
        <v>1868</v>
      </c>
      <c r="C43" s="1772"/>
    </row>
    <row r="44" spans="1:3">
      <c r="A44" s="2798" t="s">
        <v>1868</v>
      </c>
      <c r="B44" s="2798" t="s">
        <v>1868</v>
      </c>
      <c r="C44" s="1772"/>
    </row>
    <row r="45" spans="1:3">
      <c r="A45" s="2798" t="s">
        <v>1868</v>
      </c>
      <c r="B45" s="2798" t="s">
        <v>1868</v>
      </c>
      <c r="C45" s="1772"/>
    </row>
    <row r="46" spans="1:3">
      <c r="A46" s="2798" t="s">
        <v>1868</v>
      </c>
      <c r="B46" s="2798" t="s">
        <v>1868</v>
      </c>
      <c r="C46" s="1772"/>
    </row>
    <row r="47" spans="1:3">
      <c r="A47" s="2798" t="s">
        <v>1868</v>
      </c>
      <c r="B47" s="2798" t="s">
        <v>1868</v>
      </c>
      <c r="C47" s="1772"/>
    </row>
    <row r="48" spans="1:3">
      <c r="A48" s="2798" t="s">
        <v>1868</v>
      </c>
      <c r="B48" s="2798" t="s">
        <v>1868</v>
      </c>
      <c r="C48" s="1772"/>
    </row>
    <row r="49" spans="1:4">
      <c r="A49" s="2798" t="s">
        <v>1868</v>
      </c>
      <c r="B49" s="2798" t="s">
        <v>1868</v>
      </c>
      <c r="C49" s="1772"/>
    </row>
    <row r="50" spans="1:4">
      <c r="A50" s="2798" t="s">
        <v>1868</v>
      </c>
      <c r="B50" s="2798" t="s">
        <v>1868</v>
      </c>
      <c r="C50" s="1772"/>
    </row>
    <row r="51" spans="1:4">
      <c r="A51" s="1952" t="s">
        <v>2010</v>
      </c>
      <c r="B51" s="20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杨宋镇凤翔二园1号1-7幢房地产作为抵押担保物，向办理贷款手续。特委托北京康正宏基房地产评估有限公司对上述抵押物进行评估。本次评估为确定房地产抵押贷款额度提供参考依据而评估房地产抵押价值。</v>
      </c>
      <c r="D51" s="2095" t="s">
        <v>2865</v>
      </c>
    </row>
    <row r="52" spans="1:4">
      <c r="A52" s="1952" t="s">
        <v>2013</v>
      </c>
      <c r="B52" s="1952" t="s">
        <v>2014</v>
      </c>
      <c r="C52" s="1161" t="s">
        <v>2015</v>
      </c>
      <c r="D52" s="1161" t="s">
        <v>2016</v>
      </c>
    </row>
    <row r="53" spans="1:4">
      <c r="A53" s="3468" t="s">
        <v>2017</v>
      </c>
      <c r="B53" s="2095" t="s">
        <v>2018</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68"/>
      <c r="B54" s="2095" t="s">
        <v>2019</v>
      </c>
      <c r="C54" s="1161" t="s">
        <v>2862</v>
      </c>
    </row>
    <row r="55" spans="1:4">
      <c r="A55" s="3468"/>
      <c r="B55" s="2095" t="s">
        <v>2020</v>
      </c>
      <c r="C55" s="1161" t="s">
        <v>2863</v>
      </c>
    </row>
    <row r="56" spans="1:4">
      <c r="A56" s="3468"/>
      <c r="B56" s="2095" t="s">
        <v>2021</v>
      </c>
      <c r="C56" s="1161" t="s">
        <v>2873</v>
      </c>
    </row>
    <row r="57" spans="1:4">
      <c r="A57" s="3468"/>
      <c r="B57" s="2095" t="s">
        <v>2022</v>
      </c>
      <c r="C57" s="1161" t="s">
        <v>2864</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B34" sqref="B34"/>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7" customWidth="1"/>
    <col min="12" max="13" width="10" style="2007"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4" t="s">
        <v>2124</v>
      </c>
      <c r="B1" s="3469" t="str">
        <f>IF(B10="北京市","北京市",C10)&amp;F10&amp;IF(结果表!G1="在建","出让国有建设用地使用权及在建建筑物",IF(结果表!G1="土地","出让国有建设用地使用权",))&amp;B9&amp;"预评估"</f>
        <v>北京市怀柔区杨宋镇凤翔二园1号1-7幢房地产抵押价值预评估</v>
      </c>
      <c r="C1" s="3470"/>
      <c r="D1" s="3470"/>
      <c r="E1" s="3470"/>
      <c r="F1" s="3470"/>
      <c r="G1" s="3470"/>
      <c r="H1" s="3470"/>
      <c r="I1" s="3471"/>
      <c r="J1" s="1996"/>
      <c r="K1" s="2102"/>
      <c r="L1" s="1997"/>
      <c r="M1" s="1997"/>
      <c r="N1" s="1196"/>
      <c r="O1" s="11"/>
      <c r="P1" s="1196"/>
      <c r="Q1" s="1196"/>
      <c r="R1" s="1196"/>
      <c r="S1" s="1195" t="str">
        <f>IF(B10="北京市","北京市",C10)&amp;F10&amp;IF(结果表!G1="在建","出让国有建设用地使用权及在建建筑物房地产抵押价值",IF(结果表!G1="土地","出让国有建设用地使用权抵押价值",B9))</f>
        <v>北京市怀柔区杨宋镇凤翔二园1号1-7幢房地产抵押价值</v>
      </c>
    </row>
    <row r="2" spans="1:19" ht="18" customHeight="1">
      <c r="A2" s="1996" t="s">
        <v>2125</v>
      </c>
      <c r="B2" s="1943"/>
      <c r="C2" s="1998"/>
      <c r="D2" s="1996"/>
      <c r="E2" s="1999"/>
      <c r="F2" s="1999"/>
      <c r="G2" s="1996"/>
      <c r="H2" s="1996"/>
      <c r="I2" s="1996"/>
      <c r="J2" s="1996"/>
      <c r="K2" s="2102"/>
      <c r="L2" s="1997"/>
      <c r="M2" s="1997"/>
      <c r="N2" s="1196"/>
      <c r="O2" s="11"/>
      <c r="P2" s="1196"/>
      <c r="Q2" s="1196"/>
      <c r="R2" s="1196"/>
      <c r="S2" s="1195" t="str">
        <f>IF(B10="北京市","北京市",C10)&amp;F10&amp;IF(结果表!G1="在建","出让国有建设用地使用权及在建建筑物房地产",IF(结果表!G1="土地","出让国有建设用地使用权","房地产"))</f>
        <v>北京市怀柔区杨宋镇凤翔二园1号1-7幢房地产</v>
      </c>
    </row>
    <row r="3" spans="1:19" ht="18" customHeight="1">
      <c r="A3" s="1941" t="s">
        <v>2003</v>
      </c>
      <c r="B3" s="3232">
        <v>42986</v>
      </c>
      <c r="C3" s="1924" t="s">
        <v>2004</v>
      </c>
      <c r="D3" s="3232">
        <v>42986</v>
      </c>
      <c r="E3" s="1996"/>
      <c r="F3" s="1996"/>
      <c r="G3" s="1996"/>
      <c r="H3" s="1996"/>
      <c r="I3" s="1996"/>
      <c r="J3" s="1996"/>
      <c r="K3" s="2102"/>
      <c r="L3" s="1997"/>
      <c r="M3" s="1997"/>
      <c r="N3" s="1196"/>
      <c r="O3" s="11"/>
      <c r="P3" s="1196"/>
      <c r="Q3" s="1196"/>
      <c r="R3" s="1196"/>
      <c r="S3" s="1195"/>
    </row>
    <row r="4" spans="1:19" ht="18" customHeight="1" thickBot="1">
      <c r="A4" s="1925" t="s">
        <v>2005</v>
      </c>
      <c r="B4" s="1926" t="s">
        <v>3064</v>
      </c>
      <c r="C4" s="1927">
        <f ca="1">SUMIF(注册房地产估价师,B4,估价师及机构信息!B3:B24)</f>
        <v>1120140022</v>
      </c>
      <c r="D4" s="1926" t="s">
        <v>3065</v>
      </c>
      <c r="E4" s="1928">
        <f ca="1">SUMIF(注册房地产估价师,D4,估价师及机构信息!B3:B24)</f>
        <v>1419970001</v>
      </c>
      <c r="F4" s="1926" t="s">
        <v>530</v>
      </c>
      <c r="G4" s="1955">
        <f>SUMIF(注册房地产估价师,F4,估价师及机构信息!B3:B24)</f>
        <v>0</v>
      </c>
      <c r="H4" s="1926" t="s">
        <v>530</v>
      </c>
      <c r="I4" s="2887">
        <f>SUMIF(注册房地产估价师,H4,估价师及机构信息!B3:B24)</f>
        <v>0</v>
      </c>
      <c r="J4" s="2001"/>
      <c r="K4" s="2103" t="str">
        <f ca="1">CONCATENATE(B4,"（注册号：",C4,")、",D4,"（注册号：",E4,")")</f>
        <v>刘梅（注册号：1120140022)、吴薇（注册号：1419970001)</v>
      </c>
      <c r="L4" s="1997"/>
      <c r="M4" s="1997"/>
      <c r="N4" s="1196"/>
      <c r="O4" s="11"/>
      <c r="P4" s="1196"/>
      <c r="Q4" s="1196"/>
      <c r="R4" s="1196"/>
      <c r="S4" s="1195"/>
    </row>
    <row r="5" spans="1:19" ht="18" customHeight="1" thickTop="1">
      <c r="A5" s="1929" t="s">
        <v>2089</v>
      </c>
      <c r="B5" s="3287"/>
      <c r="C5" s="2040"/>
      <c r="D5" s="2002"/>
      <c r="E5" s="2001"/>
      <c r="F5" s="2001"/>
      <c r="G5" s="2001"/>
      <c r="H5" s="2001"/>
      <c r="I5" s="2001"/>
      <c r="J5" s="2001"/>
      <c r="K5" s="2103" t="str">
        <f>IF(F4="——","",IF(H4="——",F4&amp;"（注册号："&amp;G4&amp;")",CONCATENATE(F4,"（注册号：",G4,")、",H4,"（注册号：",I4,")")))</f>
        <v/>
      </c>
      <c r="L5" s="1997"/>
      <c r="M5" s="1997"/>
      <c r="N5" s="1196"/>
      <c r="O5" s="11"/>
      <c r="P5" s="1196"/>
      <c r="Q5" s="1196"/>
      <c r="R5" s="1196"/>
    </row>
    <row r="6" spans="1:19" ht="18" customHeight="1">
      <c r="A6" s="1930" t="s">
        <v>2090</v>
      </c>
      <c r="B6" s="2041"/>
      <c r="C6" s="2042"/>
      <c r="D6" s="2003"/>
      <c r="E6" s="1999"/>
      <c r="F6" s="2001"/>
      <c r="G6" s="2001"/>
      <c r="H6" s="2001"/>
      <c r="I6" s="2001"/>
      <c r="J6" s="2001"/>
      <c r="K6" s="2108" t="str">
        <f>IF(COUNTIF(B6,"*上海银行*"),"上海银行","")</f>
        <v/>
      </c>
      <c r="L6" s="1997"/>
      <c r="M6" s="1997"/>
      <c r="N6" s="1196"/>
      <c r="O6" s="11"/>
      <c r="P6" s="1196"/>
      <c r="Q6" s="1196"/>
      <c r="R6" s="1196"/>
    </row>
    <row r="7" spans="1:19" ht="18" customHeight="1">
      <c r="A7" s="1930" t="s">
        <v>2868</v>
      </c>
      <c r="B7" s="3288"/>
      <c r="C7" s="2042"/>
      <c r="D7" s="2003"/>
      <c r="E7" s="1999"/>
      <c r="F7" s="2001"/>
      <c r="G7" s="2001"/>
      <c r="H7" s="2001"/>
      <c r="I7" s="2001"/>
      <c r="J7" s="2001"/>
      <c r="K7" s="2104"/>
      <c r="L7" s="1997"/>
      <c r="M7" s="1997"/>
      <c r="N7" s="1196"/>
      <c r="O7" s="11"/>
      <c r="P7" s="1196"/>
      <c r="Q7" s="1196"/>
      <c r="R7" s="1196"/>
    </row>
    <row r="8" spans="1:19" ht="18" customHeight="1">
      <c r="A8" s="1930" t="s">
        <v>1955</v>
      </c>
      <c r="B8" s="2035" t="s">
        <v>3066</v>
      </c>
      <c r="C8" s="2004"/>
      <c r="D8" s="3472" t="s">
        <v>2012</v>
      </c>
      <c r="E8" s="2036"/>
      <c r="F8" s="2037"/>
      <c r="G8" s="1996"/>
      <c r="H8" s="1996"/>
      <c r="I8" s="1996"/>
      <c r="J8" s="2001"/>
      <c r="K8" s="2103"/>
      <c r="L8" s="1997"/>
      <c r="M8" s="1997"/>
      <c r="N8" s="1196"/>
      <c r="O8" s="11"/>
      <c r="P8" s="1196"/>
      <c r="Q8" s="1196"/>
      <c r="R8" s="1196"/>
    </row>
    <row r="9" spans="1:19" ht="18" customHeight="1" thickBot="1">
      <c r="A9" s="1955" t="s">
        <v>1956</v>
      </c>
      <c r="B9" s="1956" t="s">
        <v>3067</v>
      </c>
      <c r="C9" s="2005"/>
      <c r="D9" s="3473"/>
      <c r="E9" s="1956"/>
      <c r="F9" s="2890"/>
      <c r="G9" s="2000"/>
      <c r="H9" s="2000"/>
      <c r="I9" s="2000"/>
      <c r="J9" s="2001"/>
      <c r="K9" s="2104"/>
      <c r="L9" s="1997"/>
      <c r="M9" s="1997"/>
      <c r="N9" s="1196"/>
      <c r="O9" s="11"/>
      <c r="P9" s="1196"/>
      <c r="Q9" s="1196"/>
      <c r="R9" s="1196"/>
    </row>
    <row r="10" spans="1:19" ht="18" customHeight="1" thickTop="1">
      <c r="A10" s="2010" t="s">
        <v>2061</v>
      </c>
      <c r="B10" s="2056" t="s">
        <v>3068</v>
      </c>
      <c r="C10" s="2038" t="s">
        <v>3069</v>
      </c>
      <c r="D10" s="2002"/>
      <c r="E10" s="1940" t="s">
        <v>1957</v>
      </c>
      <c r="F10" s="1953" t="s">
        <v>3071</v>
      </c>
      <c r="G10" s="2888"/>
      <c r="H10" s="2889"/>
      <c r="I10" s="2002"/>
      <c r="J10" s="2001"/>
      <c r="K10" s="2104"/>
      <c r="L10" s="1997"/>
      <c r="M10" s="1997"/>
      <c r="N10" s="1196"/>
      <c r="O10" s="11"/>
      <c r="P10" s="1196"/>
      <c r="Q10" s="1196"/>
      <c r="R10" s="1196"/>
    </row>
    <row r="11" spans="1:19" ht="18" customHeight="1">
      <c r="A11" s="1959" t="s">
        <v>2062</v>
      </c>
      <c r="B11" s="2055" t="s">
        <v>3070</v>
      </c>
      <c r="C11" s="2039" t="s">
        <v>3072</v>
      </c>
      <c r="D11" s="2006"/>
      <c r="E11" s="2001"/>
      <c r="F11" s="2001"/>
      <c r="G11" s="2001"/>
      <c r="H11" s="2001"/>
      <c r="I11" s="2001"/>
      <c r="J11" s="2001"/>
      <c r="K11" s="2104"/>
      <c r="L11" s="1997"/>
      <c r="M11" s="1997"/>
      <c r="N11" s="1196"/>
      <c r="O11" s="11"/>
      <c r="P11" s="1196"/>
      <c r="Q11" s="1196"/>
      <c r="R11" s="1196"/>
    </row>
    <row r="12" spans="1:19" ht="18" customHeight="1">
      <c r="A12" s="2054" t="s">
        <v>2088</v>
      </c>
      <c r="B12" s="2055" t="s">
        <v>2023</v>
      </c>
      <c r="C12" s="2013" t="s">
        <v>2092</v>
      </c>
      <c r="D12" s="2025" t="s">
        <v>1949</v>
      </c>
      <c r="E12" s="2025" t="s">
        <v>2705</v>
      </c>
      <c r="F12" s="2025" t="s">
        <v>2706</v>
      </c>
      <c r="G12" s="2025" t="s">
        <v>2707</v>
      </c>
      <c r="H12" s="2025" t="s">
        <v>2708</v>
      </c>
      <c r="I12" s="2025" t="s">
        <v>2709</v>
      </c>
      <c r="J12" s="2001"/>
      <c r="K12" s="2104"/>
      <c r="L12" s="1997"/>
      <c r="M12" s="1997"/>
      <c r="N12" s="1196"/>
      <c r="O12" s="11"/>
      <c r="P12" s="1196"/>
      <c r="Q12" s="1196"/>
      <c r="R12" s="1196"/>
    </row>
    <row r="13" spans="1:19" ht="18" customHeight="1">
      <c r="A13" s="2009"/>
      <c r="B13" s="2084"/>
      <c r="C13" s="2085" t="s">
        <v>2091</v>
      </c>
      <c r="D13" s="3231"/>
      <c r="E13" s="3231"/>
      <c r="F13" s="3231">
        <v>55511</v>
      </c>
      <c r="G13" s="3231"/>
      <c r="H13" s="3231"/>
      <c r="I13" s="2050"/>
      <c r="J13" s="2001"/>
      <c r="K13" s="2104"/>
      <c r="L13" s="1997"/>
      <c r="M13" s="1997"/>
      <c r="N13" s="1196"/>
      <c r="O13" s="11"/>
      <c r="P13" s="1196"/>
      <c r="Q13" s="1196"/>
      <c r="R13" s="1196"/>
    </row>
    <row r="14" spans="1:19" ht="18" customHeight="1">
      <c r="A14" s="2009"/>
      <c r="B14" s="2084"/>
      <c r="C14" s="2085" t="s">
        <v>2093</v>
      </c>
      <c r="D14" s="2053"/>
      <c r="E14" s="2053">
        <v>40</v>
      </c>
      <c r="F14" s="2053">
        <v>50</v>
      </c>
      <c r="G14" s="2053"/>
      <c r="H14" s="2053"/>
      <c r="I14" s="2053"/>
      <c r="J14" s="2001"/>
      <c r="K14" s="2105"/>
      <c r="L14" s="1997"/>
      <c r="M14" s="1997"/>
      <c r="N14" s="1196"/>
      <c r="O14" s="11"/>
      <c r="P14" s="1196"/>
      <c r="Q14" s="1196"/>
      <c r="R14" s="1196"/>
    </row>
    <row r="15" spans="1:19" ht="18" customHeight="1">
      <c r="A15" s="2010"/>
      <c r="B15" s="2086"/>
      <c r="C15" s="2085" t="s">
        <v>2094</v>
      </c>
      <c r="D15" s="2052" t="str">
        <f>IF(B12="出让",IF(D13="","",ROUNDDOWN(MIN((D13-$D$3)/365,D14),2)),D14)</f>
        <v/>
      </c>
      <c r="E15" s="2052" t="str">
        <f>IF(B12="出让",IF(E13="","",ROUNDDOWN(MIN((E13-$D$3)/365,E14),2)),E14)</f>
        <v/>
      </c>
      <c r="F15" s="2052">
        <f>IF(B12="出让",IF(F13="","",ROUNDDOWN(MIN((F13-$D$3)/365,F14),2)),F14)</f>
        <v>34.31</v>
      </c>
      <c r="G15" s="2052" t="str">
        <f>IF(B12="出让",IF(G13="","",ROUNDDOWN(MIN((G13-$D$3)/365,G14),2)),G14)</f>
        <v/>
      </c>
      <c r="H15" s="2052" t="str">
        <f>IF(B12="出让",IF(H13="","",ROUNDDOWN(MIN((H13-$D$3)/365,H14),2)),H14)</f>
        <v/>
      </c>
      <c r="I15" s="2052" t="str">
        <f>IF(B12="出让",IF(I13="","",ROUNDDOWN(MIN((I13-$D$3)/365,I14),2)),I14)</f>
        <v/>
      </c>
      <c r="J15" s="2001"/>
      <c r="K15" s="2106"/>
      <c r="L15" s="1230"/>
      <c r="M15" s="1230"/>
      <c r="N15" s="2021"/>
      <c r="O15" s="1230"/>
      <c r="P15" s="2021"/>
      <c r="Q15" s="1196"/>
      <c r="R15" s="1196"/>
    </row>
    <row r="16" spans="1:19" ht="30.75" customHeight="1">
      <c r="A16" s="1940" t="s">
        <v>2095</v>
      </c>
      <c r="B16" s="3479"/>
      <c r="C16" s="3480"/>
      <c r="D16" s="3481"/>
      <c r="E16" s="1957" t="s">
        <v>2024</v>
      </c>
      <c r="F16" s="3482" t="s">
        <v>3073</v>
      </c>
      <c r="G16" s="3483"/>
      <c r="H16" s="3483"/>
      <c r="I16" s="3484"/>
      <c r="J16" s="1196"/>
      <c r="K16" s="2106"/>
      <c r="L16" s="1230"/>
      <c r="M16" s="1230"/>
      <c r="N16" s="2021"/>
      <c r="O16" s="1230"/>
      <c r="P16" s="2021"/>
      <c r="Q16" s="1196"/>
      <c r="R16" s="1196"/>
    </row>
    <row r="17" spans="1:22" ht="18" customHeight="1">
      <c r="A17" s="2008" t="s">
        <v>1958</v>
      </c>
      <c r="B17" s="1941" t="s">
        <v>1959</v>
      </c>
      <c r="C17" s="2087">
        <f>'数据-汇总表'!E3</f>
        <v>12736.12000000001</v>
      </c>
      <c r="D17" s="1942" t="s">
        <v>1960</v>
      </c>
      <c r="E17" s="3485" t="s">
        <v>3074</v>
      </c>
      <c r="F17" s="3486"/>
      <c r="G17" s="3486"/>
      <c r="H17" s="3486"/>
      <c r="I17" s="3487"/>
      <c r="J17" s="1196"/>
      <c r="K17" s="2697"/>
      <c r="L17" s="1230"/>
      <c r="M17" s="1230"/>
      <c r="N17" s="2021"/>
      <c r="O17" s="1230"/>
      <c r="P17" s="2021"/>
      <c r="Q17" s="1196"/>
      <c r="R17" s="1196"/>
      <c r="S17" s="1196"/>
      <c r="T17" s="1196"/>
      <c r="U17" s="1196"/>
      <c r="V17" s="1196"/>
    </row>
    <row r="18" spans="1:22" ht="36" customHeight="1" thickBot="1">
      <c r="A18" s="2896" t="s">
        <v>2701</v>
      </c>
      <c r="B18" s="1925" t="s">
        <v>1961</v>
      </c>
      <c r="C18" s="2897">
        <f>'数据-汇总表'!D3</f>
        <v>82323.28</v>
      </c>
      <c r="D18" s="2898" t="s">
        <v>1960</v>
      </c>
      <c r="E18" s="3488" t="s">
        <v>3075</v>
      </c>
      <c r="F18" s="3489"/>
      <c r="G18" s="3489"/>
      <c r="H18" s="3489"/>
      <c r="I18" s="3490"/>
      <c r="J18" s="1196"/>
      <c r="K18" s="2697"/>
      <c r="L18" s="1230"/>
      <c r="M18" s="1230"/>
      <c r="N18" s="2021"/>
      <c r="O18" s="1230"/>
      <c r="P18" s="2021"/>
      <c r="Q18" s="1196"/>
      <c r="R18" s="1196"/>
      <c r="S18" s="1196"/>
      <c r="T18" s="1196"/>
      <c r="U18" s="1196"/>
      <c r="V18" s="1196"/>
    </row>
    <row r="19" spans="1:22" ht="37.5" customHeight="1" thickTop="1" thickBot="1">
      <c r="A19" s="2895" t="s">
        <v>2041</v>
      </c>
      <c r="B19" s="2061" t="s">
        <v>2042</v>
      </c>
      <c r="C19" s="2062"/>
      <c r="D19" s="2044" t="s">
        <v>2045</v>
      </c>
      <c r="E19" s="2043"/>
      <c r="F19" s="2045" t="str">
        <f>IF(AND(C19="是",E19="否"),"是否提供他项权证或相关说明","")</f>
        <v/>
      </c>
      <c r="G19" s="2046"/>
      <c r="H19" s="2001"/>
      <c r="I19" s="2001"/>
      <c r="J19" s="2001"/>
      <c r="K19" s="2104"/>
      <c r="L19" s="1997"/>
      <c r="M19" s="1997"/>
      <c r="N19" s="2021"/>
      <c r="O19" s="1230"/>
      <c r="P19" s="2021"/>
      <c r="Q19" s="1196"/>
      <c r="R19" s="1196"/>
      <c r="S19" s="1196"/>
      <c r="T19" s="1196"/>
      <c r="U19" s="1196"/>
      <c r="V19" s="1196"/>
    </row>
    <row r="20" spans="1:22" ht="18" customHeight="1">
      <c r="A20" s="2063" t="s">
        <v>2046</v>
      </c>
      <c r="B20" s="3475" t="s">
        <v>2047</v>
      </c>
      <c r="C20" s="3476"/>
      <c r="D20" s="3477" t="s">
        <v>2048</v>
      </c>
      <c r="E20" s="3478"/>
      <c r="F20" s="2069" t="s">
        <v>2049</v>
      </c>
      <c r="G20" s="2001"/>
      <c r="H20" s="2001"/>
      <c r="I20" s="2001"/>
      <c r="J20" s="2001"/>
      <c r="K20" s="3474" t="s">
        <v>2044</v>
      </c>
      <c r="L20" s="26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7"/>
      <c r="N20" s="2021"/>
      <c r="O20" s="1230"/>
      <c r="P20" s="2021"/>
      <c r="Q20" s="1196"/>
      <c r="R20" s="1196"/>
      <c r="S20" s="1196"/>
      <c r="T20" s="1196"/>
      <c r="U20" s="1196"/>
      <c r="V20" s="1196"/>
    </row>
    <row r="21" spans="1:22" ht="24.75" customHeight="1">
      <c r="A21" s="2063"/>
      <c r="B21" s="2064" t="s">
        <v>2050</v>
      </c>
      <c r="C21" s="2033" t="s">
        <v>2051</v>
      </c>
      <c r="D21" s="1990" t="s">
        <v>2054</v>
      </c>
      <c r="E21" s="2034" t="s">
        <v>2051</v>
      </c>
      <c r="F21" s="1979"/>
      <c r="G21" s="2001"/>
      <c r="H21" s="2001"/>
      <c r="I21" s="2001"/>
      <c r="J21" s="2001"/>
      <c r="K21" s="3474"/>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7"/>
      <c r="N21" s="2021"/>
      <c r="O21" s="1230"/>
      <c r="P21" s="2021"/>
      <c r="Q21" s="1196"/>
      <c r="R21" s="1196"/>
      <c r="S21" s="1196"/>
      <c r="T21" s="1196"/>
      <c r="U21" s="1196"/>
      <c r="V21" s="1196"/>
    </row>
    <row r="22" spans="1:22" ht="24.75" customHeight="1" thickBot="1">
      <c r="A22" s="2063"/>
      <c r="B22" s="2065" t="s">
        <v>2052</v>
      </c>
      <c r="C22" s="2033" t="s">
        <v>2053</v>
      </c>
      <c r="D22" s="1996"/>
      <c r="E22" s="1996"/>
      <c r="F22" s="2070"/>
      <c r="G22" s="2001"/>
      <c r="H22" s="2001"/>
      <c r="I22" s="2001"/>
      <c r="J22" s="2001"/>
      <c r="K22" s="3474"/>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30"/>
      <c r="P22" s="2021"/>
      <c r="Q22" s="1196"/>
      <c r="R22" s="1196"/>
      <c r="S22" s="1196"/>
      <c r="T22" s="1196"/>
      <c r="U22" s="1196"/>
      <c r="V22" s="1196"/>
    </row>
    <row r="23" spans="1:22" ht="18" customHeight="1">
      <c r="A23" s="1978" t="s">
        <v>2055</v>
      </c>
      <c r="B23" s="2066" t="s">
        <v>2056</v>
      </c>
      <c r="C23" s="2067"/>
      <c r="D23" s="1980" t="s">
        <v>2056</v>
      </c>
      <c r="E23" s="1988"/>
      <c r="F23" s="2070"/>
      <c r="G23" s="2001"/>
      <c r="H23" s="2001"/>
      <c r="I23" s="2001"/>
      <c r="J23" s="2001"/>
      <c r="K23" s="226"/>
      <c r="L23" s="2611"/>
      <c r="M23" s="1997"/>
      <c r="N23" s="2021"/>
      <c r="O23" s="1230"/>
      <c r="P23" s="2021"/>
      <c r="Q23" s="1196"/>
      <c r="R23" s="1196"/>
      <c r="S23" s="1196"/>
      <c r="T23" s="1196"/>
      <c r="U23" s="1196"/>
      <c r="V23" s="1196"/>
    </row>
    <row r="24" spans="1:22" ht="18" customHeight="1">
      <c r="A24" s="1981"/>
      <c r="B24" s="2066" t="s">
        <v>2057</v>
      </c>
      <c r="C24" s="2068"/>
      <c r="D24" s="1978" t="s">
        <v>2057</v>
      </c>
      <c r="E24" s="1989"/>
      <c r="F24" s="2070"/>
      <c r="G24" s="2001"/>
      <c r="H24" s="2001"/>
      <c r="I24" s="2001"/>
      <c r="J24" s="2001"/>
      <c r="K24" s="226"/>
      <c r="L24" s="2611"/>
      <c r="M24" s="1997"/>
      <c r="N24" s="2021"/>
      <c r="O24" s="1230"/>
      <c r="P24" s="2021"/>
      <c r="Q24" s="1196"/>
      <c r="R24" s="1196"/>
      <c r="S24" s="1196"/>
      <c r="T24" s="1196"/>
      <c r="U24" s="1196"/>
      <c r="V24" s="1196"/>
    </row>
    <row r="25" spans="1:22" ht="18" customHeight="1">
      <c r="A25" s="1981"/>
      <c r="B25" s="2066" t="s">
        <v>2058</v>
      </c>
      <c r="C25" s="2068"/>
      <c r="D25" s="1978" t="s">
        <v>2058</v>
      </c>
      <c r="E25" s="1989"/>
      <c r="F25" s="2070"/>
      <c r="G25" s="2001"/>
      <c r="H25" s="2001"/>
      <c r="I25" s="2001"/>
      <c r="J25" s="2001"/>
      <c r="K25" s="2104"/>
      <c r="L25" s="1997"/>
      <c r="M25" s="1997"/>
      <c r="N25" s="2021"/>
      <c r="O25" s="1230"/>
      <c r="P25" s="2021"/>
      <c r="Q25" s="1196"/>
      <c r="R25" s="1196"/>
      <c r="S25" s="1196"/>
      <c r="T25" s="1196"/>
      <c r="U25" s="1196"/>
      <c r="V25" s="1196"/>
    </row>
    <row r="26" spans="1:22" ht="18" customHeight="1" thickBot="1">
      <c r="A26" s="2058"/>
      <c r="B26" s="2071" t="s">
        <v>2059</v>
      </c>
      <c r="C26" s="2072"/>
      <c r="D26" s="2060" t="s">
        <v>2059</v>
      </c>
      <c r="E26" s="2059"/>
      <c r="F26" s="2073"/>
      <c r="G26" s="2000"/>
      <c r="H26" s="2000"/>
      <c r="I26" s="2000"/>
      <c r="J26" s="2001"/>
      <c r="K26" s="2104"/>
      <c r="L26" s="1997"/>
      <c r="M26" s="1997"/>
      <c r="N26" s="2021"/>
      <c r="O26" s="1230"/>
      <c r="P26" s="2021"/>
      <c r="Q26" s="1196"/>
      <c r="R26" s="1196"/>
      <c r="S26" s="1196"/>
      <c r="T26" s="1196"/>
      <c r="U26" s="1196"/>
      <c r="V26" s="1196"/>
    </row>
    <row r="27" spans="1:22" ht="18" customHeight="1" thickTop="1">
      <c r="A27" s="3492" t="s">
        <v>2063</v>
      </c>
      <c r="B27" s="2010" t="s">
        <v>2064</v>
      </c>
      <c r="C27" s="1931" t="s">
        <v>3162</v>
      </c>
      <c r="D27" s="1932"/>
      <c r="E27" s="2001"/>
      <c r="F27" s="2001"/>
      <c r="G27" s="2001"/>
      <c r="H27" s="2001"/>
      <c r="I27" s="2001"/>
      <c r="J27" s="1196"/>
      <c r="K27" s="2106"/>
      <c r="L27" s="1230"/>
      <c r="M27" s="1230"/>
      <c r="N27" s="2021"/>
      <c r="O27" s="1230"/>
      <c r="P27" s="2021"/>
      <c r="Q27" s="1196"/>
      <c r="R27" s="1196"/>
      <c r="S27" s="1196"/>
      <c r="T27" s="1196"/>
      <c r="U27" s="1196"/>
      <c r="V27" s="1196"/>
    </row>
    <row r="28" spans="1:22" ht="18" customHeight="1">
      <c r="A28" s="3492"/>
      <c r="B28" s="1941" t="s">
        <v>2065</v>
      </c>
      <c r="C28" s="1933"/>
      <c r="D28" s="1934"/>
      <c r="E28" s="2001"/>
      <c r="F28" s="2001"/>
      <c r="G28" s="2001"/>
      <c r="H28" s="2001"/>
      <c r="I28" s="2001"/>
      <c r="J28" s="1196"/>
      <c r="K28" s="2110"/>
      <c r="L28" s="1997"/>
      <c r="M28" s="1997"/>
      <c r="N28" s="1196"/>
      <c r="O28" s="11"/>
      <c r="P28" s="1196"/>
      <c r="Q28" s="1196"/>
      <c r="R28" s="1196"/>
      <c r="S28" s="1196"/>
      <c r="T28" s="1196"/>
      <c r="U28" s="1196"/>
      <c r="V28" s="1196"/>
    </row>
    <row r="29" spans="1:22" ht="18" customHeight="1">
      <c r="A29" s="3492"/>
      <c r="B29" s="1941" t="s">
        <v>2066</v>
      </c>
      <c r="C29" s="1935"/>
      <c r="D29" s="1936"/>
      <c r="E29" s="2001"/>
      <c r="F29" s="2001"/>
      <c r="G29" s="2001"/>
      <c r="H29" s="2001"/>
      <c r="I29" s="2001"/>
      <c r="J29" s="1196"/>
      <c r="K29" s="2110"/>
      <c r="L29" s="1997"/>
      <c r="M29" s="1997"/>
      <c r="N29" s="1196"/>
      <c r="O29" s="11"/>
      <c r="P29" s="1196"/>
      <c r="Q29" s="1196"/>
      <c r="R29" s="1196"/>
      <c r="S29" s="1196"/>
      <c r="T29" s="1196"/>
      <c r="U29" s="1196"/>
      <c r="V29" s="1196"/>
    </row>
    <row r="30" spans="1:22" ht="18" customHeight="1">
      <c r="A30" s="3493"/>
      <c r="B30" s="1941" t="s">
        <v>2067</v>
      </c>
      <c r="C30" s="3494"/>
      <c r="D30" s="3495"/>
      <c r="E30" s="2001"/>
      <c r="F30" s="2001"/>
      <c r="G30" s="2001"/>
      <c r="H30" s="2001"/>
      <c r="I30" s="2001"/>
      <c r="J30" s="1196"/>
      <c r="K30" s="2110"/>
      <c r="L30" s="1997"/>
      <c r="M30" s="1997"/>
      <c r="N30" s="1196"/>
      <c r="O30" s="11"/>
      <c r="P30" s="1196"/>
      <c r="Q30" s="1196"/>
      <c r="R30" s="1196"/>
      <c r="S30" s="1196"/>
      <c r="T30" s="1196"/>
      <c r="U30" s="1196"/>
      <c r="V30" s="1196"/>
    </row>
    <row r="31" spans="1:22" ht="18" customHeight="1">
      <c r="A31" s="3496" t="s">
        <v>2068</v>
      </c>
      <c r="B31" s="1937" t="s">
        <v>3130</v>
      </c>
      <c r="C31" s="1938" t="str">
        <f>IF(B31="现房","成新及维护状况正常否",IF(B31="在建","工程状态是否正常",IF(B31="土地","是否闲置","-")))</f>
        <v>成新及维护状况正常否</v>
      </c>
      <c r="D31" s="2011"/>
      <c r="E31" s="1939"/>
      <c r="F31" s="2001"/>
      <c r="G31" s="2001"/>
      <c r="H31" s="2001"/>
      <c r="I31" s="2001"/>
      <c r="J31" s="2001"/>
      <c r="K31" s="2108"/>
      <c r="L31" s="1997"/>
      <c r="M31" s="1997"/>
      <c r="N31" s="1196"/>
      <c r="O31" s="11"/>
      <c r="P31" s="1196"/>
      <c r="Q31" s="1196"/>
      <c r="R31" s="1196"/>
      <c r="S31" s="1196"/>
      <c r="T31" s="1196"/>
      <c r="U31" s="1196"/>
      <c r="V31" s="1196"/>
    </row>
    <row r="32" spans="1:22" ht="18" customHeight="1">
      <c r="A32" s="3497"/>
      <c r="B32" s="1937"/>
      <c r="C32" s="1938" t="str">
        <f>IF(B32="现房","成新及维护状况是否正常",IF(B32="在建","工程状态是否正常",IF(B32="土地","是否闲置","-")))</f>
        <v>-</v>
      </c>
      <c r="D32" s="2011"/>
      <c r="E32" s="1939"/>
      <c r="F32" s="2001"/>
      <c r="G32" s="2001"/>
      <c r="H32" s="2001"/>
      <c r="I32" s="2001"/>
      <c r="J32" s="2001"/>
      <c r="K32" s="2104"/>
      <c r="L32" s="1997"/>
      <c r="M32" s="1997"/>
      <c r="N32" s="1196"/>
      <c r="O32" s="11"/>
      <c r="P32" s="1196"/>
      <c r="Q32" s="1196"/>
      <c r="R32" s="1196"/>
      <c r="S32" s="1196"/>
      <c r="T32" s="1196"/>
      <c r="U32" s="1196"/>
      <c r="V32" s="1196"/>
    </row>
    <row r="33" spans="1:22" ht="18" customHeight="1">
      <c r="A33" s="3497"/>
      <c r="B33" s="1958"/>
      <c r="C33" s="1959" t="str">
        <f>IF(B33="现房","成新及维护状况是否正常",IF(B33="在建","工程状态是否正常",IF(B33="土地","是否闲置","-")))</f>
        <v>-</v>
      </c>
      <c r="D33" s="2012"/>
      <c r="E33" s="1960"/>
      <c r="F33" s="2001"/>
      <c r="G33" s="2001"/>
      <c r="H33" s="2001"/>
      <c r="I33" s="2001"/>
      <c r="J33" s="2001"/>
      <c r="K33" s="2104"/>
      <c r="L33" s="1997"/>
      <c r="M33" s="1997"/>
      <c r="N33" s="1196"/>
      <c r="O33" s="11"/>
      <c r="P33" s="1196"/>
      <c r="Q33" s="1196"/>
      <c r="R33" s="1196"/>
      <c r="S33" s="1196"/>
      <c r="T33" s="1196"/>
      <c r="U33" s="1196"/>
      <c r="V33" s="1196"/>
    </row>
    <row r="34" spans="1:22" ht="18" customHeight="1">
      <c r="A34" s="1941" t="s">
        <v>2025</v>
      </c>
      <c r="B34" s="1961"/>
      <c r="C34" s="1961"/>
      <c r="D34" s="1961"/>
      <c r="E34" s="1961"/>
      <c r="F34" s="1961"/>
      <c r="G34" s="1961"/>
      <c r="H34" s="1961"/>
      <c r="I34" s="2001"/>
      <c r="J34" s="2001"/>
      <c r="K34" s="2885">
        <f>COUNTIF(B34:H34,"——")</f>
        <v>0</v>
      </c>
      <c r="L34" s="2013" t="s">
        <v>2097</v>
      </c>
      <c r="M34" s="2013" t="s">
        <v>2098</v>
      </c>
      <c r="N34" s="2013" t="s">
        <v>2099</v>
      </c>
      <c r="O34" s="2013" t="s">
        <v>2100</v>
      </c>
      <c r="P34" s="2013" t="s">
        <v>2101</v>
      </c>
      <c r="Q34" s="2013" t="s">
        <v>2102</v>
      </c>
      <c r="R34" s="2013" t="s">
        <v>2103</v>
      </c>
      <c r="S34" s="3491" t="s">
        <v>2104</v>
      </c>
      <c r="T34" s="2014" t="str">
        <f>NUMBERSTRING(7-K34,1)&amp;"通"</f>
        <v>七通</v>
      </c>
      <c r="U34" s="1196"/>
      <c r="V34" s="1196"/>
    </row>
    <row r="35" spans="1:22" ht="18" customHeight="1">
      <c r="A35" s="2015"/>
      <c r="B35" s="3498" t="s">
        <v>1874</v>
      </c>
      <c r="C35" s="3498"/>
      <c r="D35" s="3498"/>
      <c r="E35" s="3498"/>
      <c r="F35" s="2016" t="str">
        <f>C10</f>
        <v>怀柔区</v>
      </c>
      <c r="G35" s="2001"/>
      <c r="H35" s="2001"/>
      <c r="I35" s="2001"/>
      <c r="J35" s="2001"/>
      <c r="K35" s="2013"/>
      <c r="L35" s="2013">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91"/>
      <c r="T35" s="23" t="str">
        <f>IF(T34="一通",L35,IF(T34="二通",M35,IF(T34="三通",N35,IF(T34="四通",O35,IF(T34="五通",P35,IF(T34="六通",Q35,R35))))))</f>
        <v>、、、、、、</v>
      </c>
      <c r="U35" s="1196"/>
      <c r="V35" s="1196"/>
    </row>
    <row r="36" spans="1:22" ht="18" customHeight="1">
      <c r="A36" s="2017"/>
      <c r="B36" s="2016" t="s">
        <v>1954</v>
      </c>
      <c r="C36" s="2016" t="s">
        <v>1950</v>
      </c>
      <c r="D36" s="2016" t="s">
        <v>1949</v>
      </c>
      <c r="E36" s="2016" t="s">
        <v>1951</v>
      </c>
      <c r="F36" s="2018"/>
      <c r="G36" s="2001"/>
      <c r="H36" s="2001"/>
      <c r="I36" s="2001"/>
      <c r="J36" s="2001"/>
      <c r="K36" s="2104"/>
      <c r="L36" s="1997"/>
      <c r="M36" s="1997"/>
      <c r="N36" s="1196"/>
      <c r="O36" s="11"/>
      <c r="P36" s="1196"/>
      <c r="Q36" s="1196"/>
      <c r="R36" s="1196"/>
      <c r="S36" s="1196"/>
      <c r="T36" s="1196"/>
      <c r="U36" s="1196"/>
      <c r="V36" s="1196"/>
    </row>
    <row r="37" spans="1:22" ht="18" customHeight="1">
      <c r="A37" s="2019" t="s">
        <v>1873</v>
      </c>
      <c r="B37" s="2020" t="s">
        <v>1542</v>
      </c>
      <c r="C37" s="2020" t="s">
        <v>1542</v>
      </c>
      <c r="D37" s="2020"/>
      <c r="E37" s="2020"/>
      <c r="F37" s="2018"/>
      <c r="G37" s="2001"/>
      <c r="H37" s="2001"/>
      <c r="I37" s="2001"/>
      <c r="J37" s="2001"/>
      <c r="K37" s="2104"/>
      <c r="L37" s="1997"/>
      <c r="M37" s="1997"/>
      <c r="N37" s="1196"/>
      <c r="O37" s="11"/>
      <c r="P37" s="1196"/>
      <c r="Q37" s="1196"/>
      <c r="R37" s="1196"/>
      <c r="S37" s="1196"/>
      <c r="T37" s="1196"/>
      <c r="U37" s="1196"/>
      <c r="V37" s="1196"/>
    </row>
    <row r="38" spans="1:22" ht="18" customHeight="1" thickBot="1">
      <c r="A38" s="2047" t="s">
        <v>1875</v>
      </c>
      <c r="B38" s="2048" t="s">
        <v>3124</v>
      </c>
      <c r="C38" s="2048" t="s">
        <v>3124</v>
      </c>
      <c r="D38" s="2048"/>
      <c r="E38" s="2048"/>
      <c r="F38" s="2049"/>
      <c r="G38" s="2000"/>
      <c r="H38" s="2000"/>
      <c r="I38" s="2000"/>
      <c r="J38" s="2001"/>
      <c r="K38" s="2104"/>
      <c r="L38" s="1997"/>
      <c r="M38" s="1997"/>
      <c r="N38" s="1196"/>
      <c r="O38" s="11"/>
      <c r="P38" s="1196"/>
      <c r="Q38" s="1196"/>
      <c r="R38" s="1196"/>
      <c r="S38" s="1196"/>
      <c r="T38" s="1196"/>
      <c r="U38" s="1196"/>
      <c r="V38" s="1196"/>
    </row>
    <row r="39" spans="1:22" s="3310" customFormat="1" ht="18" customHeight="1" thickTop="1" thickBot="1">
      <c r="A39" s="3311" t="s">
        <v>3030</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6"/>
      <c r="B40" s="1196"/>
      <c r="C40" s="1196"/>
      <c r="D40" s="1196"/>
      <c r="E40" s="1196"/>
      <c r="F40" s="1196"/>
      <c r="G40" s="1196"/>
      <c r="H40" s="1196"/>
      <c r="I40" s="1217"/>
      <c r="J40" s="2021"/>
      <c r="K40" s="2109"/>
      <c r="L40" s="1230"/>
      <c r="M40" s="1230"/>
      <c r="N40" s="2021"/>
      <c r="O40" s="1230"/>
      <c r="P40" s="1196"/>
      <c r="Q40" s="1196"/>
      <c r="R40" s="1196"/>
      <c r="S40" s="1196"/>
      <c r="T40" s="1196"/>
      <c r="U40" s="1196"/>
      <c r="V40" s="1196"/>
    </row>
    <row r="41" spans="1:22" ht="18" customHeight="1">
      <c r="A41" s="2022" t="s">
        <v>2069</v>
      </c>
      <c r="B41" s="2023"/>
      <c r="C41" s="2024"/>
      <c r="D41" s="1196"/>
      <c r="E41" s="1196"/>
      <c r="F41" s="1196"/>
      <c r="G41" s="1196"/>
      <c r="H41" s="1196"/>
      <c r="I41" s="11"/>
      <c r="J41" s="1196"/>
      <c r="K41" s="2110"/>
      <c r="L41" s="1997"/>
      <c r="M41" s="1997"/>
      <c r="N41" s="1196"/>
      <c r="O41" s="11"/>
      <c r="P41" s="1196"/>
      <c r="Q41" s="1196"/>
      <c r="R41" s="1196"/>
      <c r="S41" s="1196"/>
      <c r="T41" s="1196"/>
      <c r="U41" s="1196"/>
      <c r="V41" s="1196"/>
    </row>
    <row r="42" spans="1:22" ht="18" customHeight="1">
      <c r="A42" s="2013" t="s">
        <v>2070</v>
      </c>
      <c r="B42" s="1987" t="s">
        <v>2071</v>
      </c>
      <c r="C42" s="1987" t="s">
        <v>2072</v>
      </c>
      <c r="D42" s="1987" t="s">
        <v>2073</v>
      </c>
      <c r="E42" s="1987" t="s">
        <v>2074</v>
      </c>
      <c r="F42" s="1987" t="s">
        <v>2075</v>
      </c>
      <c r="G42" s="1987" t="s">
        <v>2076</v>
      </c>
      <c r="H42" s="1987" t="s">
        <v>2077</v>
      </c>
      <c r="I42" s="1987" t="s">
        <v>2078</v>
      </c>
      <c r="J42" s="2100" t="s">
        <v>2079</v>
      </c>
      <c r="K42" s="2025" t="s">
        <v>2080</v>
      </c>
      <c r="L42" s="2025" t="s">
        <v>2081</v>
      </c>
      <c r="M42" s="2025" t="s">
        <v>2082</v>
      </c>
      <c r="N42" s="1987" t="s">
        <v>2083</v>
      </c>
      <c r="O42" s="1987" t="s">
        <v>2084</v>
      </c>
      <c r="P42" s="1987" t="s">
        <v>2085</v>
      </c>
      <c r="Q42" s="2013" t="s">
        <v>2086</v>
      </c>
      <c r="R42" s="2013" t="s">
        <v>2087</v>
      </c>
      <c r="S42" s="1196"/>
      <c r="T42" s="1196"/>
      <c r="U42" s="1196"/>
      <c r="V42" s="1196"/>
    </row>
    <row r="43" spans="1:22" s="2241" customFormat="1" ht="18" customHeight="1">
      <c r="A43" s="1416"/>
      <c r="B43" s="216"/>
      <c r="C43" s="216"/>
      <c r="D43" s="216"/>
      <c r="E43" s="216"/>
      <c r="F43" s="216"/>
      <c r="G43" s="216"/>
      <c r="H43" s="2"/>
      <c r="I43" s="2"/>
      <c r="J43" s="9"/>
      <c r="K43" s="4"/>
      <c r="L43" s="4"/>
      <c r="M43" s="2"/>
      <c r="N43" s="216"/>
      <c r="O43" s="2"/>
      <c r="P43" s="216"/>
      <c r="Q43" s="216"/>
      <c r="R43" s="216"/>
      <c r="S43" s="3241"/>
      <c r="T43" s="3241"/>
      <c r="U43" s="3241"/>
      <c r="V43" s="3241"/>
    </row>
    <row r="44" spans="1:22" s="2241" customFormat="1" ht="18" customHeight="1">
      <c r="A44" s="1416"/>
      <c r="B44" s="1416"/>
      <c r="C44" s="216"/>
      <c r="D44" s="216"/>
      <c r="E44" s="216"/>
      <c r="F44" s="216"/>
      <c r="G44" s="216"/>
      <c r="H44" s="2"/>
      <c r="I44" s="2"/>
      <c r="J44" s="9"/>
      <c r="K44" s="4"/>
      <c r="L44" s="4"/>
      <c r="M44" s="2"/>
      <c r="N44" s="216"/>
      <c r="O44" s="2"/>
      <c r="P44" s="216"/>
      <c r="Q44" s="216"/>
      <c r="R44" s="216"/>
      <c r="S44" s="3241"/>
      <c r="T44" s="3241"/>
      <c r="U44" s="3241"/>
      <c r="V44" s="3241"/>
    </row>
    <row r="45" spans="1:22" s="2241" customFormat="1" ht="18" customHeight="1">
      <c r="A45" s="1416"/>
      <c r="B45" s="1416"/>
      <c r="C45" s="216"/>
      <c r="D45" s="216"/>
      <c r="E45" s="216"/>
      <c r="F45" s="216"/>
      <c r="G45" s="216"/>
      <c r="H45" s="2"/>
      <c r="I45" s="2"/>
      <c r="J45" s="9"/>
      <c r="K45" s="4"/>
      <c r="L45" s="4"/>
      <c r="M45" s="2"/>
      <c r="N45" s="216"/>
      <c r="O45" s="2"/>
      <c r="P45" s="216"/>
      <c r="Q45" s="216"/>
      <c r="R45" s="216"/>
      <c r="S45" s="3241"/>
      <c r="T45" s="3241"/>
      <c r="U45" s="3241"/>
      <c r="V45" s="3241"/>
    </row>
    <row r="46" spans="1:22" s="2241" customFormat="1" ht="18" customHeight="1">
      <c r="A46" s="1416"/>
      <c r="B46" s="1416"/>
      <c r="C46" s="216"/>
      <c r="D46" s="216"/>
      <c r="E46" s="216"/>
      <c r="F46" s="216"/>
      <c r="G46" s="216"/>
      <c r="H46" s="2"/>
      <c r="I46" s="2"/>
      <c r="J46" s="9"/>
      <c r="K46" s="4"/>
      <c r="L46" s="4"/>
      <c r="M46" s="2"/>
      <c r="N46" s="216"/>
      <c r="O46" s="2"/>
      <c r="P46" s="216"/>
      <c r="Q46" s="216"/>
      <c r="R46" s="216"/>
      <c r="S46" s="3241"/>
      <c r="T46" s="3241"/>
      <c r="U46" s="3241"/>
      <c r="V46" s="3241"/>
    </row>
    <row r="47" spans="1:22" s="2241" customFormat="1" ht="18" customHeight="1">
      <c r="A47" s="1416"/>
      <c r="B47" s="1416"/>
      <c r="C47" s="216"/>
      <c r="D47" s="216"/>
      <c r="E47" s="216"/>
      <c r="F47" s="216"/>
      <c r="G47" s="216"/>
      <c r="H47" s="2"/>
      <c r="I47" s="2"/>
      <c r="J47" s="9"/>
      <c r="K47" s="4"/>
      <c r="L47" s="4"/>
      <c r="M47" s="2"/>
      <c r="N47" s="216"/>
      <c r="O47" s="2"/>
      <c r="P47" s="216"/>
      <c r="Q47" s="216"/>
      <c r="R47" s="216"/>
      <c r="S47" s="3241"/>
      <c r="T47" s="3241"/>
      <c r="U47" s="3241"/>
      <c r="V47" s="3241"/>
    </row>
    <row r="48" spans="1:22" s="2241" customFormat="1" ht="18" customHeight="1">
      <c r="A48" s="1416"/>
      <c r="B48" s="1416"/>
      <c r="C48" s="216"/>
      <c r="D48" s="216"/>
      <c r="E48" s="216"/>
      <c r="F48" s="216"/>
      <c r="G48" s="216"/>
      <c r="H48" s="2"/>
      <c r="I48" s="2"/>
      <c r="J48" s="9"/>
      <c r="K48" s="4"/>
      <c r="L48" s="4"/>
      <c r="M48" s="2"/>
      <c r="N48" s="216"/>
      <c r="O48" s="2"/>
      <c r="P48" s="216"/>
      <c r="Q48" s="216"/>
      <c r="R48" s="216"/>
      <c r="S48" s="3241"/>
      <c r="T48" s="3241"/>
      <c r="U48" s="3241"/>
      <c r="V48" s="3241"/>
    </row>
    <row r="49" spans="1:22" s="2241" customFormat="1" ht="18" customHeight="1">
      <c r="A49" s="1416"/>
      <c r="B49" s="1416"/>
      <c r="C49" s="216"/>
      <c r="D49" s="216"/>
      <c r="E49" s="216"/>
      <c r="F49" s="216"/>
      <c r="G49" s="216"/>
      <c r="H49" s="2"/>
      <c r="I49" s="2"/>
      <c r="J49" s="9"/>
      <c r="K49" s="4"/>
      <c r="L49" s="4"/>
      <c r="M49" s="2"/>
      <c r="N49" s="216"/>
      <c r="O49" s="2"/>
      <c r="P49" s="216"/>
      <c r="Q49" s="216"/>
      <c r="R49" s="216"/>
      <c r="S49" s="3241"/>
      <c r="T49" s="3241"/>
      <c r="U49" s="3241"/>
      <c r="V49" s="3241"/>
    </row>
    <row r="50" spans="1:22" s="2241" customFormat="1" ht="18" customHeight="1">
      <c r="A50" s="1416"/>
      <c r="B50" s="1416"/>
      <c r="C50" s="216"/>
      <c r="D50" s="216"/>
      <c r="E50" s="216"/>
      <c r="F50" s="216"/>
      <c r="G50" s="216"/>
      <c r="H50" s="2"/>
      <c r="I50" s="2"/>
      <c r="J50" s="9"/>
      <c r="K50" s="4"/>
      <c r="L50" s="4"/>
      <c r="M50" s="2"/>
      <c r="N50" s="216"/>
      <c r="O50" s="2"/>
      <c r="P50" s="216"/>
      <c r="Q50" s="216"/>
      <c r="R50" s="216"/>
      <c r="S50" s="3241"/>
      <c r="T50" s="3241"/>
      <c r="U50" s="3241"/>
      <c r="V50" s="3241"/>
    </row>
    <row r="51" spans="1:22" s="2241" customFormat="1" ht="18" customHeight="1">
      <c r="A51" s="1416"/>
      <c r="B51" s="1416"/>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615</v>
      </c>
      <c r="B2" s="82" t="s">
        <v>616</v>
      </c>
      <c r="C2" s="82" t="s">
        <v>617</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20" t="s">
        <v>2405</v>
      </c>
      <c r="AZ2" s="2521" t="s">
        <v>2406</v>
      </c>
      <c r="BA2" s="2522" t="s">
        <v>2407</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v>82323.28</v>
      </c>
      <c r="B3" s="302">
        <f>IF(C3="否",G5-AT5,G5)</f>
        <v>12736.12000000001</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3"/>
      <c r="AZ3" s="2524"/>
      <c r="BA3" s="2525"/>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618</v>
      </c>
      <c r="B5" s="220"/>
      <c r="C5" s="220"/>
      <c r="D5" s="218"/>
      <c r="E5" s="305" t="s">
        <v>23</v>
      </c>
      <c r="F5" s="305">
        <f>SUM(F13:F587)</f>
        <v>0</v>
      </c>
      <c r="G5" s="305">
        <f>SUM(G13:G587)</f>
        <v>12736.12000000001</v>
      </c>
      <c r="H5" s="305">
        <f t="shared" ref="H5:AT5" si="0">SUM(H13:H656)</f>
        <v>12736.12000000001</v>
      </c>
      <c r="I5" s="305">
        <f t="shared" si="0"/>
        <v>12736.12000000001</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12736.12000000001</v>
      </c>
      <c r="BA5" s="307">
        <f t="shared" si="1"/>
        <v>12736.12000000001</v>
      </c>
      <c r="BB5" s="307">
        <f t="shared" si="1"/>
        <v>12736.12000000001</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619</v>
      </c>
      <c r="B6" s="223"/>
      <c r="C6" s="223"/>
      <c r="D6" s="224"/>
      <c r="E6" s="305">
        <f>H6+AC6+AT6</f>
        <v>82323.28</v>
      </c>
      <c r="F6" s="305" t="s">
        <v>23</v>
      </c>
      <c r="G6" s="305" t="s">
        <v>25</v>
      </c>
      <c r="H6" s="309">
        <f>SUMIF(I$12:AB$12,"总值",I6:AB6)</f>
        <v>82323.28</v>
      </c>
      <c r="I6" s="305">
        <f t="shared" ref="I6:AB6" si="2">ROUND($A$3*I5/$B$3,2)</f>
        <v>82323.28</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82323.28</v>
      </c>
      <c r="AZ6" s="305" t="s">
        <v>29</v>
      </c>
      <c r="BA6" s="305">
        <f>ROUND($AY$6*BA5/$AZ$5,2)</f>
        <v>82323.28</v>
      </c>
      <c r="BB6" s="305">
        <f>ROUND($AY$6*BB5/$AZ$5,2)</f>
        <v>82323.28</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634</v>
      </c>
      <c r="I9" s="244" t="s">
        <v>3131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141</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3" t="s">
        <v>2394</v>
      </c>
      <c r="AE11" s="2492"/>
      <c r="AF11" s="2513" t="s">
        <v>2394</v>
      </c>
      <c r="AG11" s="2492"/>
      <c r="AH11" s="2513" t="s">
        <v>2395</v>
      </c>
      <c r="AI11" s="2514"/>
      <c r="AJ11" s="2513" t="s">
        <v>2395</v>
      </c>
      <c r="AK11" s="260"/>
      <c r="AL11" s="222"/>
      <c r="AM11" s="260"/>
      <c r="AN11" s="222"/>
      <c r="AO11" s="260"/>
      <c r="AP11" s="222"/>
      <c r="AQ11" s="260"/>
      <c r="AR11" s="222"/>
      <c r="AS11" s="260"/>
      <c r="AT11" s="241"/>
      <c r="AU11" s="232"/>
      <c r="AV11" s="240"/>
      <c r="AW11" s="241"/>
      <c r="AX11" s="240"/>
      <c r="AY11" s="79"/>
      <c r="AZ11" s="79"/>
      <c r="BA11" s="79"/>
      <c r="BB11" s="238" t="str">
        <f>I10</f>
        <v>办公</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c r="A13" s="216"/>
      <c r="B13" s="216"/>
      <c r="C13" s="3370">
        <f>面积!A40</f>
        <v>1</v>
      </c>
      <c r="D13" s="217" t="s">
        <v>3132</v>
      </c>
      <c r="E13" s="305">
        <f>IF($C$3="是",ROUND($A$3*G13/$B$3,2),ROUND($A$3*(G13-AT13)/$B$3,2))</f>
        <v>396.81</v>
      </c>
      <c r="F13" s="321"/>
      <c r="G13" s="322">
        <f>H13+AC13+AT13</f>
        <v>61.39</v>
      </c>
      <c r="H13" s="309">
        <f>SUMIF(I$12:AB$12,"总值",I13:AB13)</f>
        <v>61.39</v>
      </c>
      <c r="I13" s="1417">
        <f>面积!E40</f>
        <v>61.39</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f t="shared" si="6"/>
        <v>1</v>
      </c>
      <c r="AY13" s="304">
        <f>ROUND($AY$6*AZ13/$AZ$5,2)</f>
        <v>396.81</v>
      </c>
      <c r="AZ13" s="305">
        <f>BA13+BL13</f>
        <v>61.39</v>
      </c>
      <c r="BA13" s="305">
        <f>SUM(BB13:BK13)</f>
        <v>61.39</v>
      </c>
      <c r="BB13" s="305">
        <f>IF($D13="是",I13-J13,0)</f>
        <v>61.39</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c r="A14" s="216"/>
      <c r="B14" s="216"/>
      <c r="C14" s="3370">
        <f>面积!A41</f>
        <v>2</v>
      </c>
      <c r="D14" s="217" t="s">
        <v>3133</v>
      </c>
      <c r="E14" s="305">
        <f>IF($C$3="是",ROUND($A$3*G14/$B$3,2),ROUND($A$3*(G14-AT14)/$B$3,2))</f>
        <v>1950.51</v>
      </c>
      <c r="F14" s="321"/>
      <c r="G14" s="322">
        <f>H14+AC14+AT14</f>
        <v>301.76</v>
      </c>
      <c r="H14" s="309">
        <f>SUMIF(I$12:AB$12,"总值",I14:AB14)</f>
        <v>301.76</v>
      </c>
      <c r="I14" s="1417">
        <f>面积!E41</f>
        <v>301.76</v>
      </c>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f t="shared" si="6"/>
        <v>2</v>
      </c>
      <c r="AY14" s="304">
        <f>ROUND($AY$6*AZ14/$AZ$5,2)</f>
        <v>1950.51</v>
      </c>
      <c r="AZ14" s="305">
        <f>BA14+BL14</f>
        <v>301.76</v>
      </c>
      <c r="BA14" s="305">
        <f>SUM(BB14:BK14)</f>
        <v>301.76</v>
      </c>
      <c r="BB14" s="305">
        <f>IF($D14="是",I14-J14,0)</f>
        <v>301.76</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c r="A15" s="216"/>
      <c r="B15" s="216"/>
      <c r="C15" s="3370">
        <f>面积!A42</f>
        <v>3</v>
      </c>
      <c r="D15" s="217" t="s">
        <v>3133</v>
      </c>
      <c r="E15" s="305">
        <f>IF($C$3="是",ROUND($A$3*G15/$B$3,2),ROUND($A$3*(G15-AT15)/$B$3,2))</f>
        <v>537.07000000000005</v>
      </c>
      <c r="F15" s="321"/>
      <c r="G15" s="322">
        <f>H15+AC15+AT15</f>
        <v>83.09</v>
      </c>
      <c r="H15" s="309">
        <f>SUMIF(I$12:AB$12,"总值",I15:AB15)</f>
        <v>83.09</v>
      </c>
      <c r="I15" s="1417">
        <f>面积!E42</f>
        <v>83.09</v>
      </c>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f t="shared" si="6"/>
        <v>3</v>
      </c>
      <c r="AY15" s="304">
        <f>ROUND($AY$6*AZ15/$AZ$5,2)</f>
        <v>537.07000000000005</v>
      </c>
      <c r="AZ15" s="305">
        <f>BA15+BL15</f>
        <v>83.09</v>
      </c>
      <c r="BA15" s="305">
        <f>SUM(BB15:BK15)</f>
        <v>83.09</v>
      </c>
      <c r="BB15" s="305">
        <f>IF($D15="是",I15-J15,0)</f>
        <v>83.09</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c r="A16" s="216"/>
      <c r="B16" s="216"/>
      <c r="C16" s="3370">
        <f>面积!A43</f>
        <v>4</v>
      </c>
      <c r="D16" s="217" t="s">
        <v>3133</v>
      </c>
      <c r="E16" s="305">
        <f>IF($C$3="是",ROUND($A$3*G16/$B$3,2),ROUND($A$3*(G16-AT16)/$B$3,2))</f>
        <v>281.04000000000002</v>
      </c>
      <c r="F16" s="321"/>
      <c r="G16" s="322">
        <f>H16+AC16+AT16</f>
        <v>43.48</v>
      </c>
      <c r="H16" s="309">
        <f>SUMIF(I$12:AB$12,"总值",I16:AB16)</f>
        <v>43.48</v>
      </c>
      <c r="I16" s="1417">
        <f>面积!E43</f>
        <v>43.48</v>
      </c>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4</v>
      </c>
      <c r="AY16" s="304">
        <f>ROUND($AY$6*AZ16/$AZ$5,2)</f>
        <v>281.04000000000002</v>
      </c>
      <c r="AZ16" s="305">
        <f>BA16+BL16</f>
        <v>43.48</v>
      </c>
      <c r="BA16" s="305">
        <f>SUM(BB16:BK16)</f>
        <v>43.48</v>
      </c>
      <c r="BB16" s="305">
        <f>IF($D16="是",I16-J16,0)</f>
        <v>43.48</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c r="A17" s="216"/>
      <c r="B17" s="216"/>
      <c r="C17" s="3370">
        <f>面积!A44</f>
        <v>5</v>
      </c>
      <c r="D17" s="217" t="s">
        <v>3133</v>
      </c>
      <c r="E17" s="305">
        <f>IF($C$3="是",ROUND($A$3*G17/$B$3,2),ROUND($A$3*(G17-AT17)/$B$3,2))</f>
        <v>532.23</v>
      </c>
      <c r="F17" s="321"/>
      <c r="G17" s="322">
        <f>H17+AC17+AT17</f>
        <v>82.34</v>
      </c>
      <c r="H17" s="309">
        <f>SUMIF(I$12:AB$12,"总值",I17:AB17)</f>
        <v>82.34</v>
      </c>
      <c r="I17" s="1417">
        <f>面积!E44</f>
        <v>82.34</v>
      </c>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5</v>
      </c>
      <c r="AY17" s="304">
        <f>ROUND($AY$6*AZ17/$AZ$5,2)</f>
        <v>532.23</v>
      </c>
      <c r="AZ17" s="305">
        <f>BA17+BL17</f>
        <v>82.34</v>
      </c>
      <c r="BA17" s="305">
        <f>SUM(BB17:BK17)</f>
        <v>82.34</v>
      </c>
      <c r="BB17" s="305">
        <f>IF($D17="是",I17-J17,0)</f>
        <v>82.34</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370">
        <f>面积!A45</f>
        <v>6</v>
      </c>
      <c r="D18" s="217" t="s">
        <v>3133</v>
      </c>
      <c r="E18" s="324">
        <f t="shared" ref="E18:E112" si="7">IF($C$3="是",ROUND($A$3*G18/$B$3,2),ROUND($A$3*(G18-AT18)/$B$3,2))</f>
        <v>378.26</v>
      </c>
      <c r="F18" s="325"/>
      <c r="G18" s="326">
        <f t="shared" ref="G18:G109" si="8">H18+AC18+AT18</f>
        <v>58.52</v>
      </c>
      <c r="H18" s="327">
        <f t="shared" ref="H18:H109" si="9">SUMIF(I$12:AB$12,"总值",I18:AB18)</f>
        <v>58.52</v>
      </c>
      <c r="I18" s="1417">
        <f>面积!E45</f>
        <v>58.52</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6</v>
      </c>
      <c r="AY18" s="331">
        <f t="shared" ref="AY18:AY109" si="14">ROUND($AY$6*AZ18/$AZ$5,2)</f>
        <v>378.26</v>
      </c>
      <c r="AZ18" s="324">
        <f t="shared" ref="AZ18:AZ109" si="15">BA18+BL18</f>
        <v>58.52</v>
      </c>
      <c r="BA18" s="324">
        <f t="shared" ref="BA18:BA109" si="16">SUM(BB18:BK18)</f>
        <v>58.52</v>
      </c>
      <c r="BB18" s="324">
        <f t="shared" ref="BB18:BB109" si="17">IF($D18="是",I18-J18,0)</f>
        <v>58.52</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370">
        <f>面积!A46</f>
        <v>7</v>
      </c>
      <c r="D19" s="217" t="s">
        <v>3133</v>
      </c>
      <c r="E19" s="324">
        <f t="shared" si="7"/>
        <v>586.78</v>
      </c>
      <c r="F19" s="325"/>
      <c r="G19" s="326">
        <f t="shared" si="8"/>
        <v>90.78</v>
      </c>
      <c r="H19" s="327">
        <f t="shared" si="9"/>
        <v>90.78</v>
      </c>
      <c r="I19" s="1417">
        <f>面积!E46</f>
        <v>90.78</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7</v>
      </c>
      <c r="AY19" s="331">
        <f t="shared" si="14"/>
        <v>586.78</v>
      </c>
      <c r="AZ19" s="324">
        <f t="shared" si="15"/>
        <v>90.78</v>
      </c>
      <c r="BA19" s="324">
        <f t="shared" si="16"/>
        <v>90.78</v>
      </c>
      <c r="BB19" s="324">
        <f t="shared" si="17"/>
        <v>90.78</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370">
        <f>面积!A47</f>
        <v>8</v>
      </c>
      <c r="D20" s="217" t="s">
        <v>3133</v>
      </c>
      <c r="E20" s="324">
        <f t="shared" si="7"/>
        <v>590.01</v>
      </c>
      <c r="F20" s="325"/>
      <c r="G20" s="326">
        <f t="shared" si="8"/>
        <v>91.28</v>
      </c>
      <c r="H20" s="327">
        <f t="shared" si="9"/>
        <v>91.28</v>
      </c>
      <c r="I20" s="1417">
        <f>面积!E47</f>
        <v>91.28</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8</v>
      </c>
      <c r="AY20" s="331">
        <f t="shared" si="14"/>
        <v>590.01</v>
      </c>
      <c r="AZ20" s="324">
        <f t="shared" si="15"/>
        <v>91.28</v>
      </c>
      <c r="BA20" s="324">
        <f t="shared" si="16"/>
        <v>91.28</v>
      </c>
      <c r="BB20" s="324">
        <f t="shared" si="17"/>
        <v>91.28</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370">
        <f>面积!A48</f>
        <v>9</v>
      </c>
      <c r="D21" s="217" t="s">
        <v>3133</v>
      </c>
      <c r="E21" s="324">
        <f t="shared" si="7"/>
        <v>466.94</v>
      </c>
      <c r="F21" s="325"/>
      <c r="G21" s="326">
        <f t="shared" si="8"/>
        <v>72.239999999999995</v>
      </c>
      <c r="H21" s="327">
        <f t="shared" si="9"/>
        <v>72.239999999999995</v>
      </c>
      <c r="I21" s="1417">
        <f>面积!E48</f>
        <v>72.239999999999995</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9</v>
      </c>
      <c r="AY21" s="331">
        <f t="shared" si="14"/>
        <v>466.94</v>
      </c>
      <c r="AZ21" s="324">
        <f t="shared" si="15"/>
        <v>72.239999999999995</v>
      </c>
      <c r="BA21" s="324">
        <f t="shared" si="16"/>
        <v>72.239999999999995</v>
      </c>
      <c r="BB21" s="324">
        <f t="shared" si="17"/>
        <v>72.239999999999995</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370">
        <f>面积!A49</f>
        <v>10</v>
      </c>
      <c r="D22" s="217" t="s">
        <v>3133</v>
      </c>
      <c r="E22" s="324">
        <f t="shared" si="7"/>
        <v>319.37</v>
      </c>
      <c r="F22" s="325"/>
      <c r="G22" s="326">
        <f t="shared" si="8"/>
        <v>49.41</v>
      </c>
      <c r="H22" s="327">
        <f t="shared" si="9"/>
        <v>49.41</v>
      </c>
      <c r="I22" s="1417">
        <f>面积!E49</f>
        <v>49.41</v>
      </c>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10</v>
      </c>
      <c r="AY22" s="331">
        <f t="shared" si="14"/>
        <v>319.37</v>
      </c>
      <c r="AZ22" s="324">
        <f t="shared" si="15"/>
        <v>49.41</v>
      </c>
      <c r="BA22" s="324">
        <f t="shared" si="16"/>
        <v>49.41</v>
      </c>
      <c r="BB22" s="324">
        <f t="shared" si="17"/>
        <v>49.41</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370">
        <f>面积!A50</f>
        <v>11</v>
      </c>
      <c r="D23" s="217" t="s">
        <v>3133</v>
      </c>
      <c r="E23" s="324">
        <f t="shared" si="7"/>
        <v>171.94</v>
      </c>
      <c r="F23" s="325"/>
      <c r="G23" s="326">
        <f t="shared" si="8"/>
        <v>26.6</v>
      </c>
      <c r="H23" s="327">
        <f t="shared" si="9"/>
        <v>26.6</v>
      </c>
      <c r="I23" s="1417">
        <f>面积!E50</f>
        <v>26.6</v>
      </c>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11</v>
      </c>
      <c r="AY23" s="331">
        <f t="shared" si="14"/>
        <v>171.94</v>
      </c>
      <c r="AZ23" s="324">
        <f t="shared" si="15"/>
        <v>26.6</v>
      </c>
      <c r="BA23" s="324">
        <f t="shared" si="16"/>
        <v>26.6</v>
      </c>
      <c r="BB23" s="324">
        <f t="shared" si="17"/>
        <v>26.6</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370">
        <f>面积!A51</f>
        <v>17</v>
      </c>
      <c r="D24" s="217" t="s">
        <v>3133</v>
      </c>
      <c r="E24" s="324">
        <f t="shared" si="7"/>
        <v>287.95999999999998</v>
      </c>
      <c r="F24" s="325"/>
      <c r="G24" s="326">
        <f t="shared" si="8"/>
        <v>44.55</v>
      </c>
      <c r="H24" s="327">
        <f t="shared" si="9"/>
        <v>44.55</v>
      </c>
      <c r="I24" s="1417">
        <f>面积!E51</f>
        <v>44.55</v>
      </c>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17</v>
      </c>
      <c r="AY24" s="331">
        <f t="shared" si="14"/>
        <v>287.95999999999998</v>
      </c>
      <c r="AZ24" s="324">
        <f t="shared" si="15"/>
        <v>44.55</v>
      </c>
      <c r="BA24" s="324">
        <f t="shared" si="16"/>
        <v>44.55</v>
      </c>
      <c r="BB24" s="324">
        <f t="shared" si="17"/>
        <v>44.55</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370">
        <f>面积!A52</f>
        <v>18</v>
      </c>
      <c r="D25" s="217" t="s">
        <v>3133</v>
      </c>
      <c r="E25" s="324">
        <f t="shared" si="7"/>
        <v>604.69000000000005</v>
      </c>
      <c r="F25" s="325"/>
      <c r="G25" s="326">
        <f t="shared" si="8"/>
        <v>93.55</v>
      </c>
      <c r="H25" s="327">
        <f t="shared" si="9"/>
        <v>93.55</v>
      </c>
      <c r="I25" s="1417">
        <f>面积!E52</f>
        <v>93.55</v>
      </c>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18</v>
      </c>
      <c r="AY25" s="331">
        <f t="shared" si="14"/>
        <v>604.69000000000005</v>
      </c>
      <c r="AZ25" s="324">
        <f t="shared" si="15"/>
        <v>93.55</v>
      </c>
      <c r="BA25" s="324">
        <f t="shared" si="16"/>
        <v>93.55</v>
      </c>
      <c r="BB25" s="324">
        <f t="shared" si="17"/>
        <v>93.55</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370">
        <f>面积!A53</f>
        <v>19</v>
      </c>
      <c r="D26" s="217" t="s">
        <v>3133</v>
      </c>
      <c r="E26" s="324">
        <f t="shared" si="7"/>
        <v>8053.98</v>
      </c>
      <c r="F26" s="325"/>
      <c r="G26" s="326">
        <f t="shared" si="8"/>
        <v>1246.02</v>
      </c>
      <c r="H26" s="327">
        <f t="shared" si="9"/>
        <v>1246.02</v>
      </c>
      <c r="I26" s="1417">
        <f>面积!E53</f>
        <v>1246.02</v>
      </c>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19</v>
      </c>
      <c r="AY26" s="331">
        <f t="shared" si="14"/>
        <v>8053.98</v>
      </c>
      <c r="AZ26" s="324">
        <f t="shared" si="15"/>
        <v>1246.02</v>
      </c>
      <c r="BA26" s="324">
        <f t="shared" si="16"/>
        <v>1246.02</v>
      </c>
      <c r="BB26" s="324">
        <f t="shared" si="17"/>
        <v>1246.02</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370">
        <f>面积!A54</f>
        <v>20</v>
      </c>
      <c r="D27" s="217" t="s">
        <v>3133</v>
      </c>
      <c r="E27" s="324">
        <f t="shared" si="7"/>
        <v>138.44999999999999</v>
      </c>
      <c r="F27" s="325"/>
      <c r="G27" s="326">
        <f t="shared" si="8"/>
        <v>21.42</v>
      </c>
      <c r="H27" s="327">
        <f t="shared" si="9"/>
        <v>21.42</v>
      </c>
      <c r="I27" s="1417">
        <f>面积!E54</f>
        <v>21.42</v>
      </c>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20</v>
      </c>
      <c r="AY27" s="331">
        <f t="shared" si="14"/>
        <v>138.44999999999999</v>
      </c>
      <c r="AZ27" s="324">
        <f t="shared" si="15"/>
        <v>21.42</v>
      </c>
      <c r="BA27" s="324">
        <f t="shared" si="16"/>
        <v>21.42</v>
      </c>
      <c r="BB27" s="324">
        <f t="shared" si="17"/>
        <v>21.42</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370">
        <f>面积!A55</f>
        <v>21</v>
      </c>
      <c r="D28" s="217" t="s">
        <v>3133</v>
      </c>
      <c r="E28" s="324">
        <f t="shared" si="7"/>
        <v>245.69</v>
      </c>
      <c r="F28" s="325"/>
      <c r="G28" s="326">
        <f t="shared" si="8"/>
        <v>38.01</v>
      </c>
      <c r="H28" s="327">
        <f t="shared" si="9"/>
        <v>38.01</v>
      </c>
      <c r="I28" s="1417">
        <f>面积!E55</f>
        <v>38.01</v>
      </c>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21</v>
      </c>
      <c r="AY28" s="331">
        <f t="shared" si="14"/>
        <v>245.69</v>
      </c>
      <c r="AZ28" s="324">
        <f t="shared" si="15"/>
        <v>38.01</v>
      </c>
      <c r="BA28" s="324">
        <f t="shared" si="16"/>
        <v>38.01</v>
      </c>
      <c r="BB28" s="324">
        <f t="shared" si="17"/>
        <v>38.01</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370">
        <f>面积!A56</f>
        <v>22</v>
      </c>
      <c r="D29" s="217" t="s">
        <v>3133</v>
      </c>
      <c r="E29" s="324">
        <f t="shared" si="7"/>
        <v>777.72</v>
      </c>
      <c r="F29" s="325"/>
      <c r="G29" s="326">
        <f t="shared" si="8"/>
        <v>120.32</v>
      </c>
      <c r="H29" s="327">
        <f t="shared" si="9"/>
        <v>120.32</v>
      </c>
      <c r="I29" s="1417">
        <f>面积!E56</f>
        <v>120.32</v>
      </c>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22</v>
      </c>
      <c r="AY29" s="331">
        <f t="shared" si="14"/>
        <v>777.72</v>
      </c>
      <c r="AZ29" s="324">
        <f t="shared" si="15"/>
        <v>120.32</v>
      </c>
      <c r="BA29" s="324">
        <f t="shared" si="16"/>
        <v>120.32</v>
      </c>
      <c r="BB29" s="324">
        <f t="shared" si="17"/>
        <v>120.32</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370">
        <f>面积!A57</f>
        <v>23</v>
      </c>
      <c r="D30" s="217" t="s">
        <v>3133</v>
      </c>
      <c r="E30" s="324">
        <f t="shared" si="7"/>
        <v>452.79</v>
      </c>
      <c r="F30" s="325"/>
      <c r="G30" s="326">
        <f t="shared" si="8"/>
        <v>70.05</v>
      </c>
      <c r="H30" s="327">
        <f t="shared" si="9"/>
        <v>70.05</v>
      </c>
      <c r="I30" s="1417">
        <f>面积!E57</f>
        <v>70.05</v>
      </c>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23</v>
      </c>
      <c r="AY30" s="331">
        <f t="shared" si="14"/>
        <v>452.79</v>
      </c>
      <c r="AZ30" s="324">
        <f t="shared" si="15"/>
        <v>70.05</v>
      </c>
      <c r="BA30" s="324">
        <f t="shared" si="16"/>
        <v>70.05</v>
      </c>
      <c r="BB30" s="324">
        <f t="shared" si="17"/>
        <v>70.05</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370">
        <f>面积!A58</f>
        <v>24</v>
      </c>
      <c r="D31" s="217" t="s">
        <v>3133</v>
      </c>
      <c r="E31" s="324">
        <f t="shared" si="7"/>
        <v>415.56</v>
      </c>
      <c r="F31" s="325"/>
      <c r="G31" s="326">
        <f t="shared" si="8"/>
        <v>64.290000000000006</v>
      </c>
      <c r="H31" s="327">
        <f t="shared" si="9"/>
        <v>64.290000000000006</v>
      </c>
      <c r="I31" s="1417">
        <f>面积!E58</f>
        <v>64.290000000000006</v>
      </c>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24</v>
      </c>
      <c r="AY31" s="331">
        <f t="shared" si="14"/>
        <v>415.56</v>
      </c>
      <c r="AZ31" s="324">
        <f t="shared" si="15"/>
        <v>64.290000000000006</v>
      </c>
      <c r="BA31" s="324">
        <f t="shared" si="16"/>
        <v>64.290000000000006</v>
      </c>
      <c r="BB31" s="324">
        <f t="shared" si="17"/>
        <v>64.290000000000006</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370">
        <f>面积!A59</f>
        <v>25</v>
      </c>
      <c r="D32" s="217" t="s">
        <v>3133</v>
      </c>
      <c r="E32" s="324">
        <f t="shared" si="7"/>
        <v>427.97</v>
      </c>
      <c r="F32" s="325"/>
      <c r="G32" s="326">
        <f t="shared" si="8"/>
        <v>66.209999999999994</v>
      </c>
      <c r="H32" s="327">
        <f t="shared" si="9"/>
        <v>66.209999999999994</v>
      </c>
      <c r="I32" s="1417">
        <f>面积!E59</f>
        <v>66.209999999999994</v>
      </c>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25</v>
      </c>
      <c r="AY32" s="331">
        <f t="shared" si="14"/>
        <v>427.97</v>
      </c>
      <c r="AZ32" s="324">
        <f t="shared" si="15"/>
        <v>66.209999999999994</v>
      </c>
      <c r="BA32" s="324">
        <f t="shared" si="16"/>
        <v>66.209999999999994</v>
      </c>
      <c r="BB32" s="324">
        <f t="shared" si="17"/>
        <v>66.209999999999994</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370">
        <f>面积!A60</f>
        <v>26</v>
      </c>
      <c r="D33" s="217" t="s">
        <v>3133</v>
      </c>
      <c r="E33" s="324">
        <f t="shared" si="7"/>
        <v>854.06</v>
      </c>
      <c r="F33" s="325"/>
      <c r="G33" s="326">
        <f t="shared" si="8"/>
        <v>132.13</v>
      </c>
      <c r="H33" s="327">
        <f t="shared" si="9"/>
        <v>132.13</v>
      </c>
      <c r="I33" s="1417">
        <f>面积!E60</f>
        <v>132.13</v>
      </c>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26</v>
      </c>
      <c r="AY33" s="331">
        <f t="shared" si="14"/>
        <v>854.06</v>
      </c>
      <c r="AZ33" s="324">
        <f t="shared" si="15"/>
        <v>132.13</v>
      </c>
      <c r="BA33" s="324">
        <f t="shared" si="16"/>
        <v>132.13</v>
      </c>
      <c r="BB33" s="324">
        <f t="shared" si="17"/>
        <v>132.13</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370">
        <f>面积!A61</f>
        <v>27</v>
      </c>
      <c r="D34" s="217" t="s">
        <v>3133</v>
      </c>
      <c r="E34" s="324">
        <f t="shared" si="7"/>
        <v>180.34</v>
      </c>
      <c r="F34" s="325"/>
      <c r="G34" s="326">
        <f t="shared" si="8"/>
        <v>27.9</v>
      </c>
      <c r="H34" s="327">
        <f t="shared" si="9"/>
        <v>27.9</v>
      </c>
      <c r="I34" s="1417">
        <f>面积!E61</f>
        <v>27.9</v>
      </c>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27</v>
      </c>
      <c r="AY34" s="331">
        <f t="shared" si="14"/>
        <v>180.34</v>
      </c>
      <c r="AZ34" s="324">
        <f t="shared" si="15"/>
        <v>27.9</v>
      </c>
      <c r="BA34" s="324">
        <f t="shared" si="16"/>
        <v>27.9</v>
      </c>
      <c r="BB34" s="324">
        <f t="shared" si="17"/>
        <v>27.9</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370">
        <f>面积!A62</f>
        <v>28</v>
      </c>
      <c r="D35" s="217" t="s">
        <v>3133</v>
      </c>
      <c r="E35" s="324">
        <f t="shared" si="7"/>
        <v>202.96</v>
      </c>
      <c r="F35" s="325"/>
      <c r="G35" s="326">
        <f t="shared" si="8"/>
        <v>31.4</v>
      </c>
      <c r="H35" s="327">
        <f t="shared" si="9"/>
        <v>31.4</v>
      </c>
      <c r="I35" s="1417">
        <f>面积!E62</f>
        <v>31.4</v>
      </c>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28</v>
      </c>
      <c r="AY35" s="331">
        <f t="shared" si="14"/>
        <v>202.96</v>
      </c>
      <c r="AZ35" s="324">
        <f t="shared" si="15"/>
        <v>31.4</v>
      </c>
      <c r="BA35" s="324">
        <f t="shared" si="16"/>
        <v>31.4</v>
      </c>
      <c r="BB35" s="324">
        <f t="shared" si="17"/>
        <v>31.4</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370">
        <f>面积!A63</f>
        <v>29</v>
      </c>
      <c r="D36" s="217" t="s">
        <v>3133</v>
      </c>
      <c r="E36" s="324">
        <f t="shared" si="7"/>
        <v>120.68</v>
      </c>
      <c r="F36" s="325"/>
      <c r="G36" s="326">
        <f t="shared" si="8"/>
        <v>18.670000000000002</v>
      </c>
      <c r="H36" s="327">
        <f t="shared" si="9"/>
        <v>18.670000000000002</v>
      </c>
      <c r="I36" s="1417">
        <f>面积!E63</f>
        <v>18.670000000000002</v>
      </c>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29</v>
      </c>
      <c r="AY36" s="331">
        <f t="shared" si="14"/>
        <v>120.68</v>
      </c>
      <c r="AZ36" s="324">
        <f t="shared" si="15"/>
        <v>18.670000000000002</v>
      </c>
      <c r="BA36" s="324">
        <f t="shared" si="16"/>
        <v>18.670000000000002</v>
      </c>
      <c r="BB36" s="324">
        <f t="shared" si="17"/>
        <v>18.670000000000002</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370">
        <f>面积!A64</f>
        <v>30</v>
      </c>
      <c r="D37" s="217" t="s">
        <v>3133</v>
      </c>
      <c r="E37" s="324">
        <f t="shared" si="7"/>
        <v>630.22</v>
      </c>
      <c r="F37" s="325"/>
      <c r="G37" s="326">
        <f t="shared" si="8"/>
        <v>97.5</v>
      </c>
      <c r="H37" s="327">
        <f t="shared" si="9"/>
        <v>97.5</v>
      </c>
      <c r="I37" s="1417">
        <f>面积!E64</f>
        <v>97.5</v>
      </c>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30</v>
      </c>
      <c r="AY37" s="331">
        <f t="shared" si="14"/>
        <v>630.22</v>
      </c>
      <c r="AZ37" s="324">
        <f t="shared" si="15"/>
        <v>97.5</v>
      </c>
      <c r="BA37" s="324">
        <f t="shared" si="16"/>
        <v>97.5</v>
      </c>
      <c r="BB37" s="324">
        <f t="shared" si="17"/>
        <v>97.5</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370">
        <f>面积!A65</f>
        <v>31</v>
      </c>
      <c r="D38" s="217" t="s">
        <v>3133</v>
      </c>
      <c r="E38" s="324">
        <f t="shared" si="7"/>
        <v>235.47</v>
      </c>
      <c r="F38" s="325"/>
      <c r="G38" s="326">
        <f t="shared" si="8"/>
        <v>36.43</v>
      </c>
      <c r="H38" s="327">
        <f t="shared" si="9"/>
        <v>36.43</v>
      </c>
      <c r="I38" s="1417">
        <f>面积!E65</f>
        <v>36.43</v>
      </c>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31</v>
      </c>
      <c r="AY38" s="331">
        <f t="shared" si="14"/>
        <v>235.47</v>
      </c>
      <c r="AZ38" s="324">
        <f t="shared" si="15"/>
        <v>36.43</v>
      </c>
      <c r="BA38" s="324">
        <f t="shared" si="16"/>
        <v>36.43</v>
      </c>
      <c r="BB38" s="324">
        <f t="shared" si="17"/>
        <v>36.43</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370">
        <f>面积!A66</f>
        <v>32</v>
      </c>
      <c r="D39" s="217" t="s">
        <v>3133</v>
      </c>
      <c r="E39" s="324">
        <f t="shared" si="7"/>
        <v>184.22</v>
      </c>
      <c r="F39" s="325"/>
      <c r="G39" s="326">
        <f t="shared" si="8"/>
        <v>28.5</v>
      </c>
      <c r="H39" s="327">
        <f t="shared" si="9"/>
        <v>28.5</v>
      </c>
      <c r="I39" s="1417">
        <f>面积!E66</f>
        <v>28.5</v>
      </c>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32</v>
      </c>
      <c r="AY39" s="331">
        <f t="shared" si="14"/>
        <v>184.22</v>
      </c>
      <c r="AZ39" s="324">
        <f t="shared" si="15"/>
        <v>28.5</v>
      </c>
      <c r="BA39" s="324">
        <f t="shared" si="16"/>
        <v>28.5</v>
      </c>
      <c r="BB39" s="324">
        <f t="shared" si="17"/>
        <v>28.5</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370">
        <f>面积!A67</f>
        <v>33</v>
      </c>
      <c r="D40" s="217" t="s">
        <v>3133</v>
      </c>
      <c r="E40" s="324">
        <f t="shared" si="7"/>
        <v>690.98</v>
      </c>
      <c r="F40" s="325"/>
      <c r="G40" s="326">
        <f t="shared" si="8"/>
        <v>106.9</v>
      </c>
      <c r="H40" s="327">
        <f t="shared" si="9"/>
        <v>106.9</v>
      </c>
      <c r="I40" s="1417">
        <f>面积!E67</f>
        <v>106.9</v>
      </c>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33</v>
      </c>
      <c r="AY40" s="331">
        <f t="shared" si="14"/>
        <v>690.98</v>
      </c>
      <c r="AZ40" s="324">
        <f t="shared" si="15"/>
        <v>106.9</v>
      </c>
      <c r="BA40" s="324">
        <f t="shared" si="16"/>
        <v>106.9</v>
      </c>
      <c r="BB40" s="324">
        <f t="shared" si="17"/>
        <v>106.9</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370">
        <f>面积!A68</f>
        <v>34</v>
      </c>
      <c r="D41" s="217" t="s">
        <v>3133</v>
      </c>
      <c r="E41" s="324">
        <f t="shared" si="7"/>
        <v>198.95</v>
      </c>
      <c r="F41" s="325"/>
      <c r="G41" s="326">
        <f t="shared" si="8"/>
        <v>30.78</v>
      </c>
      <c r="H41" s="327">
        <f t="shared" si="9"/>
        <v>30.78</v>
      </c>
      <c r="I41" s="1417">
        <f>面积!E68</f>
        <v>30.78</v>
      </c>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34</v>
      </c>
      <c r="AY41" s="331">
        <f t="shared" si="14"/>
        <v>198.95</v>
      </c>
      <c r="AZ41" s="324">
        <f t="shared" si="15"/>
        <v>30.78</v>
      </c>
      <c r="BA41" s="324">
        <f t="shared" si="16"/>
        <v>30.78</v>
      </c>
      <c r="BB41" s="324">
        <f t="shared" si="17"/>
        <v>30.78</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370">
        <f>面积!A69</f>
        <v>35</v>
      </c>
      <c r="D42" s="217" t="s">
        <v>3133</v>
      </c>
      <c r="E42" s="324">
        <f t="shared" si="7"/>
        <v>217.83</v>
      </c>
      <c r="F42" s="325"/>
      <c r="G42" s="326">
        <f t="shared" si="8"/>
        <v>33.700000000000003</v>
      </c>
      <c r="H42" s="327">
        <f t="shared" si="9"/>
        <v>33.700000000000003</v>
      </c>
      <c r="I42" s="1417">
        <f>面积!E69</f>
        <v>33.700000000000003</v>
      </c>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35</v>
      </c>
      <c r="AY42" s="331">
        <f t="shared" si="14"/>
        <v>217.83</v>
      </c>
      <c r="AZ42" s="324">
        <f t="shared" si="15"/>
        <v>33.700000000000003</v>
      </c>
      <c r="BA42" s="324">
        <f t="shared" si="16"/>
        <v>33.700000000000003</v>
      </c>
      <c r="BB42" s="324">
        <f t="shared" si="17"/>
        <v>33.700000000000003</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370">
        <f>面积!A70</f>
        <v>36</v>
      </c>
      <c r="D43" s="217" t="s">
        <v>3133</v>
      </c>
      <c r="E43" s="324">
        <f t="shared" si="7"/>
        <v>217.44</v>
      </c>
      <c r="F43" s="325"/>
      <c r="G43" s="326">
        <f t="shared" si="8"/>
        <v>33.64</v>
      </c>
      <c r="H43" s="327">
        <f t="shared" si="9"/>
        <v>33.64</v>
      </c>
      <c r="I43" s="1417">
        <f>面积!E70</f>
        <v>33.64</v>
      </c>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36</v>
      </c>
      <c r="AY43" s="331">
        <f t="shared" si="14"/>
        <v>217.44</v>
      </c>
      <c r="AZ43" s="324">
        <f t="shared" si="15"/>
        <v>33.64</v>
      </c>
      <c r="BA43" s="324">
        <f t="shared" si="16"/>
        <v>33.64</v>
      </c>
      <c r="BB43" s="324">
        <f t="shared" si="17"/>
        <v>33.64</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370">
        <f>面积!A71</f>
        <v>37</v>
      </c>
      <c r="D44" s="217" t="s">
        <v>3133</v>
      </c>
      <c r="E44" s="324">
        <f t="shared" si="7"/>
        <v>834.6</v>
      </c>
      <c r="F44" s="325"/>
      <c r="G44" s="326">
        <f t="shared" si="8"/>
        <v>129.12</v>
      </c>
      <c r="H44" s="327">
        <f t="shared" si="9"/>
        <v>129.12</v>
      </c>
      <c r="I44" s="1417">
        <f>面积!E71</f>
        <v>129.12</v>
      </c>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37</v>
      </c>
      <c r="AY44" s="331">
        <f t="shared" si="14"/>
        <v>834.6</v>
      </c>
      <c r="AZ44" s="324">
        <f t="shared" si="15"/>
        <v>129.12</v>
      </c>
      <c r="BA44" s="324">
        <f t="shared" si="16"/>
        <v>129.12</v>
      </c>
      <c r="BB44" s="324">
        <f t="shared" si="17"/>
        <v>129.12</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370">
        <f>面积!A72</f>
        <v>38</v>
      </c>
      <c r="D45" s="217" t="s">
        <v>3133</v>
      </c>
      <c r="E45" s="324">
        <f t="shared" si="7"/>
        <v>208.84</v>
      </c>
      <c r="F45" s="325"/>
      <c r="G45" s="326">
        <f t="shared" si="8"/>
        <v>32.31</v>
      </c>
      <c r="H45" s="327">
        <f t="shared" si="9"/>
        <v>32.31</v>
      </c>
      <c r="I45" s="1417">
        <f>面积!E72</f>
        <v>32.31</v>
      </c>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38</v>
      </c>
      <c r="AY45" s="331">
        <f t="shared" si="14"/>
        <v>208.84</v>
      </c>
      <c r="AZ45" s="324">
        <f t="shared" si="15"/>
        <v>32.31</v>
      </c>
      <c r="BA45" s="324">
        <f t="shared" si="16"/>
        <v>32.31</v>
      </c>
      <c r="BB45" s="324">
        <f t="shared" si="17"/>
        <v>32.31</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370">
        <f>面积!A73</f>
        <v>39</v>
      </c>
      <c r="D46" s="217" t="s">
        <v>3133</v>
      </c>
      <c r="E46" s="324">
        <f t="shared" si="7"/>
        <v>493.7</v>
      </c>
      <c r="F46" s="325"/>
      <c r="G46" s="326">
        <f t="shared" si="8"/>
        <v>76.38</v>
      </c>
      <c r="H46" s="327">
        <f t="shared" si="9"/>
        <v>76.38</v>
      </c>
      <c r="I46" s="1417">
        <f>面积!E73</f>
        <v>76.38</v>
      </c>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39</v>
      </c>
      <c r="AY46" s="331">
        <f t="shared" si="14"/>
        <v>493.7</v>
      </c>
      <c r="AZ46" s="324">
        <f t="shared" si="15"/>
        <v>76.38</v>
      </c>
      <c r="BA46" s="324">
        <f t="shared" si="16"/>
        <v>76.38</v>
      </c>
      <c r="BB46" s="324">
        <f t="shared" si="17"/>
        <v>76.38</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370">
        <f>面积!A74</f>
        <v>40</v>
      </c>
      <c r="D47" s="217" t="s">
        <v>3133</v>
      </c>
      <c r="E47" s="324">
        <f t="shared" si="7"/>
        <v>287.7</v>
      </c>
      <c r="F47" s="325"/>
      <c r="G47" s="326">
        <f t="shared" si="8"/>
        <v>44.51</v>
      </c>
      <c r="H47" s="327">
        <f t="shared" si="9"/>
        <v>44.51</v>
      </c>
      <c r="I47" s="1417">
        <f>面积!E74</f>
        <v>44.51</v>
      </c>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40</v>
      </c>
      <c r="AY47" s="331">
        <f t="shared" si="14"/>
        <v>287.7</v>
      </c>
      <c r="AZ47" s="324">
        <f t="shared" si="15"/>
        <v>44.51</v>
      </c>
      <c r="BA47" s="324">
        <f t="shared" si="16"/>
        <v>44.51</v>
      </c>
      <c r="BB47" s="324">
        <f t="shared" si="17"/>
        <v>44.51</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370">
        <f>面积!A75</f>
        <v>41</v>
      </c>
      <c r="D48" s="217" t="s">
        <v>3133</v>
      </c>
      <c r="E48" s="324">
        <f t="shared" si="7"/>
        <v>507.15</v>
      </c>
      <c r="F48" s="325"/>
      <c r="G48" s="326">
        <f t="shared" si="8"/>
        <v>78.459999999999994</v>
      </c>
      <c r="H48" s="327">
        <f t="shared" si="9"/>
        <v>78.459999999999994</v>
      </c>
      <c r="I48" s="1417">
        <f>面积!E75</f>
        <v>78.459999999999994</v>
      </c>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41</v>
      </c>
      <c r="AY48" s="331">
        <f t="shared" si="14"/>
        <v>507.15</v>
      </c>
      <c r="AZ48" s="324">
        <f t="shared" si="15"/>
        <v>78.459999999999994</v>
      </c>
      <c r="BA48" s="324">
        <f t="shared" si="16"/>
        <v>78.459999999999994</v>
      </c>
      <c r="BB48" s="324">
        <f t="shared" si="17"/>
        <v>78.459999999999994</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370">
        <f>面积!A76</f>
        <v>42</v>
      </c>
      <c r="D49" s="217" t="s">
        <v>3133</v>
      </c>
      <c r="E49" s="324">
        <f t="shared" si="7"/>
        <v>227.98</v>
      </c>
      <c r="F49" s="325"/>
      <c r="G49" s="326">
        <f t="shared" si="8"/>
        <v>35.270000000000003</v>
      </c>
      <c r="H49" s="327">
        <f t="shared" si="9"/>
        <v>35.270000000000003</v>
      </c>
      <c r="I49" s="1417">
        <f>面积!E76</f>
        <v>35.270000000000003</v>
      </c>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42</v>
      </c>
      <c r="AY49" s="331">
        <f t="shared" si="14"/>
        <v>227.98</v>
      </c>
      <c r="AZ49" s="324">
        <f t="shared" si="15"/>
        <v>35.270000000000003</v>
      </c>
      <c r="BA49" s="324">
        <f t="shared" si="16"/>
        <v>35.270000000000003</v>
      </c>
      <c r="BB49" s="324">
        <f t="shared" si="17"/>
        <v>35.270000000000003</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370">
        <f>面积!A77</f>
        <v>43</v>
      </c>
      <c r="D50" s="217" t="s">
        <v>3133</v>
      </c>
      <c r="E50" s="324">
        <f t="shared" si="7"/>
        <v>193.65</v>
      </c>
      <c r="F50" s="325"/>
      <c r="G50" s="326">
        <f t="shared" si="8"/>
        <v>29.96</v>
      </c>
      <c r="H50" s="327">
        <f t="shared" si="9"/>
        <v>29.96</v>
      </c>
      <c r="I50" s="1417">
        <f>面积!E77</f>
        <v>29.96</v>
      </c>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43</v>
      </c>
      <c r="AY50" s="331">
        <f t="shared" si="14"/>
        <v>193.65</v>
      </c>
      <c r="AZ50" s="324">
        <f t="shared" si="15"/>
        <v>29.96</v>
      </c>
      <c r="BA50" s="324">
        <f t="shared" si="16"/>
        <v>29.96</v>
      </c>
      <c r="BB50" s="324">
        <f t="shared" si="17"/>
        <v>29.96</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370">
        <f>面积!A78</f>
        <v>44</v>
      </c>
      <c r="D51" s="217" t="s">
        <v>3133</v>
      </c>
      <c r="E51" s="324">
        <f t="shared" si="7"/>
        <v>100.83</v>
      </c>
      <c r="F51" s="325"/>
      <c r="G51" s="326">
        <f t="shared" si="8"/>
        <v>15.6</v>
      </c>
      <c r="H51" s="327">
        <f t="shared" si="9"/>
        <v>15.6</v>
      </c>
      <c r="I51" s="1417">
        <f>面积!E78</f>
        <v>15.6</v>
      </c>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44</v>
      </c>
      <c r="AY51" s="331">
        <f t="shared" si="14"/>
        <v>100.83</v>
      </c>
      <c r="AZ51" s="324">
        <f t="shared" si="15"/>
        <v>15.6</v>
      </c>
      <c r="BA51" s="324">
        <f t="shared" si="16"/>
        <v>15.6</v>
      </c>
      <c r="BB51" s="324">
        <f t="shared" si="17"/>
        <v>15.6</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370">
        <f>面积!A79</f>
        <v>45</v>
      </c>
      <c r="D52" s="217" t="s">
        <v>3133</v>
      </c>
      <c r="E52" s="324">
        <f t="shared" si="7"/>
        <v>933.63</v>
      </c>
      <c r="F52" s="325"/>
      <c r="G52" s="326">
        <f t="shared" si="8"/>
        <v>144.44</v>
      </c>
      <c r="H52" s="327">
        <f t="shared" si="9"/>
        <v>144.44</v>
      </c>
      <c r="I52" s="1417">
        <f>面积!E79</f>
        <v>144.44</v>
      </c>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45</v>
      </c>
      <c r="AY52" s="331">
        <f t="shared" si="14"/>
        <v>933.63</v>
      </c>
      <c r="AZ52" s="324">
        <f t="shared" si="15"/>
        <v>144.44</v>
      </c>
      <c r="BA52" s="324">
        <f t="shared" si="16"/>
        <v>144.44</v>
      </c>
      <c r="BB52" s="324">
        <f t="shared" si="17"/>
        <v>144.44</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370">
        <f>面积!A80</f>
        <v>46</v>
      </c>
      <c r="D53" s="217" t="s">
        <v>3133</v>
      </c>
      <c r="E53" s="324">
        <f t="shared" si="7"/>
        <v>326.87</v>
      </c>
      <c r="F53" s="325"/>
      <c r="G53" s="326">
        <f t="shared" si="8"/>
        <v>50.57</v>
      </c>
      <c r="H53" s="327">
        <f t="shared" si="9"/>
        <v>50.57</v>
      </c>
      <c r="I53" s="1417">
        <f>面积!E80</f>
        <v>50.57</v>
      </c>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46</v>
      </c>
      <c r="AY53" s="331">
        <f t="shared" si="14"/>
        <v>326.87</v>
      </c>
      <c r="AZ53" s="324">
        <f t="shared" si="15"/>
        <v>50.57</v>
      </c>
      <c r="BA53" s="324">
        <f t="shared" si="16"/>
        <v>50.57</v>
      </c>
      <c r="BB53" s="324">
        <f t="shared" si="17"/>
        <v>50.57</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370">
        <f>面积!A81</f>
        <v>48</v>
      </c>
      <c r="D54" s="217" t="s">
        <v>3133</v>
      </c>
      <c r="E54" s="324">
        <f t="shared" si="7"/>
        <v>113.31</v>
      </c>
      <c r="F54" s="325"/>
      <c r="G54" s="326">
        <f t="shared" si="8"/>
        <v>17.53</v>
      </c>
      <c r="H54" s="327">
        <f t="shared" si="9"/>
        <v>17.53</v>
      </c>
      <c r="I54" s="1417">
        <f>面积!E81</f>
        <v>17.53</v>
      </c>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48</v>
      </c>
      <c r="AY54" s="331">
        <f t="shared" si="14"/>
        <v>113.31</v>
      </c>
      <c r="AZ54" s="324">
        <f t="shared" si="15"/>
        <v>17.53</v>
      </c>
      <c r="BA54" s="324">
        <f t="shared" si="16"/>
        <v>17.53</v>
      </c>
      <c r="BB54" s="324">
        <f t="shared" si="17"/>
        <v>17.53</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370">
        <f>面积!A82</f>
        <v>49</v>
      </c>
      <c r="D55" s="217" t="s">
        <v>3133</v>
      </c>
      <c r="E55" s="324">
        <f t="shared" si="7"/>
        <v>79.83</v>
      </c>
      <c r="F55" s="325"/>
      <c r="G55" s="326">
        <f t="shared" si="8"/>
        <v>12.35</v>
      </c>
      <c r="H55" s="327">
        <f t="shared" si="9"/>
        <v>12.35</v>
      </c>
      <c r="I55" s="1417">
        <f>面积!E82</f>
        <v>12.35</v>
      </c>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49</v>
      </c>
      <c r="AY55" s="331">
        <f t="shared" si="14"/>
        <v>79.83</v>
      </c>
      <c r="AZ55" s="324">
        <f t="shared" si="15"/>
        <v>12.35</v>
      </c>
      <c r="BA55" s="324">
        <f t="shared" si="16"/>
        <v>12.35</v>
      </c>
      <c r="BB55" s="324">
        <f t="shared" si="17"/>
        <v>12.35</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370">
        <f>面积!A83</f>
        <v>50</v>
      </c>
      <c r="D56" s="217" t="s">
        <v>3133</v>
      </c>
      <c r="E56" s="324">
        <f t="shared" si="7"/>
        <v>185.96</v>
      </c>
      <c r="F56" s="325"/>
      <c r="G56" s="326">
        <f t="shared" si="8"/>
        <v>28.77</v>
      </c>
      <c r="H56" s="327">
        <f t="shared" si="9"/>
        <v>28.77</v>
      </c>
      <c r="I56" s="1417">
        <f>面积!E83</f>
        <v>28.77</v>
      </c>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50</v>
      </c>
      <c r="AY56" s="331">
        <f t="shared" si="14"/>
        <v>185.96</v>
      </c>
      <c r="AZ56" s="324">
        <f t="shared" si="15"/>
        <v>28.77</v>
      </c>
      <c r="BA56" s="324">
        <f t="shared" si="16"/>
        <v>28.77</v>
      </c>
      <c r="BB56" s="324">
        <f t="shared" si="17"/>
        <v>28.77</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370">
        <f>面积!A84</f>
        <v>51</v>
      </c>
      <c r="D57" s="217" t="s">
        <v>3133</v>
      </c>
      <c r="E57" s="324">
        <f t="shared" si="7"/>
        <v>246.2</v>
      </c>
      <c r="F57" s="325"/>
      <c r="G57" s="326">
        <f t="shared" si="8"/>
        <v>38.090000000000003</v>
      </c>
      <c r="H57" s="327">
        <f t="shared" si="9"/>
        <v>38.090000000000003</v>
      </c>
      <c r="I57" s="1417">
        <f>面积!E84</f>
        <v>38.090000000000003</v>
      </c>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51</v>
      </c>
      <c r="AY57" s="331">
        <f t="shared" si="14"/>
        <v>246.2</v>
      </c>
      <c r="AZ57" s="324">
        <f t="shared" si="15"/>
        <v>38.090000000000003</v>
      </c>
      <c r="BA57" s="324">
        <f t="shared" si="16"/>
        <v>38.090000000000003</v>
      </c>
      <c r="BB57" s="324">
        <f t="shared" si="17"/>
        <v>38.090000000000003</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370">
        <f>面积!A85</f>
        <v>52</v>
      </c>
      <c r="D58" s="217" t="s">
        <v>3133</v>
      </c>
      <c r="E58" s="324">
        <f t="shared" si="7"/>
        <v>79.959999999999994</v>
      </c>
      <c r="F58" s="325"/>
      <c r="G58" s="326">
        <f t="shared" si="8"/>
        <v>12.37</v>
      </c>
      <c r="H58" s="327">
        <f t="shared" si="9"/>
        <v>12.37</v>
      </c>
      <c r="I58" s="1417">
        <f>面积!E85</f>
        <v>12.37</v>
      </c>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52</v>
      </c>
      <c r="AY58" s="331">
        <f t="shared" si="14"/>
        <v>79.959999999999994</v>
      </c>
      <c r="AZ58" s="324">
        <f t="shared" si="15"/>
        <v>12.37</v>
      </c>
      <c r="BA58" s="324">
        <f t="shared" si="16"/>
        <v>12.37</v>
      </c>
      <c r="BB58" s="324">
        <f t="shared" si="17"/>
        <v>12.37</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370">
        <f>面积!A86</f>
        <v>53</v>
      </c>
      <c r="D59" s="217" t="s">
        <v>3133</v>
      </c>
      <c r="E59" s="324">
        <f t="shared" si="7"/>
        <v>131.6</v>
      </c>
      <c r="F59" s="325"/>
      <c r="G59" s="326">
        <f t="shared" si="8"/>
        <v>20.36</v>
      </c>
      <c r="H59" s="327">
        <f t="shared" si="9"/>
        <v>20.36</v>
      </c>
      <c r="I59" s="1417">
        <f>面积!E86</f>
        <v>20.36</v>
      </c>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53</v>
      </c>
      <c r="AY59" s="331">
        <f t="shared" si="14"/>
        <v>131.6</v>
      </c>
      <c r="AZ59" s="324">
        <f t="shared" si="15"/>
        <v>20.36</v>
      </c>
      <c r="BA59" s="324">
        <f t="shared" si="16"/>
        <v>20.36</v>
      </c>
      <c r="BB59" s="324">
        <f t="shared" si="17"/>
        <v>20.36</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370">
        <f>面积!A87</f>
        <v>54</v>
      </c>
      <c r="D60" s="217" t="s">
        <v>3133</v>
      </c>
      <c r="E60" s="324">
        <f t="shared" si="7"/>
        <v>237.54</v>
      </c>
      <c r="F60" s="325"/>
      <c r="G60" s="326">
        <f t="shared" si="8"/>
        <v>36.75</v>
      </c>
      <c r="H60" s="327">
        <f t="shared" si="9"/>
        <v>36.75</v>
      </c>
      <c r="I60" s="1417">
        <f>面积!E87</f>
        <v>36.75</v>
      </c>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54</v>
      </c>
      <c r="AY60" s="331">
        <f t="shared" si="14"/>
        <v>237.54</v>
      </c>
      <c r="AZ60" s="324">
        <f t="shared" si="15"/>
        <v>36.75</v>
      </c>
      <c r="BA60" s="324">
        <f t="shared" si="16"/>
        <v>36.75</v>
      </c>
      <c r="BB60" s="324">
        <f t="shared" si="17"/>
        <v>36.75</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370">
        <f>面积!A88</f>
        <v>55</v>
      </c>
      <c r="D61" s="217" t="s">
        <v>3133</v>
      </c>
      <c r="E61" s="324">
        <f t="shared" si="7"/>
        <v>122.23</v>
      </c>
      <c r="F61" s="325"/>
      <c r="G61" s="326">
        <f t="shared" si="8"/>
        <v>18.91</v>
      </c>
      <c r="H61" s="327">
        <f t="shared" si="9"/>
        <v>18.91</v>
      </c>
      <c r="I61" s="1417">
        <f>面积!E88</f>
        <v>18.91</v>
      </c>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55</v>
      </c>
      <c r="AY61" s="331">
        <f t="shared" si="14"/>
        <v>122.23</v>
      </c>
      <c r="AZ61" s="324">
        <f t="shared" si="15"/>
        <v>18.91</v>
      </c>
      <c r="BA61" s="324">
        <f t="shared" si="16"/>
        <v>18.91</v>
      </c>
      <c r="BB61" s="324">
        <f t="shared" si="17"/>
        <v>18.91</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370">
        <f>面积!A89</f>
        <v>56</v>
      </c>
      <c r="D62" s="217" t="s">
        <v>3133</v>
      </c>
      <c r="E62" s="324">
        <f t="shared" si="7"/>
        <v>113.89</v>
      </c>
      <c r="F62" s="325"/>
      <c r="G62" s="326">
        <f t="shared" si="8"/>
        <v>17.62</v>
      </c>
      <c r="H62" s="327">
        <f t="shared" si="9"/>
        <v>17.62</v>
      </c>
      <c r="I62" s="1417">
        <f>面积!E89</f>
        <v>17.62</v>
      </c>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56</v>
      </c>
      <c r="AY62" s="331">
        <f t="shared" si="14"/>
        <v>113.89</v>
      </c>
      <c r="AZ62" s="324">
        <f t="shared" si="15"/>
        <v>17.62</v>
      </c>
      <c r="BA62" s="324">
        <f t="shared" si="16"/>
        <v>17.62</v>
      </c>
      <c r="BB62" s="324">
        <f t="shared" si="17"/>
        <v>17.62</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370">
        <f>面积!A90</f>
        <v>57</v>
      </c>
      <c r="D63" s="217" t="s">
        <v>3133</v>
      </c>
      <c r="E63" s="324">
        <f t="shared" si="7"/>
        <v>216.79</v>
      </c>
      <c r="F63" s="325"/>
      <c r="G63" s="326">
        <f t="shared" si="8"/>
        <v>33.54</v>
      </c>
      <c r="H63" s="327">
        <f t="shared" si="9"/>
        <v>33.54</v>
      </c>
      <c r="I63" s="1417">
        <f>面积!E90</f>
        <v>33.54</v>
      </c>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57</v>
      </c>
      <c r="AY63" s="331">
        <f t="shared" si="14"/>
        <v>216.79</v>
      </c>
      <c r="AZ63" s="324">
        <f t="shared" si="15"/>
        <v>33.54</v>
      </c>
      <c r="BA63" s="324">
        <f t="shared" si="16"/>
        <v>33.54</v>
      </c>
      <c r="BB63" s="324">
        <f t="shared" si="17"/>
        <v>33.54</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370">
        <f>面积!A91</f>
        <v>58</v>
      </c>
      <c r="D64" s="217" t="s">
        <v>3133</v>
      </c>
      <c r="E64" s="324">
        <f t="shared" si="7"/>
        <v>156.04</v>
      </c>
      <c r="F64" s="325"/>
      <c r="G64" s="326">
        <f t="shared" si="8"/>
        <v>24.14</v>
      </c>
      <c r="H64" s="327">
        <f t="shared" si="9"/>
        <v>24.14</v>
      </c>
      <c r="I64" s="1417">
        <f>面积!E91</f>
        <v>24.14</v>
      </c>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58</v>
      </c>
      <c r="AY64" s="331">
        <f t="shared" si="14"/>
        <v>156.04</v>
      </c>
      <c r="AZ64" s="324">
        <f t="shared" si="15"/>
        <v>24.14</v>
      </c>
      <c r="BA64" s="324">
        <f t="shared" si="16"/>
        <v>24.14</v>
      </c>
      <c r="BB64" s="324">
        <f t="shared" si="17"/>
        <v>24.14</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370">
        <f>面积!A92</f>
        <v>59</v>
      </c>
      <c r="D65" s="217" t="s">
        <v>3133</v>
      </c>
      <c r="E65" s="324">
        <f t="shared" si="7"/>
        <v>205.22</v>
      </c>
      <c r="F65" s="325"/>
      <c r="G65" s="326">
        <f t="shared" si="8"/>
        <v>31.75</v>
      </c>
      <c r="H65" s="327">
        <f t="shared" si="9"/>
        <v>31.75</v>
      </c>
      <c r="I65" s="1417">
        <f>面积!E92</f>
        <v>31.75</v>
      </c>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59</v>
      </c>
      <c r="AY65" s="331">
        <f t="shared" si="14"/>
        <v>205.22</v>
      </c>
      <c r="AZ65" s="324">
        <f t="shared" si="15"/>
        <v>31.75</v>
      </c>
      <c r="BA65" s="324">
        <f t="shared" si="16"/>
        <v>31.75</v>
      </c>
      <c r="BB65" s="324">
        <f t="shared" si="17"/>
        <v>31.75</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370">
        <f>面积!A93</f>
        <v>60</v>
      </c>
      <c r="D66" s="217" t="s">
        <v>3133</v>
      </c>
      <c r="E66" s="324">
        <f t="shared" si="7"/>
        <v>514.39</v>
      </c>
      <c r="F66" s="325"/>
      <c r="G66" s="326">
        <f t="shared" si="8"/>
        <v>79.58</v>
      </c>
      <c r="H66" s="327">
        <f t="shared" si="9"/>
        <v>79.58</v>
      </c>
      <c r="I66" s="1417">
        <f>面积!E93</f>
        <v>79.58</v>
      </c>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60</v>
      </c>
      <c r="AY66" s="331">
        <f t="shared" si="14"/>
        <v>514.39</v>
      </c>
      <c r="AZ66" s="324">
        <f t="shared" si="15"/>
        <v>79.58</v>
      </c>
      <c r="BA66" s="324">
        <f t="shared" si="16"/>
        <v>79.58</v>
      </c>
      <c r="BB66" s="324">
        <f t="shared" si="17"/>
        <v>79.58</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370">
        <f>面积!A94</f>
        <v>61</v>
      </c>
      <c r="D67" s="217" t="s">
        <v>3133</v>
      </c>
      <c r="E67" s="324">
        <f t="shared" si="7"/>
        <v>542.44000000000005</v>
      </c>
      <c r="F67" s="325"/>
      <c r="G67" s="326">
        <f t="shared" si="8"/>
        <v>83.92</v>
      </c>
      <c r="H67" s="327">
        <f t="shared" si="9"/>
        <v>83.92</v>
      </c>
      <c r="I67" s="1417">
        <f>面积!E94</f>
        <v>83.92</v>
      </c>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61</v>
      </c>
      <c r="AY67" s="331">
        <f t="shared" si="14"/>
        <v>542.44000000000005</v>
      </c>
      <c r="AZ67" s="324">
        <f t="shared" si="15"/>
        <v>83.92</v>
      </c>
      <c r="BA67" s="324">
        <f t="shared" si="16"/>
        <v>83.92</v>
      </c>
      <c r="BB67" s="324">
        <f t="shared" si="17"/>
        <v>83.92</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370">
        <f>面积!A95</f>
        <v>62</v>
      </c>
      <c r="D68" s="217" t="s">
        <v>3133</v>
      </c>
      <c r="E68" s="324">
        <f t="shared" si="7"/>
        <v>410.97</v>
      </c>
      <c r="F68" s="325"/>
      <c r="G68" s="326">
        <f t="shared" si="8"/>
        <v>63.58</v>
      </c>
      <c r="H68" s="327">
        <f t="shared" si="9"/>
        <v>63.58</v>
      </c>
      <c r="I68" s="1417">
        <f>面积!E95</f>
        <v>63.58</v>
      </c>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62</v>
      </c>
      <c r="AY68" s="331">
        <f t="shared" si="14"/>
        <v>410.97</v>
      </c>
      <c r="AZ68" s="324">
        <f t="shared" si="15"/>
        <v>63.58</v>
      </c>
      <c r="BA68" s="324">
        <f t="shared" si="16"/>
        <v>63.58</v>
      </c>
      <c r="BB68" s="324">
        <f t="shared" si="17"/>
        <v>63.58</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370">
        <f>面积!A96</f>
        <v>63</v>
      </c>
      <c r="D69" s="217" t="s">
        <v>3133</v>
      </c>
      <c r="E69" s="324">
        <f t="shared" si="7"/>
        <v>411.87</v>
      </c>
      <c r="F69" s="325"/>
      <c r="G69" s="326">
        <f t="shared" si="8"/>
        <v>63.72</v>
      </c>
      <c r="H69" s="327">
        <f t="shared" si="9"/>
        <v>63.72</v>
      </c>
      <c r="I69" s="1417">
        <f>面积!E96</f>
        <v>63.72</v>
      </c>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63</v>
      </c>
      <c r="AY69" s="331">
        <f t="shared" si="14"/>
        <v>411.87</v>
      </c>
      <c r="AZ69" s="324">
        <f t="shared" si="15"/>
        <v>63.72</v>
      </c>
      <c r="BA69" s="324">
        <f t="shared" si="16"/>
        <v>63.72</v>
      </c>
      <c r="BB69" s="324">
        <f t="shared" si="17"/>
        <v>63.72</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370">
        <f>面积!A97</f>
        <v>64</v>
      </c>
      <c r="D70" s="217" t="s">
        <v>3133</v>
      </c>
      <c r="E70" s="324">
        <f t="shared" si="7"/>
        <v>725.3</v>
      </c>
      <c r="F70" s="325"/>
      <c r="G70" s="326">
        <f t="shared" si="8"/>
        <v>112.21</v>
      </c>
      <c r="H70" s="327">
        <f t="shared" si="9"/>
        <v>112.21</v>
      </c>
      <c r="I70" s="1417">
        <f>面积!E97</f>
        <v>112.21</v>
      </c>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64</v>
      </c>
      <c r="AY70" s="331">
        <f t="shared" si="14"/>
        <v>725.3</v>
      </c>
      <c r="AZ70" s="324">
        <f t="shared" si="15"/>
        <v>112.21</v>
      </c>
      <c r="BA70" s="324">
        <f t="shared" si="16"/>
        <v>112.21</v>
      </c>
      <c r="BB70" s="324">
        <f t="shared" si="17"/>
        <v>112.21</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370">
        <f>面积!A98</f>
        <v>65</v>
      </c>
      <c r="D71" s="217" t="s">
        <v>3133</v>
      </c>
      <c r="E71" s="324">
        <f t="shared" si="7"/>
        <v>453.76</v>
      </c>
      <c r="F71" s="325"/>
      <c r="G71" s="326">
        <f t="shared" si="8"/>
        <v>70.2</v>
      </c>
      <c r="H71" s="327">
        <f t="shared" si="9"/>
        <v>70.2</v>
      </c>
      <c r="I71" s="1417">
        <f>面积!E98</f>
        <v>70.2</v>
      </c>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65</v>
      </c>
      <c r="AY71" s="331">
        <f t="shared" si="14"/>
        <v>453.76</v>
      </c>
      <c r="AZ71" s="324">
        <f t="shared" si="15"/>
        <v>70.2</v>
      </c>
      <c r="BA71" s="324">
        <f t="shared" si="16"/>
        <v>70.2</v>
      </c>
      <c r="BB71" s="324">
        <f t="shared" si="17"/>
        <v>70.2</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370">
        <f>面积!A99</f>
        <v>66</v>
      </c>
      <c r="D72" s="217" t="s">
        <v>3133</v>
      </c>
      <c r="E72" s="324">
        <f t="shared" si="7"/>
        <v>1353.32</v>
      </c>
      <c r="F72" s="325"/>
      <c r="G72" s="326">
        <f t="shared" si="8"/>
        <v>209.37</v>
      </c>
      <c r="H72" s="327">
        <f t="shared" si="9"/>
        <v>209.37</v>
      </c>
      <c r="I72" s="1417">
        <f>面积!E99</f>
        <v>209.37</v>
      </c>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66</v>
      </c>
      <c r="AY72" s="331">
        <f t="shared" si="14"/>
        <v>1353.32</v>
      </c>
      <c r="AZ72" s="324">
        <f t="shared" si="15"/>
        <v>209.37</v>
      </c>
      <c r="BA72" s="324">
        <f t="shared" si="16"/>
        <v>209.37</v>
      </c>
      <c r="BB72" s="324">
        <f t="shared" si="17"/>
        <v>209.37</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370">
        <f>面积!A100</f>
        <v>67</v>
      </c>
      <c r="D73" s="217" t="s">
        <v>3133</v>
      </c>
      <c r="E73" s="324">
        <f t="shared" si="7"/>
        <v>452.08</v>
      </c>
      <c r="F73" s="325"/>
      <c r="G73" s="326">
        <f t="shared" si="8"/>
        <v>69.94</v>
      </c>
      <c r="H73" s="327">
        <f t="shared" si="9"/>
        <v>69.94</v>
      </c>
      <c r="I73" s="1417">
        <f>面积!E100</f>
        <v>69.94</v>
      </c>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67</v>
      </c>
      <c r="AY73" s="331">
        <f t="shared" si="14"/>
        <v>452.08</v>
      </c>
      <c r="AZ73" s="324">
        <f t="shared" si="15"/>
        <v>69.94</v>
      </c>
      <c r="BA73" s="324">
        <f t="shared" si="16"/>
        <v>69.94</v>
      </c>
      <c r="BB73" s="324">
        <f t="shared" si="17"/>
        <v>69.94</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370">
        <f>面积!A101</f>
        <v>68</v>
      </c>
      <c r="D74" s="217" t="s">
        <v>3133</v>
      </c>
      <c r="E74" s="324">
        <f t="shared" si="7"/>
        <v>1348.15</v>
      </c>
      <c r="F74" s="325"/>
      <c r="G74" s="326">
        <f t="shared" si="8"/>
        <v>208.57</v>
      </c>
      <c r="H74" s="327">
        <f t="shared" si="9"/>
        <v>208.57</v>
      </c>
      <c r="I74" s="1417">
        <f>面积!E101</f>
        <v>208.57</v>
      </c>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68</v>
      </c>
      <c r="AY74" s="331">
        <f t="shared" si="14"/>
        <v>1348.15</v>
      </c>
      <c r="AZ74" s="324">
        <f t="shared" si="15"/>
        <v>208.57</v>
      </c>
      <c r="BA74" s="324">
        <f t="shared" si="16"/>
        <v>208.57</v>
      </c>
      <c r="BB74" s="324">
        <f t="shared" si="17"/>
        <v>208.57</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370">
        <f>面积!A102</f>
        <v>69</v>
      </c>
      <c r="D75" s="217" t="s">
        <v>3133</v>
      </c>
      <c r="E75" s="324">
        <f t="shared" si="7"/>
        <v>618.26</v>
      </c>
      <c r="F75" s="325"/>
      <c r="G75" s="326">
        <f t="shared" si="8"/>
        <v>95.65</v>
      </c>
      <c r="H75" s="327">
        <f t="shared" si="9"/>
        <v>95.65</v>
      </c>
      <c r="I75" s="1417">
        <f>面积!E102</f>
        <v>95.65</v>
      </c>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69</v>
      </c>
      <c r="AY75" s="331">
        <f t="shared" si="14"/>
        <v>618.26</v>
      </c>
      <c r="AZ75" s="324">
        <f t="shared" si="15"/>
        <v>95.65</v>
      </c>
      <c r="BA75" s="324">
        <f t="shared" si="16"/>
        <v>95.65</v>
      </c>
      <c r="BB75" s="324">
        <f t="shared" si="17"/>
        <v>95.65</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370">
        <f>面积!A103</f>
        <v>70</v>
      </c>
      <c r="D76" s="217" t="s">
        <v>3133</v>
      </c>
      <c r="E76" s="324">
        <f t="shared" si="7"/>
        <v>498.55</v>
      </c>
      <c r="F76" s="325"/>
      <c r="G76" s="326">
        <f t="shared" si="8"/>
        <v>77.13</v>
      </c>
      <c r="H76" s="327">
        <f t="shared" si="9"/>
        <v>77.13</v>
      </c>
      <c r="I76" s="1417">
        <f>面积!E103</f>
        <v>77.13</v>
      </c>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70</v>
      </c>
      <c r="AY76" s="331">
        <f t="shared" si="14"/>
        <v>498.55</v>
      </c>
      <c r="AZ76" s="324">
        <f t="shared" si="15"/>
        <v>77.13</v>
      </c>
      <c r="BA76" s="324">
        <f t="shared" si="16"/>
        <v>77.13</v>
      </c>
      <c r="BB76" s="324">
        <f t="shared" si="17"/>
        <v>77.13</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370">
        <f>面积!A104</f>
        <v>71</v>
      </c>
      <c r="D77" s="217" t="s">
        <v>3133</v>
      </c>
      <c r="E77" s="324">
        <f t="shared" si="7"/>
        <v>780.63</v>
      </c>
      <c r="F77" s="325"/>
      <c r="G77" s="326">
        <f t="shared" si="8"/>
        <v>120.77</v>
      </c>
      <c r="H77" s="327">
        <f t="shared" si="9"/>
        <v>120.77</v>
      </c>
      <c r="I77" s="1417">
        <f>面积!E104</f>
        <v>120.77</v>
      </c>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71</v>
      </c>
      <c r="AY77" s="331">
        <f t="shared" si="14"/>
        <v>780.63</v>
      </c>
      <c r="AZ77" s="324">
        <f t="shared" si="15"/>
        <v>120.77</v>
      </c>
      <c r="BA77" s="324">
        <f t="shared" si="16"/>
        <v>120.77</v>
      </c>
      <c r="BB77" s="324">
        <f t="shared" si="17"/>
        <v>120.77</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370">
        <f>面积!A105</f>
        <v>72</v>
      </c>
      <c r="D78" s="217" t="s">
        <v>3133</v>
      </c>
      <c r="E78" s="324">
        <f t="shared" si="7"/>
        <v>159.27000000000001</v>
      </c>
      <c r="F78" s="325"/>
      <c r="G78" s="326">
        <f t="shared" si="8"/>
        <v>24.64</v>
      </c>
      <c r="H78" s="327">
        <f t="shared" si="9"/>
        <v>24.64</v>
      </c>
      <c r="I78" s="1417">
        <f>面积!E105</f>
        <v>24.64</v>
      </c>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72</v>
      </c>
      <c r="AY78" s="331">
        <f t="shared" si="14"/>
        <v>159.27000000000001</v>
      </c>
      <c r="AZ78" s="324">
        <f t="shared" si="15"/>
        <v>24.64</v>
      </c>
      <c r="BA78" s="324">
        <f t="shared" si="16"/>
        <v>24.64</v>
      </c>
      <c r="BB78" s="324">
        <f t="shared" si="17"/>
        <v>24.64</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370">
        <f>面积!A106</f>
        <v>73</v>
      </c>
      <c r="D79" s="217" t="s">
        <v>3133</v>
      </c>
      <c r="E79" s="324">
        <f t="shared" si="7"/>
        <v>392.22</v>
      </c>
      <c r="F79" s="325"/>
      <c r="G79" s="326">
        <f t="shared" si="8"/>
        <v>60.68</v>
      </c>
      <c r="H79" s="327">
        <f t="shared" si="9"/>
        <v>60.68</v>
      </c>
      <c r="I79" s="1417">
        <f>面积!E106</f>
        <v>60.68</v>
      </c>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73</v>
      </c>
      <c r="AY79" s="331">
        <f t="shared" si="14"/>
        <v>392.22</v>
      </c>
      <c r="AZ79" s="324">
        <f t="shared" si="15"/>
        <v>60.68</v>
      </c>
      <c r="BA79" s="324">
        <f t="shared" si="16"/>
        <v>60.68</v>
      </c>
      <c r="BB79" s="324">
        <f t="shared" si="17"/>
        <v>60.68</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370">
        <f>面积!A107</f>
        <v>74</v>
      </c>
      <c r="D80" s="217" t="s">
        <v>3133</v>
      </c>
      <c r="E80" s="324">
        <f t="shared" si="7"/>
        <v>209.68</v>
      </c>
      <c r="F80" s="325"/>
      <c r="G80" s="326">
        <f t="shared" si="8"/>
        <v>32.44</v>
      </c>
      <c r="H80" s="327">
        <f t="shared" si="9"/>
        <v>32.44</v>
      </c>
      <c r="I80" s="1417">
        <f>面积!E107</f>
        <v>32.44</v>
      </c>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74</v>
      </c>
      <c r="AY80" s="331">
        <f t="shared" si="14"/>
        <v>209.68</v>
      </c>
      <c r="AZ80" s="324">
        <f t="shared" si="15"/>
        <v>32.44</v>
      </c>
      <c r="BA80" s="324">
        <f t="shared" si="16"/>
        <v>32.44</v>
      </c>
      <c r="BB80" s="324">
        <f t="shared" si="17"/>
        <v>32.44</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370">
        <f>面积!A108</f>
        <v>75</v>
      </c>
      <c r="D81" s="217" t="s">
        <v>3133</v>
      </c>
      <c r="E81" s="324">
        <f t="shared" si="7"/>
        <v>1051.07</v>
      </c>
      <c r="F81" s="325"/>
      <c r="G81" s="326">
        <f t="shared" si="8"/>
        <v>162.61000000000001</v>
      </c>
      <c r="H81" s="327">
        <f t="shared" si="9"/>
        <v>162.61000000000001</v>
      </c>
      <c r="I81" s="1417">
        <f>面积!E108</f>
        <v>162.61000000000001</v>
      </c>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75</v>
      </c>
      <c r="AY81" s="331">
        <f t="shared" si="14"/>
        <v>1051.07</v>
      </c>
      <c r="AZ81" s="324">
        <f t="shared" si="15"/>
        <v>162.61000000000001</v>
      </c>
      <c r="BA81" s="324">
        <f t="shared" si="16"/>
        <v>162.61000000000001</v>
      </c>
      <c r="BB81" s="324">
        <f t="shared" si="17"/>
        <v>162.61000000000001</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370">
        <f>面积!A109</f>
        <v>76</v>
      </c>
      <c r="D82" s="217" t="s">
        <v>3133</v>
      </c>
      <c r="E82" s="324">
        <f t="shared" si="7"/>
        <v>533.33000000000004</v>
      </c>
      <c r="F82" s="325"/>
      <c r="G82" s="326">
        <f t="shared" si="8"/>
        <v>82.51</v>
      </c>
      <c r="H82" s="327">
        <f t="shared" si="9"/>
        <v>82.51</v>
      </c>
      <c r="I82" s="1417">
        <f>面积!E109</f>
        <v>82.51</v>
      </c>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76</v>
      </c>
      <c r="AY82" s="331">
        <f t="shared" si="14"/>
        <v>533.33000000000004</v>
      </c>
      <c r="AZ82" s="324">
        <f t="shared" si="15"/>
        <v>82.51</v>
      </c>
      <c r="BA82" s="324">
        <f t="shared" si="16"/>
        <v>82.51</v>
      </c>
      <c r="BB82" s="324">
        <f t="shared" si="17"/>
        <v>82.51</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370">
        <f>面积!A110</f>
        <v>77</v>
      </c>
      <c r="D83" s="217" t="s">
        <v>3133</v>
      </c>
      <c r="E83" s="324">
        <f t="shared" si="7"/>
        <v>654</v>
      </c>
      <c r="F83" s="325"/>
      <c r="G83" s="326">
        <f t="shared" si="8"/>
        <v>101.18</v>
      </c>
      <c r="H83" s="327">
        <f t="shared" si="9"/>
        <v>101.18</v>
      </c>
      <c r="I83" s="1417">
        <f>面积!E110</f>
        <v>101.18</v>
      </c>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77</v>
      </c>
      <c r="AY83" s="331">
        <f t="shared" si="14"/>
        <v>654</v>
      </c>
      <c r="AZ83" s="324">
        <f t="shared" si="15"/>
        <v>101.18</v>
      </c>
      <c r="BA83" s="324">
        <f t="shared" si="16"/>
        <v>101.18</v>
      </c>
      <c r="BB83" s="324">
        <f t="shared" si="17"/>
        <v>101.18</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370">
        <f>面积!A111</f>
        <v>78</v>
      </c>
      <c r="D84" s="217" t="s">
        <v>3133</v>
      </c>
      <c r="E84" s="324">
        <f t="shared" si="7"/>
        <v>75.5</v>
      </c>
      <c r="F84" s="325"/>
      <c r="G84" s="326">
        <f t="shared" si="8"/>
        <v>11.68</v>
      </c>
      <c r="H84" s="327">
        <f t="shared" si="9"/>
        <v>11.68</v>
      </c>
      <c r="I84" s="1417">
        <f>面积!E111</f>
        <v>11.68</v>
      </c>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78</v>
      </c>
      <c r="AY84" s="331">
        <f t="shared" si="14"/>
        <v>75.5</v>
      </c>
      <c r="AZ84" s="324">
        <f t="shared" si="15"/>
        <v>11.68</v>
      </c>
      <c r="BA84" s="324">
        <f t="shared" si="16"/>
        <v>11.68</v>
      </c>
      <c r="BB84" s="324">
        <f t="shared" si="17"/>
        <v>11.68</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370">
        <f>面积!A112</f>
        <v>79</v>
      </c>
      <c r="D85" s="217" t="s">
        <v>3133</v>
      </c>
      <c r="E85" s="324">
        <f t="shared" si="7"/>
        <v>912.23</v>
      </c>
      <c r="F85" s="325"/>
      <c r="G85" s="326">
        <f t="shared" si="8"/>
        <v>141.13</v>
      </c>
      <c r="H85" s="327">
        <f t="shared" si="9"/>
        <v>141.13</v>
      </c>
      <c r="I85" s="1417">
        <f>面积!E112</f>
        <v>141.13</v>
      </c>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79</v>
      </c>
      <c r="AY85" s="331">
        <f t="shared" si="14"/>
        <v>912.23</v>
      </c>
      <c r="AZ85" s="324">
        <f t="shared" si="15"/>
        <v>141.13</v>
      </c>
      <c r="BA85" s="324">
        <f t="shared" si="16"/>
        <v>141.13</v>
      </c>
      <c r="BB85" s="324">
        <f t="shared" si="17"/>
        <v>141.13</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370">
        <f>面积!A113</f>
        <v>80</v>
      </c>
      <c r="D86" s="217" t="s">
        <v>3133</v>
      </c>
      <c r="E86" s="324">
        <f t="shared" si="7"/>
        <v>762.72</v>
      </c>
      <c r="F86" s="325"/>
      <c r="G86" s="326">
        <f t="shared" si="8"/>
        <v>118</v>
      </c>
      <c r="H86" s="327">
        <f t="shared" si="9"/>
        <v>118</v>
      </c>
      <c r="I86" s="1417">
        <f>面积!E113</f>
        <v>118</v>
      </c>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80</v>
      </c>
      <c r="AY86" s="331">
        <f t="shared" si="14"/>
        <v>762.72</v>
      </c>
      <c r="AZ86" s="324">
        <f t="shared" si="15"/>
        <v>118</v>
      </c>
      <c r="BA86" s="324">
        <f t="shared" si="16"/>
        <v>118</v>
      </c>
      <c r="BB86" s="324">
        <f t="shared" si="17"/>
        <v>118</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370">
        <f>面积!A114</f>
        <v>81</v>
      </c>
      <c r="D87" s="217" t="s">
        <v>3133</v>
      </c>
      <c r="E87" s="324">
        <f t="shared" si="7"/>
        <v>339.67</v>
      </c>
      <c r="F87" s="325"/>
      <c r="G87" s="326">
        <f t="shared" si="8"/>
        <v>52.55</v>
      </c>
      <c r="H87" s="327">
        <f t="shared" si="9"/>
        <v>52.55</v>
      </c>
      <c r="I87" s="1417">
        <f>面积!E114</f>
        <v>52.55</v>
      </c>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81</v>
      </c>
      <c r="AY87" s="331">
        <f t="shared" si="14"/>
        <v>339.67</v>
      </c>
      <c r="AZ87" s="324">
        <f t="shared" si="15"/>
        <v>52.55</v>
      </c>
      <c r="BA87" s="324">
        <f t="shared" si="16"/>
        <v>52.55</v>
      </c>
      <c r="BB87" s="324">
        <f t="shared" si="17"/>
        <v>52.55</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370">
        <f>面积!A115</f>
        <v>82</v>
      </c>
      <c r="D88" s="217" t="s">
        <v>3133</v>
      </c>
      <c r="E88" s="324">
        <f t="shared" si="7"/>
        <v>81.510000000000005</v>
      </c>
      <c r="F88" s="325"/>
      <c r="G88" s="326">
        <f t="shared" si="8"/>
        <v>12.61</v>
      </c>
      <c r="H88" s="327">
        <f t="shared" si="9"/>
        <v>12.61</v>
      </c>
      <c r="I88" s="1417">
        <f>面积!E115</f>
        <v>12.61</v>
      </c>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82</v>
      </c>
      <c r="AY88" s="331">
        <f t="shared" si="14"/>
        <v>81.510000000000005</v>
      </c>
      <c r="AZ88" s="324">
        <f t="shared" si="15"/>
        <v>12.61</v>
      </c>
      <c r="BA88" s="324">
        <f t="shared" si="16"/>
        <v>12.61</v>
      </c>
      <c r="BB88" s="324">
        <f t="shared" si="17"/>
        <v>12.61</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370">
        <f>面积!A116</f>
        <v>83</v>
      </c>
      <c r="D89" s="217" t="s">
        <v>3133</v>
      </c>
      <c r="E89" s="324">
        <f t="shared" si="7"/>
        <v>180.86</v>
      </c>
      <c r="F89" s="325"/>
      <c r="G89" s="326">
        <f t="shared" si="8"/>
        <v>27.98</v>
      </c>
      <c r="H89" s="327">
        <f t="shared" si="9"/>
        <v>27.98</v>
      </c>
      <c r="I89" s="1417">
        <f>面积!E116</f>
        <v>27.98</v>
      </c>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83</v>
      </c>
      <c r="AY89" s="331">
        <f t="shared" si="14"/>
        <v>180.86</v>
      </c>
      <c r="AZ89" s="324">
        <f t="shared" si="15"/>
        <v>27.98</v>
      </c>
      <c r="BA89" s="324">
        <f t="shared" si="16"/>
        <v>27.98</v>
      </c>
      <c r="BB89" s="324">
        <f t="shared" si="17"/>
        <v>27.98</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370">
        <f>面积!A117</f>
        <v>84</v>
      </c>
      <c r="D90" s="217" t="s">
        <v>3133</v>
      </c>
      <c r="E90" s="324">
        <f t="shared" si="7"/>
        <v>1932.34</v>
      </c>
      <c r="F90" s="325"/>
      <c r="G90" s="326">
        <f t="shared" si="8"/>
        <v>298.95</v>
      </c>
      <c r="H90" s="327">
        <f t="shared" si="9"/>
        <v>298.95</v>
      </c>
      <c r="I90" s="1417">
        <f>面积!E117</f>
        <v>298.95</v>
      </c>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84</v>
      </c>
      <c r="AY90" s="331">
        <f t="shared" si="14"/>
        <v>1932.34</v>
      </c>
      <c r="AZ90" s="324">
        <f t="shared" si="15"/>
        <v>298.95</v>
      </c>
      <c r="BA90" s="324">
        <f t="shared" si="16"/>
        <v>298.95</v>
      </c>
      <c r="BB90" s="324">
        <f t="shared" si="17"/>
        <v>298.95</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370">
        <f>面积!A118</f>
        <v>85</v>
      </c>
      <c r="D91" s="217" t="s">
        <v>3133</v>
      </c>
      <c r="E91" s="324">
        <f t="shared" si="7"/>
        <v>602.54999999999995</v>
      </c>
      <c r="F91" s="325"/>
      <c r="G91" s="326">
        <f t="shared" si="8"/>
        <v>93.22</v>
      </c>
      <c r="H91" s="327">
        <f t="shared" si="9"/>
        <v>93.22</v>
      </c>
      <c r="I91" s="1417">
        <f>面积!E118</f>
        <v>93.22</v>
      </c>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85</v>
      </c>
      <c r="AY91" s="331">
        <f t="shared" si="14"/>
        <v>602.54999999999995</v>
      </c>
      <c r="AZ91" s="324">
        <f t="shared" si="15"/>
        <v>93.22</v>
      </c>
      <c r="BA91" s="324">
        <f t="shared" si="16"/>
        <v>93.22</v>
      </c>
      <c r="BB91" s="324">
        <f t="shared" si="17"/>
        <v>93.22</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370">
        <f>面积!A119</f>
        <v>86</v>
      </c>
      <c r="D92" s="217" t="s">
        <v>3133</v>
      </c>
      <c r="E92" s="324">
        <f t="shared" si="7"/>
        <v>654.91</v>
      </c>
      <c r="F92" s="325"/>
      <c r="G92" s="326">
        <f t="shared" si="8"/>
        <v>101.32</v>
      </c>
      <c r="H92" s="327">
        <f t="shared" si="9"/>
        <v>101.32</v>
      </c>
      <c r="I92" s="1417">
        <f>面积!E119</f>
        <v>101.32</v>
      </c>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86</v>
      </c>
      <c r="AY92" s="331">
        <f t="shared" si="14"/>
        <v>654.91</v>
      </c>
      <c r="AZ92" s="324">
        <f t="shared" si="15"/>
        <v>101.32</v>
      </c>
      <c r="BA92" s="324">
        <f t="shared" si="16"/>
        <v>101.32</v>
      </c>
      <c r="BB92" s="324">
        <f t="shared" si="17"/>
        <v>101.32</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370">
        <f>面积!A120</f>
        <v>87</v>
      </c>
      <c r="D93" s="217" t="s">
        <v>3133</v>
      </c>
      <c r="E93" s="324">
        <f t="shared" si="7"/>
        <v>536.69000000000005</v>
      </c>
      <c r="F93" s="325"/>
      <c r="G93" s="326">
        <f t="shared" si="8"/>
        <v>83.03</v>
      </c>
      <c r="H93" s="327">
        <f t="shared" si="9"/>
        <v>83.03</v>
      </c>
      <c r="I93" s="1417">
        <f>面积!E120</f>
        <v>83.03</v>
      </c>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87</v>
      </c>
      <c r="AY93" s="331">
        <f t="shared" si="14"/>
        <v>536.69000000000005</v>
      </c>
      <c r="AZ93" s="324">
        <f t="shared" si="15"/>
        <v>83.03</v>
      </c>
      <c r="BA93" s="324">
        <f t="shared" si="16"/>
        <v>83.03</v>
      </c>
      <c r="BB93" s="324">
        <f t="shared" si="17"/>
        <v>83.03</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370">
        <f>面积!A121</f>
        <v>88</v>
      </c>
      <c r="D94" s="217" t="s">
        <v>3133</v>
      </c>
      <c r="E94" s="324">
        <f t="shared" si="7"/>
        <v>533.33000000000004</v>
      </c>
      <c r="F94" s="325"/>
      <c r="G94" s="326">
        <f t="shared" si="8"/>
        <v>82.51</v>
      </c>
      <c r="H94" s="327">
        <f t="shared" si="9"/>
        <v>82.51</v>
      </c>
      <c r="I94" s="1417">
        <f>面积!E121</f>
        <v>82.51</v>
      </c>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88</v>
      </c>
      <c r="AY94" s="331">
        <f t="shared" si="14"/>
        <v>533.33000000000004</v>
      </c>
      <c r="AZ94" s="324">
        <f t="shared" si="15"/>
        <v>82.51</v>
      </c>
      <c r="BA94" s="324">
        <f t="shared" si="16"/>
        <v>82.51</v>
      </c>
      <c r="BB94" s="324">
        <f t="shared" si="17"/>
        <v>82.51</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370">
        <f>面积!A122</f>
        <v>89</v>
      </c>
      <c r="D95" s="217" t="s">
        <v>3133</v>
      </c>
      <c r="E95" s="324">
        <f t="shared" si="7"/>
        <v>63.47</v>
      </c>
      <c r="F95" s="325"/>
      <c r="G95" s="326">
        <f t="shared" si="8"/>
        <v>9.82</v>
      </c>
      <c r="H95" s="327">
        <f t="shared" si="9"/>
        <v>9.82</v>
      </c>
      <c r="I95" s="1417">
        <f>面积!E122</f>
        <v>9.82</v>
      </c>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89</v>
      </c>
      <c r="AY95" s="331">
        <f t="shared" si="14"/>
        <v>63.47</v>
      </c>
      <c r="AZ95" s="324">
        <f t="shared" si="15"/>
        <v>9.82</v>
      </c>
      <c r="BA95" s="324">
        <f t="shared" si="16"/>
        <v>9.82</v>
      </c>
      <c r="BB95" s="324">
        <f t="shared" si="17"/>
        <v>9.82</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370">
        <f>面积!A123</f>
        <v>90</v>
      </c>
      <c r="D96" s="217" t="s">
        <v>3133</v>
      </c>
      <c r="E96" s="324">
        <f t="shared" si="7"/>
        <v>63.47</v>
      </c>
      <c r="F96" s="325"/>
      <c r="G96" s="326">
        <f t="shared" si="8"/>
        <v>9.82</v>
      </c>
      <c r="H96" s="327">
        <f t="shared" si="9"/>
        <v>9.82</v>
      </c>
      <c r="I96" s="1417">
        <f>面积!E123</f>
        <v>9.82</v>
      </c>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90</v>
      </c>
      <c r="AY96" s="331">
        <f t="shared" si="14"/>
        <v>63.47</v>
      </c>
      <c r="AZ96" s="324">
        <f t="shared" si="15"/>
        <v>9.82</v>
      </c>
      <c r="BA96" s="324">
        <f t="shared" si="16"/>
        <v>9.82</v>
      </c>
      <c r="BB96" s="324">
        <f t="shared" si="17"/>
        <v>9.82</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370">
        <f>面积!A124</f>
        <v>91</v>
      </c>
      <c r="D97" s="217" t="s">
        <v>3133</v>
      </c>
      <c r="E97" s="324">
        <f t="shared" si="7"/>
        <v>1577.87</v>
      </c>
      <c r="F97" s="325"/>
      <c r="G97" s="326">
        <f t="shared" si="8"/>
        <v>244.11</v>
      </c>
      <c r="H97" s="327">
        <f t="shared" si="9"/>
        <v>244.11</v>
      </c>
      <c r="I97" s="1417">
        <f>面积!E124</f>
        <v>244.11</v>
      </c>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91</v>
      </c>
      <c r="AY97" s="331">
        <f t="shared" si="14"/>
        <v>1577.87</v>
      </c>
      <c r="AZ97" s="324">
        <f t="shared" si="15"/>
        <v>244.11</v>
      </c>
      <c r="BA97" s="324">
        <f t="shared" si="16"/>
        <v>244.11</v>
      </c>
      <c r="BB97" s="324">
        <f t="shared" si="17"/>
        <v>244.11</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370">
        <f>面积!A125</f>
        <v>92</v>
      </c>
      <c r="D98" s="217" t="s">
        <v>3133</v>
      </c>
      <c r="E98" s="324">
        <f t="shared" si="7"/>
        <v>108.85</v>
      </c>
      <c r="F98" s="325"/>
      <c r="G98" s="326">
        <f t="shared" si="8"/>
        <v>16.84</v>
      </c>
      <c r="H98" s="327">
        <f t="shared" si="9"/>
        <v>16.84</v>
      </c>
      <c r="I98" s="1417">
        <f>面积!E125</f>
        <v>16.84</v>
      </c>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92</v>
      </c>
      <c r="AY98" s="331">
        <f t="shared" si="14"/>
        <v>108.85</v>
      </c>
      <c r="AZ98" s="324">
        <f t="shared" si="15"/>
        <v>16.84</v>
      </c>
      <c r="BA98" s="324">
        <f t="shared" si="16"/>
        <v>16.84</v>
      </c>
      <c r="BB98" s="324">
        <f t="shared" si="17"/>
        <v>16.84</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370">
        <f>面积!A126</f>
        <v>93</v>
      </c>
      <c r="D99" s="217" t="s">
        <v>3133</v>
      </c>
      <c r="E99" s="324">
        <f t="shared" si="7"/>
        <v>455.82</v>
      </c>
      <c r="F99" s="325"/>
      <c r="G99" s="326">
        <f t="shared" si="8"/>
        <v>70.52</v>
      </c>
      <c r="H99" s="327">
        <f t="shared" si="9"/>
        <v>70.52</v>
      </c>
      <c r="I99" s="1417">
        <f>面积!E126</f>
        <v>70.52</v>
      </c>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93</v>
      </c>
      <c r="AY99" s="331">
        <f t="shared" si="14"/>
        <v>455.82</v>
      </c>
      <c r="AZ99" s="324">
        <f t="shared" si="15"/>
        <v>70.52</v>
      </c>
      <c r="BA99" s="324">
        <f t="shared" si="16"/>
        <v>70.52</v>
      </c>
      <c r="BB99" s="324">
        <f t="shared" si="17"/>
        <v>70.52</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370">
        <f>面积!A127</f>
        <v>94</v>
      </c>
      <c r="D100" s="217" t="s">
        <v>3133</v>
      </c>
      <c r="E100" s="324">
        <f t="shared" si="7"/>
        <v>243.3</v>
      </c>
      <c r="F100" s="325"/>
      <c r="G100" s="326">
        <f t="shared" si="8"/>
        <v>37.64</v>
      </c>
      <c r="H100" s="327">
        <f t="shared" si="9"/>
        <v>37.64</v>
      </c>
      <c r="I100" s="1417">
        <f>面积!E127</f>
        <v>37.64</v>
      </c>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94</v>
      </c>
      <c r="AY100" s="331">
        <f t="shared" si="14"/>
        <v>243.3</v>
      </c>
      <c r="AZ100" s="324">
        <f t="shared" si="15"/>
        <v>37.64</v>
      </c>
      <c r="BA100" s="324">
        <f t="shared" si="16"/>
        <v>37.64</v>
      </c>
      <c r="BB100" s="324">
        <f t="shared" si="17"/>
        <v>37.64</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370">
        <f>面积!A128</f>
        <v>95</v>
      </c>
      <c r="D101" s="217" t="s">
        <v>3133</v>
      </c>
      <c r="E101" s="324">
        <f t="shared" si="7"/>
        <v>1153.3900000000001</v>
      </c>
      <c r="F101" s="325"/>
      <c r="G101" s="326">
        <f t="shared" si="8"/>
        <v>178.44</v>
      </c>
      <c r="H101" s="327">
        <f t="shared" si="9"/>
        <v>178.44</v>
      </c>
      <c r="I101" s="1417">
        <f>面积!E128</f>
        <v>178.44</v>
      </c>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95</v>
      </c>
      <c r="AY101" s="331">
        <f t="shared" si="14"/>
        <v>1153.3900000000001</v>
      </c>
      <c r="AZ101" s="324">
        <f t="shared" si="15"/>
        <v>178.44</v>
      </c>
      <c r="BA101" s="324">
        <f t="shared" si="16"/>
        <v>178.44</v>
      </c>
      <c r="BB101" s="324">
        <f t="shared" si="17"/>
        <v>178.44</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370">
        <f>面积!A129</f>
        <v>96</v>
      </c>
      <c r="D102" s="217" t="s">
        <v>3133</v>
      </c>
      <c r="E102" s="324">
        <f t="shared" si="7"/>
        <v>394.42</v>
      </c>
      <c r="F102" s="325"/>
      <c r="G102" s="326">
        <f t="shared" si="8"/>
        <v>61.02</v>
      </c>
      <c r="H102" s="327">
        <f t="shared" si="9"/>
        <v>61.02</v>
      </c>
      <c r="I102" s="1417">
        <f>面积!E129</f>
        <v>61.02</v>
      </c>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96</v>
      </c>
      <c r="AY102" s="331">
        <f t="shared" si="14"/>
        <v>394.42</v>
      </c>
      <c r="AZ102" s="324">
        <f t="shared" si="15"/>
        <v>61.02</v>
      </c>
      <c r="BA102" s="324">
        <f t="shared" si="16"/>
        <v>61.02</v>
      </c>
      <c r="BB102" s="324">
        <f t="shared" si="17"/>
        <v>61.02</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370">
        <f>面积!A130</f>
        <v>97</v>
      </c>
      <c r="D103" s="217" t="s">
        <v>3133</v>
      </c>
      <c r="E103" s="324">
        <f t="shared" si="7"/>
        <v>258.16000000000003</v>
      </c>
      <c r="F103" s="325"/>
      <c r="G103" s="326">
        <f t="shared" si="8"/>
        <v>39.94</v>
      </c>
      <c r="H103" s="327">
        <f t="shared" si="9"/>
        <v>39.94</v>
      </c>
      <c r="I103" s="1417">
        <f>面积!E130</f>
        <v>39.94</v>
      </c>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97</v>
      </c>
      <c r="AY103" s="331">
        <f t="shared" si="14"/>
        <v>258.16000000000003</v>
      </c>
      <c r="AZ103" s="324">
        <f t="shared" si="15"/>
        <v>39.94</v>
      </c>
      <c r="BA103" s="324">
        <f t="shared" si="16"/>
        <v>39.94</v>
      </c>
      <c r="BB103" s="324">
        <f t="shared" si="17"/>
        <v>39.94</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370">
        <f>面积!A131</f>
        <v>98</v>
      </c>
      <c r="D104" s="217" t="s">
        <v>3133</v>
      </c>
      <c r="E104" s="324">
        <f t="shared" si="7"/>
        <v>291.26</v>
      </c>
      <c r="F104" s="325"/>
      <c r="G104" s="326">
        <f t="shared" si="8"/>
        <v>45.06</v>
      </c>
      <c r="H104" s="327">
        <f t="shared" si="9"/>
        <v>45.06</v>
      </c>
      <c r="I104" s="1417">
        <f>面积!E131</f>
        <v>45.06</v>
      </c>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98</v>
      </c>
      <c r="AY104" s="331">
        <f t="shared" si="14"/>
        <v>291.26</v>
      </c>
      <c r="AZ104" s="324">
        <f t="shared" si="15"/>
        <v>45.06</v>
      </c>
      <c r="BA104" s="324">
        <f t="shared" si="16"/>
        <v>45.06</v>
      </c>
      <c r="BB104" s="324">
        <f t="shared" si="17"/>
        <v>45.06</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370">
        <f>面积!A132</f>
        <v>99</v>
      </c>
      <c r="D105" s="217" t="s">
        <v>3133</v>
      </c>
      <c r="E105" s="324">
        <f t="shared" si="7"/>
        <v>79.25</v>
      </c>
      <c r="F105" s="325"/>
      <c r="G105" s="326">
        <f t="shared" si="8"/>
        <v>12.26</v>
      </c>
      <c r="H105" s="327">
        <f t="shared" si="9"/>
        <v>12.26</v>
      </c>
      <c r="I105" s="1417">
        <f>面积!E132</f>
        <v>12.26</v>
      </c>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99</v>
      </c>
      <c r="AY105" s="331">
        <f t="shared" si="14"/>
        <v>79.25</v>
      </c>
      <c r="AZ105" s="324">
        <f t="shared" si="15"/>
        <v>12.26</v>
      </c>
      <c r="BA105" s="324">
        <f t="shared" si="16"/>
        <v>12.26</v>
      </c>
      <c r="BB105" s="324">
        <f t="shared" si="17"/>
        <v>12.26</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370">
        <f>面积!A133</f>
        <v>100</v>
      </c>
      <c r="D106" s="217" t="s">
        <v>3133</v>
      </c>
      <c r="E106" s="324">
        <f t="shared" si="7"/>
        <v>719.42</v>
      </c>
      <c r="F106" s="325"/>
      <c r="G106" s="326">
        <f t="shared" si="8"/>
        <v>111.3</v>
      </c>
      <c r="H106" s="327">
        <f t="shared" si="9"/>
        <v>111.3</v>
      </c>
      <c r="I106" s="1417">
        <f>面积!E133</f>
        <v>111.3</v>
      </c>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100</v>
      </c>
      <c r="AY106" s="331">
        <f t="shared" si="14"/>
        <v>719.42</v>
      </c>
      <c r="AZ106" s="324">
        <f t="shared" si="15"/>
        <v>111.3</v>
      </c>
      <c r="BA106" s="324">
        <f t="shared" si="16"/>
        <v>111.3</v>
      </c>
      <c r="BB106" s="324">
        <f t="shared" si="17"/>
        <v>111.3</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370">
        <f>面积!A134</f>
        <v>101</v>
      </c>
      <c r="D107" s="217" t="s">
        <v>3133</v>
      </c>
      <c r="E107" s="324">
        <f t="shared" si="7"/>
        <v>104.97</v>
      </c>
      <c r="F107" s="325"/>
      <c r="G107" s="326">
        <f t="shared" si="8"/>
        <v>16.239999999999998</v>
      </c>
      <c r="H107" s="327">
        <f t="shared" si="9"/>
        <v>16.239999999999998</v>
      </c>
      <c r="I107" s="1417">
        <f>面积!E134</f>
        <v>16.239999999999998</v>
      </c>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101</v>
      </c>
      <c r="AY107" s="331">
        <f t="shared" si="14"/>
        <v>104.97</v>
      </c>
      <c r="AZ107" s="324">
        <f t="shared" si="15"/>
        <v>16.239999999999998</v>
      </c>
      <c r="BA107" s="324">
        <f t="shared" si="16"/>
        <v>16.239999999999998</v>
      </c>
      <c r="BB107" s="324">
        <f t="shared" si="17"/>
        <v>16.239999999999998</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370">
        <f>面积!A135</f>
        <v>102</v>
      </c>
      <c r="D108" s="217" t="s">
        <v>3133</v>
      </c>
      <c r="E108" s="324">
        <f t="shared" si="7"/>
        <v>8053.98</v>
      </c>
      <c r="F108" s="325"/>
      <c r="G108" s="326">
        <f t="shared" si="8"/>
        <v>1246.02</v>
      </c>
      <c r="H108" s="327">
        <f t="shared" si="9"/>
        <v>1246.02</v>
      </c>
      <c r="I108" s="1417">
        <f>面积!E135</f>
        <v>1246.02</v>
      </c>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102</v>
      </c>
      <c r="AY108" s="331">
        <f t="shared" si="14"/>
        <v>8053.98</v>
      </c>
      <c r="AZ108" s="324">
        <f t="shared" si="15"/>
        <v>1246.02</v>
      </c>
      <c r="BA108" s="324">
        <f t="shared" si="16"/>
        <v>1246.02</v>
      </c>
      <c r="BB108" s="324">
        <f t="shared" si="17"/>
        <v>1246.02</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370">
        <f>面积!A136</f>
        <v>103</v>
      </c>
      <c r="D109" s="217" t="s">
        <v>3133</v>
      </c>
      <c r="E109" s="324">
        <f t="shared" si="7"/>
        <v>144.21</v>
      </c>
      <c r="F109" s="325"/>
      <c r="G109" s="326">
        <f t="shared" si="8"/>
        <v>22.31</v>
      </c>
      <c r="H109" s="327">
        <f t="shared" si="9"/>
        <v>22.31</v>
      </c>
      <c r="I109" s="1417">
        <f>面积!E136</f>
        <v>22.31</v>
      </c>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103</v>
      </c>
      <c r="AY109" s="331">
        <f t="shared" si="14"/>
        <v>144.21</v>
      </c>
      <c r="AZ109" s="324">
        <f t="shared" si="15"/>
        <v>22.31</v>
      </c>
      <c r="BA109" s="324">
        <f t="shared" si="16"/>
        <v>22.31</v>
      </c>
      <c r="BB109" s="324">
        <f t="shared" si="17"/>
        <v>22.31</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3370">
        <f>面积!A137</f>
        <v>104</v>
      </c>
      <c r="D110" s="217" t="s">
        <v>3133</v>
      </c>
      <c r="E110" s="324">
        <f t="shared" si="7"/>
        <v>625.04999999999995</v>
      </c>
      <c r="F110" s="333"/>
      <c r="G110" s="326">
        <f t="shared" ref="G110:G141" si="36">H110+AC110+AT110</f>
        <v>96.7</v>
      </c>
      <c r="H110" s="327">
        <f t="shared" ref="H110:H141" si="37">SUMIF(I$12:AB$12,"总值",I110:AB110)</f>
        <v>96.7</v>
      </c>
      <c r="I110" s="1417">
        <f>面积!E137</f>
        <v>96.7</v>
      </c>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104</v>
      </c>
      <c r="AY110" s="331">
        <f t="shared" ref="AY110:AY141" si="39">ROUND($AY$6*AZ110/$AZ$5,2)</f>
        <v>625.04999999999995</v>
      </c>
      <c r="AZ110" s="324">
        <f t="shared" ref="AZ110:AZ141" si="40">BA110+BL110</f>
        <v>96.7</v>
      </c>
      <c r="BA110" s="324">
        <f t="shared" ref="BA110:BA141" si="41">SUM(BB110:BK110)</f>
        <v>96.7</v>
      </c>
      <c r="BB110" s="324">
        <f t="shared" ref="BB110:BB141" si="42">IF($D110="是",I110-J110,0)</f>
        <v>96.7</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3370">
        <f>面积!A138</f>
        <v>105</v>
      </c>
      <c r="D111" s="217" t="s">
        <v>3133</v>
      </c>
      <c r="E111" s="324">
        <f t="shared" si="7"/>
        <v>1526.74</v>
      </c>
      <c r="F111" s="333"/>
      <c r="G111" s="326">
        <f t="shared" si="36"/>
        <v>236.2</v>
      </c>
      <c r="H111" s="327">
        <f t="shared" si="37"/>
        <v>236.2</v>
      </c>
      <c r="I111" s="1417">
        <f>面积!E138</f>
        <v>236.2</v>
      </c>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105</v>
      </c>
      <c r="AY111" s="331">
        <f t="shared" si="39"/>
        <v>1526.74</v>
      </c>
      <c r="AZ111" s="324">
        <f t="shared" si="40"/>
        <v>236.2</v>
      </c>
      <c r="BA111" s="324">
        <f t="shared" si="41"/>
        <v>236.2</v>
      </c>
      <c r="BB111" s="324">
        <f t="shared" si="42"/>
        <v>236.2</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3370">
        <f>面积!A139</f>
        <v>106</v>
      </c>
      <c r="D112" s="217" t="s">
        <v>3133</v>
      </c>
      <c r="E112" s="324">
        <f t="shared" si="7"/>
        <v>378.91</v>
      </c>
      <c r="F112" s="333"/>
      <c r="G112" s="326">
        <f t="shared" si="36"/>
        <v>58.62</v>
      </c>
      <c r="H112" s="327">
        <f t="shared" si="37"/>
        <v>58.62</v>
      </c>
      <c r="I112" s="1417">
        <f>面积!E139</f>
        <v>58.62</v>
      </c>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106</v>
      </c>
      <c r="AY112" s="331">
        <f t="shared" si="39"/>
        <v>378.91</v>
      </c>
      <c r="AZ112" s="324">
        <f t="shared" si="40"/>
        <v>58.62</v>
      </c>
      <c r="BA112" s="324">
        <f t="shared" si="41"/>
        <v>58.62</v>
      </c>
      <c r="BB112" s="324">
        <f t="shared" si="42"/>
        <v>58.62</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370">
        <f>面积!A140</f>
        <v>107</v>
      </c>
      <c r="D113" s="217" t="s">
        <v>3133</v>
      </c>
      <c r="E113" s="324">
        <f t="shared" ref="E113:E144" si="61">IF($C$3="是",ROUND($A$3*G113/$B$3,2),ROUND($A$3*(G113-AT113)/$B$3,2))</f>
        <v>294.68</v>
      </c>
      <c r="F113" s="325"/>
      <c r="G113" s="326">
        <f t="shared" si="36"/>
        <v>45.59</v>
      </c>
      <c r="H113" s="327">
        <f t="shared" si="37"/>
        <v>45.59</v>
      </c>
      <c r="I113" s="1417">
        <f>面积!E140</f>
        <v>45.59</v>
      </c>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107</v>
      </c>
      <c r="AY113" s="331">
        <f t="shared" si="39"/>
        <v>294.68</v>
      </c>
      <c r="AZ113" s="324">
        <f t="shared" si="40"/>
        <v>45.59</v>
      </c>
      <c r="BA113" s="324">
        <f t="shared" si="41"/>
        <v>45.59</v>
      </c>
      <c r="BB113" s="324">
        <f t="shared" si="42"/>
        <v>45.59</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370">
        <f>面积!A141</f>
        <v>108</v>
      </c>
      <c r="D114" s="217" t="s">
        <v>3133</v>
      </c>
      <c r="E114" s="324">
        <f t="shared" si="61"/>
        <v>787.67</v>
      </c>
      <c r="F114" s="325"/>
      <c r="G114" s="326">
        <f t="shared" si="36"/>
        <v>121.86</v>
      </c>
      <c r="H114" s="327">
        <f t="shared" si="37"/>
        <v>121.86</v>
      </c>
      <c r="I114" s="1417">
        <f>面积!E141</f>
        <v>121.86</v>
      </c>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108</v>
      </c>
      <c r="AY114" s="331">
        <f t="shared" si="39"/>
        <v>787.67</v>
      </c>
      <c r="AZ114" s="324">
        <f t="shared" si="40"/>
        <v>121.86</v>
      </c>
      <c r="BA114" s="324">
        <f t="shared" si="41"/>
        <v>121.86</v>
      </c>
      <c r="BB114" s="324">
        <f t="shared" si="42"/>
        <v>121.86</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370">
        <f>面积!A142</f>
        <v>109</v>
      </c>
      <c r="D115" s="217" t="s">
        <v>3133</v>
      </c>
      <c r="E115" s="324">
        <f t="shared" si="61"/>
        <v>1933.83</v>
      </c>
      <c r="F115" s="325"/>
      <c r="G115" s="326">
        <f t="shared" si="36"/>
        <v>299.18</v>
      </c>
      <c r="H115" s="327">
        <f t="shared" si="37"/>
        <v>299.18</v>
      </c>
      <c r="I115" s="1417">
        <f>面积!E142</f>
        <v>299.18</v>
      </c>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109</v>
      </c>
      <c r="AY115" s="331">
        <f t="shared" si="39"/>
        <v>1933.83</v>
      </c>
      <c r="AZ115" s="324">
        <f t="shared" si="40"/>
        <v>299.18</v>
      </c>
      <c r="BA115" s="324">
        <f t="shared" si="41"/>
        <v>299.18</v>
      </c>
      <c r="BB115" s="324">
        <f t="shared" si="42"/>
        <v>299.18</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370">
        <f>面积!A143</f>
        <v>110</v>
      </c>
      <c r="D116" s="217" t="s">
        <v>3133</v>
      </c>
      <c r="E116" s="324">
        <f t="shared" si="61"/>
        <v>610.30999999999995</v>
      </c>
      <c r="F116" s="325"/>
      <c r="G116" s="326">
        <f t="shared" si="36"/>
        <v>94.42</v>
      </c>
      <c r="H116" s="327">
        <f t="shared" si="37"/>
        <v>94.42</v>
      </c>
      <c r="I116" s="1417">
        <f>面积!E143</f>
        <v>94.42</v>
      </c>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110</v>
      </c>
      <c r="AY116" s="331">
        <f t="shared" si="39"/>
        <v>610.30999999999995</v>
      </c>
      <c r="AZ116" s="324">
        <f t="shared" si="40"/>
        <v>94.42</v>
      </c>
      <c r="BA116" s="324">
        <f t="shared" si="41"/>
        <v>94.42</v>
      </c>
      <c r="BB116" s="324">
        <f t="shared" si="42"/>
        <v>94.42</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370">
        <f>面积!A144</f>
        <v>111</v>
      </c>
      <c r="D117" s="217" t="s">
        <v>3133</v>
      </c>
      <c r="E117" s="324">
        <f t="shared" si="61"/>
        <v>218.22</v>
      </c>
      <c r="F117" s="325"/>
      <c r="G117" s="326">
        <f t="shared" si="36"/>
        <v>33.76</v>
      </c>
      <c r="H117" s="327">
        <f t="shared" si="37"/>
        <v>33.76</v>
      </c>
      <c r="I117" s="1417">
        <f>面积!E144</f>
        <v>33.76</v>
      </c>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111</v>
      </c>
      <c r="AY117" s="331">
        <f t="shared" si="39"/>
        <v>218.22</v>
      </c>
      <c r="AZ117" s="324">
        <f t="shared" si="40"/>
        <v>33.76</v>
      </c>
      <c r="BA117" s="324">
        <f t="shared" si="41"/>
        <v>33.76</v>
      </c>
      <c r="BB117" s="324">
        <f t="shared" si="42"/>
        <v>33.76</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370">
        <f>面积!A145</f>
        <v>112</v>
      </c>
      <c r="D118" s="217" t="s">
        <v>3133</v>
      </c>
      <c r="E118" s="324">
        <f t="shared" si="61"/>
        <v>1713.48</v>
      </c>
      <c r="F118" s="325"/>
      <c r="G118" s="326">
        <f t="shared" si="36"/>
        <v>265.08999999999997</v>
      </c>
      <c r="H118" s="327">
        <f t="shared" si="37"/>
        <v>265.08999999999997</v>
      </c>
      <c r="I118" s="1417">
        <f>面积!E145</f>
        <v>265.08999999999997</v>
      </c>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112</v>
      </c>
      <c r="AY118" s="331">
        <f t="shared" si="39"/>
        <v>1713.48</v>
      </c>
      <c r="AZ118" s="324">
        <f t="shared" si="40"/>
        <v>265.08999999999997</v>
      </c>
      <c r="BA118" s="324">
        <f t="shared" si="41"/>
        <v>265.08999999999997</v>
      </c>
      <c r="BB118" s="324">
        <f t="shared" si="42"/>
        <v>265.08999999999997</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370">
        <f>面积!A146</f>
        <v>113</v>
      </c>
      <c r="D119" s="217" t="s">
        <v>3133</v>
      </c>
      <c r="E119" s="324">
        <f t="shared" si="61"/>
        <v>807.58</v>
      </c>
      <c r="F119" s="325"/>
      <c r="G119" s="326">
        <f t="shared" si="36"/>
        <v>124.94</v>
      </c>
      <c r="H119" s="327">
        <f t="shared" si="37"/>
        <v>124.94</v>
      </c>
      <c r="I119" s="1417">
        <f>面积!E146</f>
        <v>124.94</v>
      </c>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113</v>
      </c>
      <c r="AY119" s="331">
        <f t="shared" si="39"/>
        <v>807.58</v>
      </c>
      <c r="AZ119" s="324">
        <f t="shared" si="40"/>
        <v>124.94</v>
      </c>
      <c r="BA119" s="324">
        <f t="shared" si="41"/>
        <v>124.94</v>
      </c>
      <c r="BB119" s="324">
        <f t="shared" si="42"/>
        <v>124.94</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370">
        <f>面积!A147</f>
        <v>114</v>
      </c>
      <c r="D120" s="217" t="s">
        <v>3133</v>
      </c>
      <c r="E120" s="324">
        <f t="shared" si="61"/>
        <v>1618.46</v>
      </c>
      <c r="F120" s="325"/>
      <c r="G120" s="326">
        <f t="shared" si="36"/>
        <v>250.39</v>
      </c>
      <c r="H120" s="327">
        <f t="shared" si="37"/>
        <v>250.39</v>
      </c>
      <c r="I120" s="1417">
        <f>面积!E147</f>
        <v>250.39</v>
      </c>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114</v>
      </c>
      <c r="AY120" s="331">
        <f t="shared" si="39"/>
        <v>1618.46</v>
      </c>
      <c r="AZ120" s="324">
        <f t="shared" si="40"/>
        <v>250.39</v>
      </c>
      <c r="BA120" s="324">
        <f t="shared" si="41"/>
        <v>250.39</v>
      </c>
      <c r="BB120" s="324">
        <f t="shared" si="42"/>
        <v>250.39</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370">
        <f>面积!A148</f>
        <v>115</v>
      </c>
      <c r="D121" s="217" t="s">
        <v>3133</v>
      </c>
      <c r="E121" s="324">
        <f t="shared" si="61"/>
        <v>316.39999999999998</v>
      </c>
      <c r="F121" s="325"/>
      <c r="G121" s="326">
        <f t="shared" si="36"/>
        <v>48.95</v>
      </c>
      <c r="H121" s="327">
        <f t="shared" si="37"/>
        <v>48.95</v>
      </c>
      <c r="I121" s="1417">
        <f>面积!E148</f>
        <v>48.95</v>
      </c>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115</v>
      </c>
      <c r="AY121" s="331">
        <f t="shared" si="39"/>
        <v>316.39999999999998</v>
      </c>
      <c r="AZ121" s="324">
        <f t="shared" si="40"/>
        <v>48.95</v>
      </c>
      <c r="BA121" s="324">
        <f t="shared" si="41"/>
        <v>48.95</v>
      </c>
      <c r="BB121" s="324">
        <f t="shared" si="42"/>
        <v>48.95</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370">
        <f>面积!A149</f>
        <v>116</v>
      </c>
      <c r="D122" s="217" t="s">
        <v>3133</v>
      </c>
      <c r="E122" s="324">
        <f t="shared" si="61"/>
        <v>703.58</v>
      </c>
      <c r="F122" s="325"/>
      <c r="G122" s="326">
        <f t="shared" si="36"/>
        <v>108.85</v>
      </c>
      <c r="H122" s="327">
        <f t="shared" si="37"/>
        <v>108.85</v>
      </c>
      <c r="I122" s="1417">
        <f>面积!E149</f>
        <v>108.85</v>
      </c>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116</v>
      </c>
      <c r="AY122" s="331">
        <f t="shared" si="39"/>
        <v>703.58</v>
      </c>
      <c r="AZ122" s="324">
        <f t="shared" si="40"/>
        <v>108.85</v>
      </c>
      <c r="BA122" s="324">
        <f t="shared" si="41"/>
        <v>108.85</v>
      </c>
      <c r="BB122" s="324">
        <f t="shared" si="42"/>
        <v>108.85</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370">
        <f>面积!A150</f>
        <v>117</v>
      </c>
      <c r="D123" s="217" t="s">
        <v>3133</v>
      </c>
      <c r="E123" s="324">
        <f t="shared" si="61"/>
        <v>316.39999999999998</v>
      </c>
      <c r="F123" s="325"/>
      <c r="G123" s="326">
        <f t="shared" si="36"/>
        <v>48.95</v>
      </c>
      <c r="H123" s="327">
        <f t="shared" si="37"/>
        <v>48.95</v>
      </c>
      <c r="I123" s="1417">
        <f>面积!E150</f>
        <v>48.95</v>
      </c>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117</v>
      </c>
      <c r="AY123" s="331">
        <f t="shared" si="39"/>
        <v>316.39999999999998</v>
      </c>
      <c r="AZ123" s="324">
        <f t="shared" si="40"/>
        <v>48.95</v>
      </c>
      <c r="BA123" s="324">
        <f t="shared" si="41"/>
        <v>48.95</v>
      </c>
      <c r="BB123" s="324">
        <f t="shared" si="42"/>
        <v>48.95</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370">
        <f>面积!A151</f>
        <v>118</v>
      </c>
      <c r="D124" s="217" t="s">
        <v>3133</v>
      </c>
      <c r="E124" s="324">
        <f t="shared" si="61"/>
        <v>383.17</v>
      </c>
      <c r="F124" s="325"/>
      <c r="G124" s="326">
        <f t="shared" si="36"/>
        <v>59.28</v>
      </c>
      <c r="H124" s="327">
        <f t="shared" si="37"/>
        <v>59.28</v>
      </c>
      <c r="I124" s="1417">
        <f>面积!E151</f>
        <v>59.28</v>
      </c>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118</v>
      </c>
      <c r="AY124" s="331">
        <f t="shared" si="39"/>
        <v>383.17</v>
      </c>
      <c r="AZ124" s="324">
        <f t="shared" si="40"/>
        <v>59.28</v>
      </c>
      <c r="BA124" s="324">
        <f t="shared" si="41"/>
        <v>59.28</v>
      </c>
      <c r="BB124" s="324">
        <f t="shared" si="42"/>
        <v>59.28</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370">
        <f>面积!A152</f>
        <v>119</v>
      </c>
      <c r="D125" s="217" t="s">
        <v>3133</v>
      </c>
      <c r="E125" s="324">
        <f t="shared" si="61"/>
        <v>438.63</v>
      </c>
      <c r="F125" s="325"/>
      <c r="G125" s="326">
        <f t="shared" si="36"/>
        <v>67.86</v>
      </c>
      <c r="H125" s="327">
        <f t="shared" si="37"/>
        <v>67.86</v>
      </c>
      <c r="I125" s="1417">
        <f>面积!E152</f>
        <v>67.86</v>
      </c>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119</v>
      </c>
      <c r="AY125" s="331">
        <f t="shared" si="39"/>
        <v>438.63</v>
      </c>
      <c r="AZ125" s="324">
        <f t="shared" si="40"/>
        <v>67.86</v>
      </c>
      <c r="BA125" s="324">
        <f t="shared" si="41"/>
        <v>67.86</v>
      </c>
      <c r="BB125" s="324">
        <f t="shared" si="42"/>
        <v>67.86</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370">
        <f>面积!A153</f>
        <v>120</v>
      </c>
      <c r="D126" s="217" t="s">
        <v>3133</v>
      </c>
      <c r="E126" s="324">
        <f t="shared" si="61"/>
        <v>264.17</v>
      </c>
      <c r="F126" s="325"/>
      <c r="G126" s="326">
        <f t="shared" si="36"/>
        <v>40.869999999999997</v>
      </c>
      <c r="H126" s="327">
        <f t="shared" si="37"/>
        <v>40.869999999999997</v>
      </c>
      <c r="I126" s="1417">
        <f>面积!E153</f>
        <v>40.869999999999997</v>
      </c>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120</v>
      </c>
      <c r="AY126" s="331">
        <f t="shared" si="39"/>
        <v>264.17</v>
      </c>
      <c r="AZ126" s="324">
        <f t="shared" si="40"/>
        <v>40.869999999999997</v>
      </c>
      <c r="BA126" s="324">
        <f t="shared" si="41"/>
        <v>40.869999999999997</v>
      </c>
      <c r="BB126" s="324">
        <f t="shared" si="42"/>
        <v>40.869999999999997</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370">
        <f>面积!A154</f>
        <v>121</v>
      </c>
      <c r="D127" s="217" t="s">
        <v>3133</v>
      </c>
      <c r="E127" s="324">
        <f t="shared" si="61"/>
        <v>72.010000000000005</v>
      </c>
      <c r="F127" s="325"/>
      <c r="G127" s="326">
        <f t="shared" si="36"/>
        <v>11.14</v>
      </c>
      <c r="H127" s="327">
        <f t="shared" si="37"/>
        <v>11.14</v>
      </c>
      <c r="I127" s="1417">
        <f>面积!E154</f>
        <v>11.14</v>
      </c>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121</v>
      </c>
      <c r="AY127" s="331">
        <f t="shared" si="39"/>
        <v>72.010000000000005</v>
      </c>
      <c r="AZ127" s="324">
        <f t="shared" si="40"/>
        <v>11.14</v>
      </c>
      <c r="BA127" s="324">
        <f t="shared" si="41"/>
        <v>11.14</v>
      </c>
      <c r="BB127" s="324">
        <f t="shared" si="42"/>
        <v>11.14</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370">
        <f>面积!A155</f>
        <v>122</v>
      </c>
      <c r="D128" s="217" t="s">
        <v>3133</v>
      </c>
      <c r="E128" s="324">
        <f t="shared" si="61"/>
        <v>2299.61</v>
      </c>
      <c r="F128" s="325"/>
      <c r="G128" s="326">
        <f t="shared" si="36"/>
        <v>355.77</v>
      </c>
      <c r="H128" s="327">
        <f t="shared" si="37"/>
        <v>355.77</v>
      </c>
      <c r="I128" s="1417">
        <f>面积!E155</f>
        <v>355.77</v>
      </c>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122</v>
      </c>
      <c r="AY128" s="331">
        <f t="shared" si="39"/>
        <v>2299.61</v>
      </c>
      <c r="AZ128" s="324">
        <f t="shared" si="40"/>
        <v>355.77</v>
      </c>
      <c r="BA128" s="324">
        <f t="shared" si="41"/>
        <v>355.77</v>
      </c>
      <c r="BB128" s="324">
        <f t="shared" si="42"/>
        <v>355.77</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370">
        <f>面积!A156</f>
        <v>123</v>
      </c>
      <c r="D129" s="217" t="s">
        <v>3133</v>
      </c>
      <c r="E129" s="324">
        <f t="shared" si="61"/>
        <v>209.04</v>
      </c>
      <c r="F129" s="325"/>
      <c r="G129" s="326">
        <f t="shared" si="36"/>
        <v>32.340000000000003</v>
      </c>
      <c r="H129" s="327">
        <f t="shared" si="37"/>
        <v>32.340000000000003</v>
      </c>
      <c r="I129" s="1417">
        <f>面积!E156</f>
        <v>32.340000000000003</v>
      </c>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123</v>
      </c>
      <c r="AY129" s="331">
        <f t="shared" si="39"/>
        <v>209.04</v>
      </c>
      <c r="AZ129" s="324">
        <f t="shared" si="40"/>
        <v>32.340000000000003</v>
      </c>
      <c r="BA129" s="324">
        <f t="shared" si="41"/>
        <v>32.340000000000003</v>
      </c>
      <c r="BB129" s="324">
        <f t="shared" si="42"/>
        <v>32.340000000000003</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370">
        <f>面积!A157</f>
        <v>124</v>
      </c>
      <c r="D130" s="217" t="s">
        <v>3133</v>
      </c>
      <c r="E130" s="324">
        <f t="shared" si="61"/>
        <v>4735.4799999999996</v>
      </c>
      <c r="F130" s="325"/>
      <c r="G130" s="326">
        <f t="shared" si="36"/>
        <v>732.62</v>
      </c>
      <c r="H130" s="327">
        <f t="shared" si="37"/>
        <v>732.62</v>
      </c>
      <c r="I130" s="1417">
        <f>面积!E157</f>
        <v>732.62</v>
      </c>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124</v>
      </c>
      <c r="AY130" s="331">
        <f t="shared" si="39"/>
        <v>4735.4799999999996</v>
      </c>
      <c r="AZ130" s="324">
        <f t="shared" si="40"/>
        <v>732.62</v>
      </c>
      <c r="BA130" s="324">
        <f t="shared" si="41"/>
        <v>732.62</v>
      </c>
      <c r="BB130" s="324">
        <f t="shared" si="42"/>
        <v>732.62</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370">
        <f>面积!A158</f>
        <v>125</v>
      </c>
      <c r="D131" s="217" t="s">
        <v>3133</v>
      </c>
      <c r="E131" s="324">
        <f t="shared" si="61"/>
        <v>803.9</v>
      </c>
      <c r="F131" s="325"/>
      <c r="G131" s="326">
        <f t="shared" si="36"/>
        <v>124.37</v>
      </c>
      <c r="H131" s="327">
        <f t="shared" si="37"/>
        <v>124.37</v>
      </c>
      <c r="I131" s="1417">
        <f>面积!E158</f>
        <v>124.37</v>
      </c>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125</v>
      </c>
      <c r="AY131" s="331">
        <f t="shared" si="39"/>
        <v>803.9</v>
      </c>
      <c r="AZ131" s="324">
        <f t="shared" si="40"/>
        <v>124.37</v>
      </c>
      <c r="BA131" s="324">
        <f t="shared" si="41"/>
        <v>124.37</v>
      </c>
      <c r="BB131" s="324">
        <f t="shared" si="42"/>
        <v>124.37</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370">
        <f>面积!A159</f>
        <v>126</v>
      </c>
      <c r="D132" s="217" t="s">
        <v>3133</v>
      </c>
      <c r="E132" s="324">
        <f t="shared" si="61"/>
        <v>841.58</v>
      </c>
      <c r="F132" s="325"/>
      <c r="G132" s="326">
        <f t="shared" si="36"/>
        <v>130.19999999999999</v>
      </c>
      <c r="H132" s="327">
        <f t="shared" si="37"/>
        <v>130.19999999999999</v>
      </c>
      <c r="I132" s="1417">
        <f>面积!E159</f>
        <v>130.19999999999999</v>
      </c>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126</v>
      </c>
      <c r="AY132" s="331">
        <f t="shared" si="39"/>
        <v>841.58</v>
      </c>
      <c r="AZ132" s="324">
        <f t="shared" si="40"/>
        <v>130.19999999999999</v>
      </c>
      <c r="BA132" s="324">
        <f t="shared" si="41"/>
        <v>130.19999999999999</v>
      </c>
      <c r="BB132" s="324">
        <f t="shared" si="42"/>
        <v>130.19999999999999</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370">
        <f>面积!A160</f>
        <v>127</v>
      </c>
      <c r="D133" s="217" t="s">
        <v>3133</v>
      </c>
      <c r="E133" s="324">
        <f t="shared" si="61"/>
        <v>1638.5</v>
      </c>
      <c r="F133" s="325"/>
      <c r="G133" s="326">
        <f t="shared" si="36"/>
        <v>253.49</v>
      </c>
      <c r="H133" s="327">
        <f t="shared" si="37"/>
        <v>253.49</v>
      </c>
      <c r="I133" s="1417">
        <f>面积!E160</f>
        <v>253.49</v>
      </c>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127</v>
      </c>
      <c r="AY133" s="331">
        <f t="shared" si="39"/>
        <v>1638.5</v>
      </c>
      <c r="AZ133" s="324">
        <f t="shared" si="40"/>
        <v>253.49</v>
      </c>
      <c r="BA133" s="324">
        <f t="shared" si="41"/>
        <v>253.49</v>
      </c>
      <c r="BB133" s="324">
        <f t="shared" si="42"/>
        <v>253.49</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370"/>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370"/>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370"/>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370"/>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39" t="s">
        <v>2</v>
      </c>
      <c r="B1" s="3439" t="s">
        <v>37</v>
      </c>
      <c r="C1" s="3439" t="s">
        <v>38</v>
      </c>
      <c r="D1" s="3499" t="s">
        <v>199</v>
      </c>
      <c r="E1" s="3499" t="s">
        <v>200</v>
      </c>
      <c r="F1" s="3499"/>
      <c r="G1" s="3499"/>
      <c r="H1" s="3499"/>
      <c r="I1" s="3499"/>
      <c r="J1" s="3499"/>
      <c r="K1" s="3499"/>
      <c r="L1" s="3499"/>
      <c r="M1" s="3499"/>
    </row>
    <row r="2" spans="1:13" ht="27" customHeight="1">
      <c r="A2" s="3439"/>
      <c r="B2" s="3439"/>
      <c r="C2" s="3439"/>
      <c r="D2" s="3499"/>
      <c r="E2" s="3499" t="s">
        <v>183</v>
      </c>
      <c r="F2" s="3499" t="s">
        <v>184</v>
      </c>
      <c r="G2" s="3499"/>
      <c r="H2" s="3499"/>
      <c r="I2" s="3499"/>
      <c r="J2" s="3499" t="s">
        <v>185</v>
      </c>
      <c r="K2" s="3499"/>
      <c r="L2" s="3499"/>
      <c r="M2" s="3499"/>
    </row>
    <row r="3" spans="1:13" ht="28.5">
      <c r="A3" s="3439"/>
      <c r="B3" s="3439"/>
      <c r="C3" s="3439"/>
      <c r="D3" s="3499"/>
      <c r="E3" s="3499"/>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99" t="s">
        <v>201</v>
      </c>
      <c r="B9" s="3499"/>
      <c r="C9" s="349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C20" sqref="C20"/>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642</v>
      </c>
      <c r="B1" s="2226"/>
      <c r="C1" s="2226"/>
      <c r="D1" s="2226"/>
      <c r="E1" s="2226"/>
      <c r="F1" s="2226"/>
      <c r="G1" s="2226"/>
      <c r="H1" s="2226"/>
      <c r="I1" s="2226"/>
      <c r="J1" s="2226"/>
      <c r="K1" s="2226"/>
      <c r="L1" s="2226"/>
      <c r="M1" s="2226"/>
      <c r="N1" s="2226"/>
      <c r="O1" s="2226"/>
      <c r="P1" s="2226"/>
    </row>
    <row r="2" spans="1:16">
      <c r="A2" s="3509" t="s">
        <v>643</v>
      </c>
      <c r="B2" s="3509"/>
      <c r="C2" s="3509"/>
      <c r="D2" s="2210" t="s">
        <v>644</v>
      </c>
      <c r="E2" s="19" t="s">
        <v>645</v>
      </c>
      <c r="F2" s="2226"/>
      <c r="G2" s="1179"/>
      <c r="H2" s="1180"/>
      <c r="I2" s="2218" t="s">
        <v>646</v>
      </c>
      <c r="J2" s="2226"/>
      <c r="K2" s="2226"/>
      <c r="L2" s="2226"/>
      <c r="M2" s="2226"/>
      <c r="N2" s="2235"/>
      <c r="O2" s="2226"/>
      <c r="P2" s="2226"/>
    </row>
    <row r="3" spans="1:16" ht="15.75" thickBot="1">
      <c r="A3" s="3510" t="s">
        <v>647</v>
      </c>
      <c r="B3" s="3510"/>
      <c r="C3" s="3510"/>
      <c r="D3" s="335">
        <f>'数据-基础表'!AY6</f>
        <v>82323.28</v>
      </c>
      <c r="E3" s="335">
        <f>'数据-基础表'!AZ5</f>
        <v>12736.12000000001</v>
      </c>
      <c r="F3" s="2226"/>
      <c r="G3" s="442"/>
      <c r="H3" s="440" t="s">
        <v>648</v>
      </c>
      <c r="I3" s="344">
        <f>ROUND('数据-基础表'!B3/'数据-基础表'!A3,2)</f>
        <v>0.15</v>
      </c>
      <c r="J3" s="2226"/>
      <c r="K3" s="2226"/>
      <c r="L3" s="2226"/>
      <c r="M3" s="2226"/>
      <c r="N3" s="2235"/>
      <c r="O3" s="2226"/>
      <c r="P3" s="2226"/>
    </row>
    <row r="4" spans="1:16" ht="14.25">
      <c r="A4" s="3511"/>
      <c r="B4" s="3512"/>
      <c r="C4" s="3513"/>
      <c r="D4" s="20" t="s">
        <v>644</v>
      </c>
      <c r="E4" s="21" t="s">
        <v>645</v>
      </c>
      <c r="F4" s="2226"/>
      <c r="G4" s="1181" t="s">
        <v>1792</v>
      </c>
      <c r="H4" s="440" t="s">
        <v>649</v>
      </c>
      <c r="I4" s="344">
        <f>ROUND(SUMIF('数据-基础表'!I9:AS9,"地上",'数据-基础表'!I5:AS5)/'数据-基础表'!A3,2)</f>
        <v>0.15</v>
      </c>
      <c r="J4" s="2226"/>
      <c r="K4" s="2226"/>
      <c r="L4" s="2226"/>
      <c r="M4" s="2226"/>
      <c r="N4" s="2235"/>
      <c r="O4" s="2226"/>
      <c r="P4" s="2226"/>
    </row>
    <row r="5" spans="1:16" ht="14.25">
      <c r="A5" s="22" t="s">
        <v>650</v>
      </c>
      <c r="B5" s="3514" t="s">
        <v>651</v>
      </c>
      <c r="C5" s="3514"/>
      <c r="D5" s="337">
        <f>ROUND($D$3*E5/$E$3,2)</f>
        <v>0</v>
      </c>
      <c r="E5" s="338">
        <f>SUMIF('数据-基础表'!$11:$11,"住宅",'数据-基础表'!$5:$5)</f>
        <v>0</v>
      </c>
      <c r="F5" s="2226"/>
      <c r="G5" s="442"/>
      <c r="H5" s="440" t="s">
        <v>648</v>
      </c>
      <c r="I5" s="344">
        <f>ROUND(E31/D31,2)</f>
        <v>0.15</v>
      </c>
      <c r="J5" s="2226"/>
      <c r="K5" s="2226"/>
      <c r="L5" s="2226"/>
      <c r="M5" s="2226"/>
      <c r="N5" s="2226"/>
      <c r="O5" s="2226"/>
      <c r="P5" s="2226"/>
    </row>
    <row r="6" spans="1:16" ht="15" thickBot="1">
      <c r="A6" s="24"/>
      <c r="B6" s="3514" t="s">
        <v>652</v>
      </c>
      <c r="C6" s="3514"/>
      <c r="D6" s="337">
        <f>ROUND($D$3*E6/$E$3,2)</f>
        <v>82323.28</v>
      </c>
      <c r="E6" s="338">
        <f>E3-E5</f>
        <v>12736.12000000001</v>
      </c>
      <c r="F6" s="2226"/>
      <c r="G6" s="1760" t="s">
        <v>1793</v>
      </c>
      <c r="H6" s="442" t="s">
        <v>649</v>
      </c>
      <c r="I6" s="1761">
        <f>ROUND(F31/D31,2)</f>
        <v>0.15</v>
      </c>
      <c r="J6" s="2226"/>
      <c r="K6" s="2226"/>
      <c r="L6" s="2226"/>
      <c r="M6" s="2226"/>
      <c r="N6" s="2226"/>
      <c r="O6" s="2226"/>
      <c r="P6" s="2226"/>
    </row>
    <row r="7" spans="1:16" ht="14.25">
      <c r="A7" s="3506"/>
      <c r="B7" s="3507"/>
      <c r="C7" s="3508"/>
      <c r="D7" s="20" t="s">
        <v>644</v>
      </c>
      <c r="E7" s="25" t="s">
        <v>645</v>
      </c>
      <c r="F7" s="2226"/>
      <c r="G7" s="1179" t="s">
        <v>1872</v>
      </c>
      <c r="H7" s="38"/>
      <c r="I7" s="763"/>
      <c r="J7" s="2226"/>
      <c r="K7" s="2226"/>
      <c r="L7" s="2226"/>
      <c r="M7" s="2226"/>
      <c r="N7" s="2226"/>
      <c r="O7" s="2226"/>
      <c r="P7" s="2226"/>
    </row>
    <row r="8" spans="1:16" ht="14.25">
      <c r="A8" s="22" t="s">
        <v>653</v>
      </c>
      <c r="B8" s="26" t="s">
        <v>654</v>
      </c>
      <c r="C8" s="23" t="s">
        <v>655</v>
      </c>
      <c r="D8" s="337">
        <f t="shared" ref="D8:D15" si="0">ROUND($D$3*E8/$E$3,2)</f>
        <v>82323.28</v>
      </c>
      <c r="E8" s="340">
        <f>SUMIF('数据-基础表'!BB10:BK10,"地上",'数据-基础表'!BB5:BK5)</f>
        <v>12736.12000000001</v>
      </c>
      <c r="F8" s="2226"/>
      <c r="G8" s="2227"/>
      <c r="H8" s="2227"/>
      <c r="I8" s="2226"/>
      <c r="J8" s="2226"/>
      <c r="K8" s="2226"/>
      <c r="L8" s="2226"/>
      <c r="M8" s="2226"/>
      <c r="N8" s="2226"/>
      <c r="O8" s="2226"/>
      <c r="P8" s="2226"/>
    </row>
    <row r="9" spans="1:16" ht="14.25">
      <c r="A9" s="27"/>
      <c r="B9" s="28"/>
      <c r="C9" s="23" t="s">
        <v>656</v>
      </c>
      <c r="D9" s="337">
        <f t="shared" si="0"/>
        <v>0</v>
      </c>
      <c r="E9" s="341">
        <v>0</v>
      </c>
      <c r="F9" s="2226"/>
      <c r="G9" s="2227"/>
      <c r="H9" s="2227"/>
      <c r="I9" s="2226"/>
      <c r="J9" s="2226"/>
      <c r="K9" s="2226"/>
      <c r="L9" s="2226"/>
      <c r="M9" s="2226"/>
      <c r="N9" s="2226"/>
      <c r="O9" s="2226"/>
      <c r="P9" s="2226"/>
    </row>
    <row r="10" spans="1:16" ht="14.25">
      <c r="A10" s="27"/>
      <c r="B10" s="28"/>
      <c r="C10" s="23" t="s">
        <v>657</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2396</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658</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659</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660</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661</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662</v>
      </c>
      <c r="D16" s="339">
        <f>SUM(D8:D15)</f>
        <v>82323.28</v>
      </c>
      <c r="E16" s="342">
        <f>SUM(E8:E15)</f>
        <v>12736.12000000001</v>
      </c>
      <c r="F16" s="2226"/>
      <c r="G16" s="2227"/>
      <c r="H16" s="1178" t="s">
        <v>533</v>
      </c>
      <c r="I16" s="1182"/>
      <c r="J16" s="2226"/>
      <c r="K16" s="3503" t="s">
        <v>533</v>
      </c>
      <c r="L16" s="3504"/>
      <c r="M16" s="3504"/>
      <c r="N16" s="3504"/>
      <c r="O16" s="3504"/>
      <c r="P16" s="3505"/>
    </row>
    <row r="17" spans="1:19" ht="14.25">
      <c r="A17" s="29" t="s">
        <v>663</v>
      </c>
      <c r="B17" s="30" t="s">
        <v>664</v>
      </c>
      <c r="C17" s="34" t="s">
        <v>2387</v>
      </c>
      <c r="D17" s="2076" t="s">
        <v>644</v>
      </c>
      <c r="E17" s="2074" t="s">
        <v>645</v>
      </c>
      <c r="F17" s="36"/>
      <c r="G17" s="37"/>
      <c r="H17" s="1183" t="s">
        <v>665</v>
      </c>
      <c r="I17" s="1184" t="s">
        <v>206</v>
      </c>
      <c r="J17" s="2226"/>
      <c r="K17" s="3500" t="s">
        <v>671</v>
      </c>
      <c r="L17" s="3501"/>
      <c r="M17" s="3502"/>
      <c r="N17" s="3500" t="s">
        <v>2689</v>
      </c>
      <c r="O17" s="3501"/>
      <c r="P17" s="3502"/>
      <c r="R17" s="2486" t="s">
        <v>2388</v>
      </c>
      <c r="S17" s="354"/>
    </row>
    <row r="18" spans="1:19">
      <c r="A18" s="27"/>
      <c r="B18" s="31"/>
      <c r="C18" s="35"/>
      <c r="D18" s="2077"/>
      <c r="E18" s="2075" t="s">
        <v>666</v>
      </c>
      <c r="F18" s="15" t="s">
        <v>667</v>
      </c>
      <c r="G18" s="16" t="s">
        <v>668</v>
      </c>
      <c r="H18" s="1185" t="s">
        <v>669</v>
      </c>
      <c r="I18" s="1186" t="s">
        <v>670</v>
      </c>
      <c r="J18" s="2226"/>
      <c r="K18" s="1185" t="s">
        <v>2682</v>
      </c>
      <c r="L18" s="6" t="s">
        <v>2690</v>
      </c>
      <c r="M18" s="2804" t="s">
        <v>2688</v>
      </c>
      <c r="N18" s="1185" t="s">
        <v>2682</v>
      </c>
      <c r="O18" s="6" t="s">
        <v>2690</v>
      </c>
      <c r="P18" s="2804" t="s">
        <v>2688</v>
      </c>
      <c r="R18" s="2487" t="s">
        <v>2389</v>
      </c>
      <c r="S18" s="2487" t="s">
        <v>2390</v>
      </c>
    </row>
    <row r="19" spans="1:19" ht="14.25">
      <c r="A19" s="32"/>
      <c r="B19" s="26" t="s">
        <v>119</v>
      </c>
      <c r="C19" s="1420" t="s">
        <v>3165</v>
      </c>
      <c r="D19" s="337">
        <f>ROUND($D$3*E19/$E$3,2)</f>
        <v>82323.28</v>
      </c>
      <c r="E19" s="345">
        <f t="shared" ref="E19:E26" si="1">SUM(F19:G19)</f>
        <v>12736.12000000001</v>
      </c>
      <c r="F19" s="3371">
        <f>'数据-基础表'!H5</f>
        <v>12736.12000000001</v>
      </c>
      <c r="G19" s="347"/>
      <c r="H19" s="1132">
        <f>ROUND($D$3*I19/$E$3,2)</f>
        <v>0</v>
      </c>
      <c r="I19" s="340">
        <f t="shared" ref="I19:I26" si="2">IF($I$17="自定义",P19,M19)</f>
        <v>0</v>
      </c>
      <c r="J19" s="2226"/>
      <c r="K19" s="2805">
        <f t="shared" ref="K19:K26" si="3">ROUND(E$28*E19/E$27,2)</f>
        <v>0</v>
      </c>
      <c r="L19" s="2488">
        <f t="shared" ref="L19:L26" si="4">ROUND(IF(COUNTIF(C19,"*住宅*")&gt;0,E$29*E19/E$32,0),2)</f>
        <v>0</v>
      </c>
      <c r="M19" s="2823">
        <f>K19+L19</f>
        <v>0</v>
      </c>
      <c r="N19" s="2821"/>
      <c r="O19" s="2803"/>
      <c r="P19" s="2806">
        <f>N19+O19</f>
        <v>0</v>
      </c>
      <c r="R19" s="2488">
        <f t="shared" ref="R19:S26" si="5">D19+H19</f>
        <v>82323.28</v>
      </c>
      <c r="S19" s="2489">
        <f t="shared" si="5"/>
        <v>12736.12000000001</v>
      </c>
    </row>
    <row r="20" spans="1:19" ht="14.25">
      <c r="A20" s="33"/>
      <c r="B20" s="26" t="s">
        <v>637</v>
      </c>
      <c r="C20" s="1420"/>
      <c r="D20" s="337">
        <f t="shared" ref="D20:D26" si="6">ROUND($D$3*E20/$E$3,2)</f>
        <v>0</v>
      </c>
      <c r="E20" s="345">
        <f t="shared" si="1"/>
        <v>0</v>
      </c>
      <c r="F20" s="346"/>
      <c r="G20" s="347"/>
      <c r="H20" s="1132">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0</v>
      </c>
      <c r="S20" s="2489">
        <f t="shared" si="5"/>
        <v>0</v>
      </c>
    </row>
    <row r="21" spans="1:19" ht="14.25">
      <c r="A21" s="33"/>
      <c r="B21" s="26" t="s">
        <v>637</v>
      </c>
      <c r="C21" s="1420"/>
      <c r="D21" s="337">
        <f t="shared" si="6"/>
        <v>0</v>
      </c>
      <c r="E21" s="345">
        <f t="shared" si="1"/>
        <v>0</v>
      </c>
      <c r="F21" s="346"/>
      <c r="G21" s="347"/>
      <c r="H21" s="1132">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637</v>
      </c>
      <c r="C22" s="349"/>
      <c r="D22" s="337">
        <f t="shared" si="6"/>
        <v>0</v>
      </c>
      <c r="E22" s="345">
        <f t="shared" si="1"/>
        <v>0</v>
      </c>
      <c r="F22" s="350"/>
      <c r="G22" s="351"/>
      <c r="H22" s="1132">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637</v>
      </c>
      <c r="C23" s="349"/>
      <c r="D23" s="337">
        <f>ROUND($D$3*E23/$E$3,2)</f>
        <v>0</v>
      </c>
      <c r="E23" s="345">
        <f>SUM(F23:G23)</f>
        <v>0</v>
      </c>
      <c r="F23" s="350"/>
      <c r="G23" s="351"/>
      <c r="H23" s="1132">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637</v>
      </c>
      <c r="C24" s="349"/>
      <c r="D24" s="337">
        <f>ROUND($D$3*E24/$E$3,2)</f>
        <v>0</v>
      </c>
      <c r="E24" s="345">
        <f>SUM(F24:G24)</f>
        <v>0</v>
      </c>
      <c r="F24" s="350"/>
      <c r="G24" s="351"/>
      <c r="H24" s="1132">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637</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637</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638</v>
      </c>
      <c r="D27" s="2808">
        <f>SUM(D19:D26)</f>
        <v>82323.28</v>
      </c>
      <c r="E27" s="2809">
        <f>IF(SUM(E19:E26)='数据-基础表'!BA5,SUM(E19:E26),IF(F27="地上面积有误","面积有误","地下面积有误"))</f>
        <v>12736.12000000001</v>
      </c>
      <c r="F27" s="2808">
        <f>IF(SUM(F19:F26)=E8,SUM(F19:F26),"地上面积有误")</f>
        <v>12736.12000000001</v>
      </c>
      <c r="G27" s="2810">
        <f>SUM(G19:G26)</f>
        <v>0</v>
      </c>
      <c r="H27" s="2811">
        <f>SUM(H19:H26)</f>
        <v>0</v>
      </c>
      <c r="I27" s="2812">
        <f>SUM(I19:I26)</f>
        <v>0</v>
      </c>
      <c r="J27" s="2226"/>
      <c r="K27" s="2818">
        <f>SUM(K19:K26)</f>
        <v>0</v>
      </c>
      <c r="L27" s="2819">
        <f>SUM(L19:L26)</f>
        <v>0</v>
      </c>
      <c r="M27" s="2824">
        <f>SUM(M19:M26)</f>
        <v>0</v>
      </c>
      <c r="N27" s="2818">
        <f t="shared" ref="N27:O27" si="10">SUM(N19:N26)</f>
        <v>0</v>
      </c>
      <c r="O27" s="2819">
        <f t="shared" si="10"/>
        <v>0</v>
      </c>
      <c r="P27" s="2820">
        <f>SUM(P19:P26)</f>
        <v>0</v>
      </c>
      <c r="R27" s="2490">
        <f>IF(SUM(R19:R26)=$D$3,SUM(R19:R26),SUM(R19:R26)&amp;"误差"&amp;ROUND(SUM(R19:R26)-$D$3,2))</f>
        <v>82323.28</v>
      </c>
      <c r="S27" s="2488">
        <f>IF(SUM(S19:S26)=$E$3,SUM(S19:S26),SUM(S19:S26)&amp;"误差"&amp;ROUND(SUM(S19:S26)-E3,2))</f>
        <v>12736.12000000001</v>
      </c>
    </row>
    <row r="28" spans="1:19" ht="14.25">
      <c r="A28" s="33"/>
      <c r="B28" s="26" t="s">
        <v>639</v>
      </c>
      <c r="C28" s="5" t="s">
        <v>640</v>
      </c>
      <c r="D28" s="337">
        <f>ROUND($D$3*E28/$E$3,2)</f>
        <v>0</v>
      </c>
      <c r="E28" s="345">
        <f>SUM(F28:G28)</f>
        <v>0</v>
      </c>
      <c r="F28" s="354">
        <f>'数据-基础表'!BQ5+'数据-基础表'!BS5</f>
        <v>0</v>
      </c>
      <c r="G28" s="355">
        <f>'数据-基础表'!BR5+'数据-基础表'!BT5</f>
        <v>0</v>
      </c>
      <c r="H28" s="2226"/>
      <c r="I28" s="2226"/>
      <c r="J28" s="2226"/>
      <c r="K28" s="2226"/>
      <c r="L28" s="2226"/>
      <c r="M28" s="2226"/>
      <c r="N28" s="2807"/>
      <c r="O28" s="2807"/>
      <c r="P28" s="2226"/>
    </row>
    <row r="29" spans="1:19" ht="14.25">
      <c r="A29" s="33"/>
      <c r="B29" s="26" t="s">
        <v>639</v>
      </c>
      <c r="C29" s="13" t="s">
        <v>2391</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638</v>
      </c>
      <c r="D30" s="2808">
        <f>SUM(D28:D29)</f>
        <v>0</v>
      </c>
      <c r="E30" s="2808">
        <f>SUM(E28:E29)</f>
        <v>0</v>
      </c>
      <c r="F30" s="2808">
        <f>SUM(F28:F29)</f>
        <v>0</v>
      </c>
      <c r="G30" s="2810">
        <f>SUM(G28:G29)</f>
        <v>0</v>
      </c>
      <c r="H30" s="2226"/>
      <c r="I30" s="2226"/>
      <c r="J30" s="2226"/>
      <c r="K30" s="2226"/>
      <c r="L30" s="2226"/>
      <c r="M30" s="2226"/>
      <c r="N30" s="2807"/>
      <c r="O30" s="2807"/>
      <c r="P30" s="2226"/>
    </row>
    <row r="31" spans="1:19" ht="15.75" thickBot="1">
      <c r="A31" s="1187"/>
      <c r="B31" s="2527"/>
      <c r="C31" s="2528" t="s">
        <v>641</v>
      </c>
      <c r="D31" s="1188">
        <f>D27+D30</f>
        <v>82323.28</v>
      </c>
      <c r="E31" s="1188">
        <f>E27+E30</f>
        <v>12736.12000000001</v>
      </c>
      <c r="F31" s="1189">
        <f>F27+F30</f>
        <v>12736.12000000001</v>
      </c>
      <c r="G31" s="1190">
        <f>G27+G30</f>
        <v>0</v>
      </c>
      <c r="H31" s="2226"/>
      <c r="I31" s="2226"/>
      <c r="J31" s="2226"/>
      <c r="K31" s="2226"/>
      <c r="L31" s="2226"/>
      <c r="M31" s="2226"/>
      <c r="N31" s="2226"/>
      <c r="O31" s="2226"/>
      <c r="P31" s="2226"/>
    </row>
    <row r="32" spans="1:19" ht="14.25">
      <c r="A32" s="1181"/>
      <c r="B32" s="1181" t="s">
        <v>2703</v>
      </c>
      <c r="C32" s="1181"/>
      <c r="D32" s="1181"/>
      <c r="E32" s="2526">
        <f>SUMIF(C19:C26,"*住宅*",E19:E26)</f>
        <v>0</v>
      </c>
      <c r="F32" s="1181"/>
      <c r="G32" s="1181"/>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9"/>
    <col min="41" max="41" width="11.625" style="2239" customWidth="1"/>
    <col min="42" max="42" width="9.75" style="2239" customWidth="1"/>
    <col min="43" max="67" width="13.75" style="2239"/>
    <col min="68" max="16384" width="13.75" style="1193"/>
  </cols>
  <sheetData>
    <row r="1" spans="1:67" ht="19.5" thickBot="1">
      <c r="A1" s="44" t="s">
        <v>672</v>
      </c>
      <c r="B1" s="1192"/>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5" customFormat="1" ht="15" thickBot="1">
      <c r="A2" s="45" t="s">
        <v>673</v>
      </c>
      <c r="B2" s="2517">
        <f>项目基本情况!D3</f>
        <v>42986</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5" customFormat="1" ht="14.25" thickBot="1">
      <c r="A3" s="1196"/>
      <c r="B3" s="1194"/>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5" customFormat="1" ht="14.25" thickBot="1">
      <c r="A4" s="46" t="s">
        <v>674</v>
      </c>
      <c r="B4" s="275"/>
      <c r="C4" s="276"/>
      <c r="D4" s="1197"/>
      <c r="E4" s="276" t="s">
        <v>536</v>
      </c>
      <c r="F4" s="276"/>
      <c r="G4" s="276"/>
      <c r="H4" s="276"/>
      <c r="I4" s="276"/>
      <c r="J4" s="277"/>
      <c r="K4" s="1198"/>
      <c r="L4" s="1199"/>
      <c r="M4" s="276"/>
      <c r="N4" s="276" t="s">
        <v>537</v>
      </c>
      <c r="O4" s="276"/>
      <c r="P4" s="276"/>
      <c r="Q4" s="276"/>
      <c r="R4" s="276"/>
      <c r="S4" s="277"/>
      <c r="T4" s="1200"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2" customFormat="1" ht="54">
      <c r="A5" s="47" t="s">
        <v>2393</v>
      </c>
      <c r="B5" s="48" t="s">
        <v>678</v>
      </c>
      <c r="C5" s="49" t="s">
        <v>679</v>
      </c>
      <c r="D5" s="50" t="s">
        <v>680</v>
      </c>
      <c r="E5" s="51" t="s">
        <v>681</v>
      </c>
      <c r="F5" s="52" t="s">
        <v>682</v>
      </c>
      <c r="G5" s="51" t="s">
        <v>683</v>
      </c>
      <c r="H5" s="51" t="s">
        <v>684</v>
      </c>
      <c r="I5" s="51" t="s">
        <v>685</v>
      </c>
      <c r="J5" s="53" t="s">
        <v>686</v>
      </c>
      <c r="K5" s="54" t="s">
        <v>687</v>
      </c>
      <c r="L5" s="55" t="s">
        <v>688</v>
      </c>
      <c r="M5" s="56" t="s">
        <v>689</v>
      </c>
      <c r="N5" s="1201" t="s">
        <v>80</v>
      </c>
      <c r="O5" s="55" t="s">
        <v>690</v>
      </c>
      <c r="P5" s="57" t="s">
        <v>691</v>
      </c>
      <c r="Q5" s="58" t="s">
        <v>692</v>
      </c>
      <c r="R5" s="273" t="s">
        <v>693</v>
      </c>
      <c r="S5" s="59" t="s">
        <v>2683</v>
      </c>
      <c r="T5" s="274" t="s">
        <v>694</v>
      </c>
      <c r="U5" s="2518" t="s">
        <v>2399</v>
      </c>
      <c r="V5" s="51" t="s">
        <v>695</v>
      </c>
      <c r="W5" s="2519" t="s">
        <v>2400</v>
      </c>
      <c r="X5" s="62"/>
      <c r="Y5" s="60" t="s">
        <v>696</v>
      </c>
      <c r="Z5" s="61" t="s">
        <v>697</v>
      </c>
      <c r="AA5" s="51" t="s">
        <v>695</v>
      </c>
      <c r="AB5" s="2519" t="s">
        <v>2400</v>
      </c>
      <c r="AC5" s="62"/>
      <c r="AD5" s="62" t="s">
        <v>696</v>
      </c>
      <c r="AE5" s="14" t="s">
        <v>538</v>
      </c>
      <c r="AF5" s="51" t="s">
        <v>698</v>
      </c>
      <c r="AG5" s="60" t="s">
        <v>699</v>
      </c>
      <c r="AH5" s="14" t="s">
        <v>2404</v>
      </c>
      <c r="AI5" s="61" t="s">
        <v>2321</v>
      </c>
      <c r="AJ5" s="61" t="s">
        <v>700</v>
      </c>
      <c r="AK5" s="2519" t="s">
        <v>2401</v>
      </c>
      <c r="AL5" s="2519" t="s">
        <v>2402</v>
      </c>
      <c r="AM5" s="360" t="s">
        <v>2403</v>
      </c>
      <c r="AN5" s="2576" t="s">
        <v>2443</v>
      </c>
      <c r="AO5" s="2013" t="s">
        <v>2674</v>
      </c>
      <c r="AP5" s="2892" t="s">
        <v>2684</v>
      </c>
      <c r="AQ5" s="2893" t="s">
        <v>2794</v>
      </c>
      <c r="AR5" s="2893" t="s">
        <v>2795</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5" customFormat="1" ht="14.25">
      <c r="A6" s="2516" t="str">
        <f>'数据-汇总表'!C19</f>
        <v>影视基地</v>
      </c>
      <c r="B6" s="2494" t="str">
        <f>IF(A6=0,"","经营性")</f>
        <v>经营性</v>
      </c>
      <c r="C6" s="39" t="s">
        <v>3161</v>
      </c>
      <c r="D6" s="2057">
        <f>SUMIF(项目基本情况!D$12:I$12,C6,项目基本情况!D$14:I$14)</f>
        <v>50</v>
      </c>
      <c r="E6" s="2051">
        <f>IF(B6="","",SUMIF(项目基本情况!D$12:I$12,C6,项目基本情况!D$13:I$13))</f>
        <v>55511</v>
      </c>
      <c r="F6" s="362">
        <f>SUMIF(项目基本情况!D$12:I$12,C6,项目基本情况!D$15:I$15)</f>
        <v>34.31</v>
      </c>
      <c r="G6" s="363">
        <f>IF(ISERROR(ROUND(POWER(1+H6,D6-F6)*(POWER(1+H6,F6)-1)/(POWER(1+H6,D6)-1),3)),0,ROUND(POWER(1+H6,D6-F6)*(POWER(1+H6,F6)-1)/(POWER(1+H6,D6)-1),3))</f>
        <v>0.876</v>
      </c>
      <c r="H6" s="1475">
        <v>4.4999999999999998E-2</v>
      </c>
      <c r="I6" s="1475">
        <v>0.05</v>
      </c>
      <c r="J6" s="364">
        <v>8.5000000000000006E-2</v>
      </c>
      <c r="K6" s="2497">
        <f>SUMIF('数据-汇总表'!C$19:C$33,A6,'数据-汇总表'!E$19:E$33)</f>
        <v>12736.12000000001</v>
      </c>
      <c r="L6" s="1476">
        <v>2000</v>
      </c>
      <c r="M6" s="365">
        <f t="shared" ref="M6:M14" si="0">ROUND(K6*L6/10000,0)</f>
        <v>2547</v>
      </c>
      <c r="N6" s="1474">
        <v>0.6</v>
      </c>
      <c r="O6" s="365" t="str">
        <f>IF($N$5="成新度","——",ROUND(M6*N6,0))</f>
        <v>——</v>
      </c>
      <c r="P6" s="366" t="str">
        <f>IF($N$5="成新度","——",M6-O6)</f>
        <v>——</v>
      </c>
      <c r="Q6" s="1477">
        <v>0.2</v>
      </c>
      <c r="R6" s="367">
        <f ca="1">SUMIF('数据-汇总表'!C$19:C$33,A6,'数据-汇总表'!R$19:R$27)</f>
        <v>82323.28</v>
      </c>
      <c r="S6" s="343">
        <f>IF('数据-汇总表'!$I$17="按面积比例",SUMIF('数据-汇总表'!C$19:C$33,A6,'数据-汇总表'!K$19:K$33),SUMIF('数据-汇总表'!C$19:C$33,A6,'数据-汇总表'!N$19:N$33))</f>
        <v>0</v>
      </c>
      <c r="T6" s="2891">
        <f>ROUND($L$14*S6/10000,0)</f>
        <v>0</v>
      </c>
      <c r="U6" s="3383">
        <v>5.2</v>
      </c>
      <c r="V6" s="369">
        <v>0.03</v>
      </c>
      <c r="W6" s="369">
        <v>0.35</v>
      </c>
      <c r="X6" s="2507"/>
      <c r="Y6" s="370">
        <v>0.6</v>
      </c>
      <c r="Z6" s="371"/>
      <c r="AA6" s="364"/>
      <c r="AB6" s="364"/>
      <c r="AC6" s="2507"/>
      <c r="AD6" s="372"/>
      <c r="AE6" s="2508">
        <f ca="1">IF(AN6="",0,SUMIF(INDIRECT("'"&amp;AN6&amp;"'"&amp;"!E:E"),$AE$5,INDIRECT("'"&amp;AN6&amp;"'"&amp;"!F:F")))</f>
        <v>34.31</v>
      </c>
      <c r="AF6" s="352"/>
      <c r="AG6" s="478">
        <f>IF(AF6="",0,AE6-AF6)</f>
        <v>0</v>
      </c>
      <c r="AH6" s="373"/>
      <c r="AI6" s="375">
        <v>365</v>
      </c>
      <c r="AJ6" s="377">
        <v>1.2E-2</v>
      </c>
      <c r="AK6" s="377">
        <v>1.4999999999999999E-2</v>
      </c>
      <c r="AL6" s="378">
        <v>1.5E-3</v>
      </c>
      <c r="AM6" s="379">
        <v>0.02</v>
      </c>
      <c r="AN6" s="2577" t="s">
        <v>3160</v>
      </c>
      <c r="AO6" s="344">
        <f ca="1">SUMIF(INDIRECT("'"&amp;AN6&amp;"'"&amp;"!A:A"),"总价",INDIRECT("'"&amp;AN6&amp;"'"&amp;"!B:B"))</f>
        <v>32607</v>
      </c>
      <c r="AP6" s="2894">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5" customFormat="1" ht="14.25">
      <c r="A7" s="2516">
        <f>'数据-汇总表'!C20</f>
        <v>0</v>
      </c>
      <c r="B7" s="2494"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7">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91">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4">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5"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5"/>
      <c r="I8" s="1475"/>
      <c r="J8" s="364"/>
      <c r="K8" s="2497">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91">
        <f t="shared" si="5"/>
        <v>0</v>
      </c>
      <c r="U8" s="1478"/>
      <c r="V8" s="1479"/>
      <c r="W8" s="1479"/>
      <c r="X8" s="2507"/>
      <c r="Y8" s="1480"/>
      <c r="Z8" s="371"/>
      <c r="AA8" s="364"/>
      <c r="AB8" s="364"/>
      <c r="AC8" s="2507"/>
      <c r="AD8" s="372"/>
      <c r="AE8" s="2508">
        <f t="shared" ca="1" si="6"/>
        <v>0</v>
      </c>
      <c r="AF8" s="352"/>
      <c r="AG8" s="478">
        <f t="shared" si="7"/>
        <v>0</v>
      </c>
      <c r="AH8" s="1481"/>
      <c r="AI8" s="375"/>
      <c r="AJ8" s="376"/>
      <c r="AK8" s="1482"/>
      <c r="AL8" s="1483"/>
      <c r="AM8" s="1484"/>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5"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5"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5"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5"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5"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5" customFormat="1" ht="14.25">
      <c r="A14" s="2491" t="s">
        <v>535</v>
      </c>
      <c r="B14" s="2494" t="s">
        <v>534</v>
      </c>
      <c r="C14" s="2495" t="s">
        <v>535</v>
      </c>
      <c r="D14" s="2057"/>
      <c r="E14" s="2051"/>
      <c r="F14" s="362"/>
      <c r="G14" s="363"/>
      <c r="H14" s="2496"/>
      <c r="I14" s="2496"/>
      <c r="J14" s="2496"/>
      <c r="K14" s="2497">
        <f>SUMIF('数据-汇总表'!C$19:C$33,A14,'数据-汇总表'!E$19:E$33)</f>
        <v>0</v>
      </c>
      <c r="L14" s="381"/>
      <c r="M14" s="365">
        <f t="shared" si="0"/>
        <v>0</v>
      </c>
      <c r="N14" s="382"/>
      <c r="O14" s="365" t="str">
        <f t="shared" si="3"/>
        <v>——</v>
      </c>
      <c r="P14" s="366" t="str">
        <f t="shared" si="4"/>
        <v>——</v>
      </c>
      <c r="Q14" s="2500"/>
      <c r="R14" s="367"/>
      <c r="S14" s="343"/>
      <c r="T14" s="2891"/>
      <c r="U14" s="1132"/>
      <c r="V14" s="2502"/>
      <c r="W14" s="2502"/>
      <c r="X14" s="2503"/>
      <c r="Y14" s="2504"/>
      <c r="Z14" s="2505"/>
      <c r="AA14" s="2506"/>
      <c r="AB14" s="2506"/>
      <c r="AC14" s="2507"/>
      <c r="AD14" s="2503"/>
      <c r="AE14" s="2508"/>
      <c r="AF14" s="344"/>
      <c r="AG14" s="478"/>
      <c r="AH14" s="2508"/>
      <c r="AI14" s="2512"/>
      <c r="AJ14" s="1321"/>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5" customFormat="1" ht="27">
      <c r="A15" s="2491" t="s">
        <v>2392</v>
      </c>
      <c r="B15" s="2494" t="s">
        <v>534</v>
      </c>
      <c r="C15" s="2495" t="s">
        <v>2096</v>
      </c>
      <c r="D15" s="2057"/>
      <c r="E15" s="2051"/>
      <c r="F15" s="362"/>
      <c r="G15" s="363"/>
      <c r="H15" s="2496"/>
      <c r="I15" s="2496"/>
      <c r="J15" s="2496"/>
      <c r="K15" s="2497">
        <f>SUMIF('数据-汇总表'!C$19:C$33,A15,'数据-汇总表'!E$19:E$33)</f>
        <v>0</v>
      </c>
      <c r="L15" s="2498"/>
      <c r="M15" s="365"/>
      <c r="N15" s="2499"/>
      <c r="O15" s="365"/>
      <c r="P15" s="366"/>
      <c r="Q15" s="2500"/>
      <c r="R15" s="367"/>
      <c r="S15" s="343"/>
      <c r="T15" s="2891"/>
      <c r="U15" s="1132"/>
      <c r="V15" s="2502"/>
      <c r="W15" s="2502"/>
      <c r="X15" s="2503"/>
      <c r="Y15" s="2504"/>
      <c r="Z15" s="2505"/>
      <c r="AA15" s="2506"/>
      <c r="AB15" s="2506"/>
      <c r="AC15" s="2507"/>
      <c r="AD15" s="2503"/>
      <c r="AE15" s="2508"/>
      <c r="AF15" s="344"/>
      <c r="AG15" s="478"/>
      <c r="AH15" s="2508"/>
      <c r="AI15" s="2512"/>
      <c r="AJ15" s="1321"/>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5" customFormat="1" ht="15.75" thickBot="1">
      <c r="A16" s="64" t="s">
        <v>4</v>
      </c>
      <c r="B16" s="65"/>
      <c r="C16" s="66"/>
      <c r="D16" s="67"/>
      <c r="E16" s="65"/>
      <c r="F16" s="387"/>
      <c r="G16" s="388">
        <f>ROUND(SUMPRODUCT(G6:G13,K6:K13)/SUMPRODUCT((G6:G13&gt;0)*(K6:K13)),3)</f>
        <v>0.876</v>
      </c>
      <c r="H16" s="389">
        <f>ROUND(SUMPRODUCT(H6:H13,K6:K13)/SUMPRODUCT((H6:H13&gt;0)*(K6:K13)),3)</f>
        <v>4.4999999999999998E-2</v>
      </c>
      <c r="I16" s="390"/>
      <c r="J16" s="390"/>
      <c r="K16" s="391">
        <f>SUM(K6:K15)</f>
        <v>12736.12000000001</v>
      </c>
      <c r="L16" s="392">
        <f>ROUND(M16*10000/SUM(K6:K14),0)</f>
        <v>2000</v>
      </c>
      <c r="M16" s="392">
        <f>SUM(M6:M14)</f>
        <v>2547</v>
      </c>
      <c r="N16" s="393">
        <f>ROUND(SUMPRODUCT(M6:M14,N6:N14)/M16,3)</f>
        <v>0.6</v>
      </c>
      <c r="O16" s="392">
        <f>SUM(O6:O14)</f>
        <v>0</v>
      </c>
      <c r="P16" s="392">
        <f>SUM(P6:P14)</f>
        <v>0</v>
      </c>
      <c r="Q16" s="394">
        <f>ROUND(SUMPRODUCT(Q6:Q13,K6:K13)/SUMPRODUCT((Q6:Q13&gt;0)*(K6:K13)),2)</f>
        <v>0.2</v>
      </c>
      <c r="R16" s="2501">
        <f ca="1">SUM(R6:R13)</f>
        <v>82323.28</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3"/>
      <c r="B17" s="1192"/>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4"/>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2408</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701</v>
      </c>
      <c r="B20" s="403">
        <v>2</v>
      </c>
      <c r="C20" s="2233" t="s">
        <v>2409</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702</v>
      </c>
      <c r="B21" s="403">
        <v>2</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703</v>
      </c>
      <c r="B22" s="404">
        <f>B19+B20</f>
        <v>2</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704</v>
      </c>
      <c r="B23" s="404">
        <f>B19+B21</f>
        <v>2</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705</v>
      </c>
      <c r="B24" s="405">
        <f>B20-B21</f>
        <v>0</v>
      </c>
      <c r="C24" s="2233"/>
      <c r="D24" s="2234"/>
      <c r="E24" s="2233"/>
      <c r="F24" s="2233"/>
      <c r="G24" s="2233"/>
      <c r="H24" s="2234"/>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6"/>
      <c r="B25" s="1194"/>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706</v>
      </c>
      <c r="B26" s="72" t="s">
        <v>707</v>
      </c>
      <c r="C26" s="2236" t="s">
        <v>708</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4" customFormat="1" ht="27">
      <c r="A27" s="73" t="s">
        <v>709</v>
      </c>
      <c r="B27" s="406"/>
      <c r="C27" s="2529" t="s">
        <v>710</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4" customFormat="1" ht="27">
      <c r="A28" s="74" t="s">
        <v>711</v>
      </c>
      <c r="B28" s="409">
        <v>160</v>
      </c>
      <c r="C28" s="2530"/>
      <c r="D28" s="2237"/>
      <c r="E28" s="2235"/>
      <c r="F28" s="2235"/>
      <c r="G28" s="2233"/>
      <c r="H28" s="2234"/>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4" customFormat="1" ht="27.75" thickBot="1">
      <c r="A29" s="280" t="s">
        <v>2686</v>
      </c>
      <c r="B29" s="411">
        <f ca="1">成本法!C10</f>
        <v>204</v>
      </c>
      <c r="C29" s="2529" t="s">
        <v>2687</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4" customFormat="1" ht="27">
      <c r="A30" s="279" t="s">
        <v>712</v>
      </c>
      <c r="B30" s="1133"/>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4" customFormat="1" ht="27">
      <c r="A31" s="74" t="s">
        <v>713</v>
      </c>
      <c r="B31" s="410">
        <f>B30-B32</f>
        <v>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4" customFormat="1" ht="27.75" thickBot="1">
      <c r="A32" s="76" t="s">
        <v>714</v>
      </c>
      <c r="B32" s="1134"/>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4" customFormat="1" ht="13.5">
      <c r="A33" s="73" t="s">
        <v>715</v>
      </c>
      <c r="B33" s="1135">
        <v>0.03</v>
      </c>
      <c r="C33" s="3289" t="s">
        <v>2998</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4" customFormat="1" ht="13.5">
      <c r="A34" s="74" t="s">
        <v>716</v>
      </c>
      <c r="B34" s="412">
        <v>0</v>
      </c>
      <c r="C34" s="3289" t="s">
        <v>2999</v>
      </c>
      <c r="D34" s="2234" t="s">
        <v>717</v>
      </c>
      <c r="E34" s="1192"/>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4" customFormat="1" ht="13.5">
      <c r="A35" s="74" t="s">
        <v>718</v>
      </c>
      <c r="B35" s="409">
        <v>200</v>
      </c>
      <c r="C35" s="3289" t="s">
        <v>3000</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719</v>
      </c>
      <c r="B36" s="413">
        <v>1.4999999999999999E-2</v>
      </c>
      <c r="C36" s="3289" t="s">
        <v>3001</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720</v>
      </c>
      <c r="B37" s="414">
        <v>0.02</v>
      </c>
      <c r="C37" s="3289" t="s">
        <v>3002</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721</v>
      </c>
      <c r="B38" s="412">
        <v>0.02</v>
      </c>
      <c r="C38" s="3289" t="s">
        <v>3002</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2536</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2612</v>
      </c>
      <c r="B40" s="2637">
        <f ca="1">存贷款利率!G1</f>
        <v>4.7500000000000001E-2</v>
      </c>
      <c r="C40" s="2531" t="s">
        <v>539</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722</v>
      </c>
      <c r="B41" s="415">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5" t="s">
        <v>723</v>
      </c>
      <c r="B42" s="416">
        <v>0.05</v>
      </c>
      <c r="C42" s="3314">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5" t="s">
        <v>724</v>
      </c>
      <c r="B43" s="417">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725</v>
      </c>
      <c r="B44" s="418">
        <v>0.05</v>
      </c>
      <c r="C44" s="3289" t="s">
        <v>3004</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726</v>
      </c>
      <c r="B45" s="416">
        <v>0.03</v>
      </c>
      <c r="C45" s="3290" t="s">
        <v>3003</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727</v>
      </c>
      <c r="B46" s="416">
        <v>0.02</v>
      </c>
      <c r="C46" s="3290" t="s">
        <v>3031</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728</v>
      </c>
      <c r="B47" s="419"/>
      <c r="C47" s="2529" t="s">
        <v>729</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730</v>
      </c>
      <c r="B48" s="420">
        <v>0.03</v>
      </c>
      <c r="C48" s="3312" t="s">
        <v>3032</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731</v>
      </c>
      <c r="B49" s="416">
        <v>5.0000000000000001E-4</v>
      </c>
      <c r="C49" s="3312" t="s">
        <v>3033</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732</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733</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734</v>
      </c>
      <c r="B52" s="423">
        <f>SUMIF(A54:A63,B53,B54:B63)</f>
        <v>1.5</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735</v>
      </c>
      <c r="B53" s="41" t="s">
        <v>202</v>
      </c>
      <c r="C53" s="2235" t="s">
        <v>3005</v>
      </c>
      <c r="D53" s="2238" t="s">
        <v>3009</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164</v>
      </c>
      <c r="B54" s="374"/>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165</v>
      </c>
      <c r="B55" s="374"/>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160</v>
      </c>
      <c r="B56" s="374"/>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161</v>
      </c>
      <c r="B57" s="374"/>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162</v>
      </c>
      <c r="B58" s="374"/>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163</v>
      </c>
      <c r="B59" s="374">
        <v>1.5</v>
      </c>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1177</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3006</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3007</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3008</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2"/>
      <c r="D64" s="2244"/>
      <c r="K64" s="2245"/>
      <c r="L64" s="2245"/>
    </row>
    <row r="65" spans="1:12" s="2243" customFormat="1">
      <c r="A65" s="1452"/>
      <c r="D65" s="2244"/>
      <c r="K65" s="2245"/>
      <c r="L65" s="2245"/>
    </row>
    <row r="66" spans="1:12" s="2243" customFormat="1">
      <c r="A66" s="1452"/>
      <c r="D66" s="2244"/>
      <c r="K66" s="2245"/>
      <c r="L66" s="2245"/>
    </row>
    <row r="67" spans="1:12" s="2243" customFormat="1">
      <c r="A67" s="1452"/>
      <c r="D67" s="2244"/>
      <c r="K67" s="2245"/>
      <c r="L67" s="2245"/>
    </row>
    <row r="68" spans="1:12" s="2243" customFormat="1">
      <c r="A68" s="1452"/>
      <c r="D68" s="2244"/>
      <c r="K68" s="2245"/>
      <c r="L68" s="2245"/>
    </row>
    <row r="69" spans="1:12" s="2243" customFormat="1">
      <c r="A69" s="1452"/>
      <c r="D69" s="2244"/>
      <c r="K69" s="2245"/>
      <c r="L69" s="2245"/>
    </row>
    <row r="70" spans="1:12" s="2243" customFormat="1">
      <c r="A70" s="1452"/>
      <c r="D70" s="2244"/>
      <c r="K70" s="2245"/>
      <c r="L70" s="2245"/>
    </row>
    <row r="71" spans="1:12" s="2243" customFormat="1">
      <c r="A71" s="1452"/>
      <c r="D71" s="2244"/>
      <c r="K71" s="2245"/>
      <c r="L71" s="2245"/>
    </row>
    <row r="72" spans="1:12" s="2243" customFormat="1">
      <c r="A72" s="1452"/>
      <c r="D72" s="2244"/>
      <c r="K72" s="2245"/>
      <c r="L72" s="2245"/>
    </row>
    <row r="73" spans="1:12" s="2243" customFormat="1">
      <c r="A73" s="1452"/>
      <c r="D73" s="2244"/>
      <c r="K73" s="2245"/>
      <c r="L73" s="2245"/>
    </row>
    <row r="74" spans="1:12" s="2243" customFormat="1">
      <c r="A74" s="1452"/>
      <c r="D74" s="2244"/>
      <c r="K74" s="2245"/>
      <c r="L74" s="2245"/>
    </row>
    <row r="75" spans="1:12" s="2243" customFormat="1">
      <c r="A75" s="1452"/>
      <c r="D75" s="2244"/>
      <c r="K75" s="2245"/>
      <c r="L75" s="2245"/>
    </row>
    <row r="76" spans="1:12" s="2243" customFormat="1">
      <c r="A76" s="1452"/>
      <c r="D76" s="2244"/>
      <c r="K76" s="2245"/>
      <c r="L76" s="2245"/>
    </row>
    <row r="77" spans="1:12" s="2243" customFormat="1">
      <c r="A77" s="1452"/>
      <c r="D77" s="2244"/>
      <c r="K77" s="2245"/>
      <c r="L77" s="2245"/>
    </row>
    <row r="78" spans="1:12" s="2243" customFormat="1">
      <c r="A78" s="1452"/>
      <c r="D78" s="2244"/>
      <c r="K78" s="2245"/>
      <c r="L78" s="2245"/>
    </row>
    <row r="79" spans="1:12" s="2243" customFormat="1">
      <c r="A79" s="1452"/>
      <c r="D79" s="2244"/>
      <c r="K79" s="2245"/>
      <c r="L79" s="2245"/>
    </row>
    <row r="80" spans="1:12" s="2243" customFormat="1">
      <c r="A80" s="1452"/>
      <c r="D80" s="2244"/>
      <c r="K80" s="2245"/>
      <c r="L80" s="2245"/>
    </row>
    <row r="81" spans="1:12" s="2243" customFormat="1">
      <c r="A81" s="1452"/>
      <c r="D81" s="2244"/>
      <c r="K81" s="2245"/>
      <c r="L81" s="2245"/>
    </row>
    <row r="82" spans="1:12" s="2243" customFormat="1">
      <c r="A82" s="1452"/>
      <c r="D82" s="2244"/>
      <c r="K82" s="2245"/>
      <c r="L82" s="2245"/>
    </row>
    <row r="83" spans="1:12" s="2243" customFormat="1">
      <c r="A83" s="1452"/>
      <c r="D83" s="2244"/>
      <c r="K83" s="2245"/>
      <c r="L83" s="2245"/>
    </row>
    <row r="84" spans="1:12" s="2243" customFormat="1">
      <c r="A84" s="1452"/>
      <c r="D84" s="2244"/>
      <c r="K84" s="2245"/>
      <c r="L84" s="2245"/>
    </row>
    <row r="85" spans="1:12" s="2243" customFormat="1">
      <c r="A85" s="1452"/>
      <c r="D85" s="2244"/>
      <c r="K85" s="2245"/>
      <c r="L85" s="2245"/>
    </row>
    <row r="86" spans="1:12" s="2243" customFormat="1">
      <c r="A86" s="1452"/>
      <c r="D86" s="2244"/>
      <c r="K86" s="2245"/>
      <c r="L86" s="2245"/>
    </row>
    <row r="87" spans="1:12" s="2243" customFormat="1">
      <c r="A87" s="1452"/>
      <c r="D87" s="2244"/>
      <c r="K87" s="2245"/>
      <c r="L87" s="2245"/>
    </row>
    <row r="88" spans="1:12" s="2243" customFormat="1">
      <c r="A88" s="1452"/>
      <c r="D88" s="2244"/>
      <c r="K88" s="2245"/>
      <c r="L88" s="2245"/>
    </row>
    <row r="89" spans="1:12" s="2243" customFormat="1">
      <c r="A89" s="1452"/>
      <c r="D89" s="2244"/>
      <c r="K89" s="2245"/>
      <c r="L89" s="2245"/>
    </row>
    <row r="90" spans="1:12" s="2243" customFormat="1">
      <c r="A90" s="1452"/>
      <c r="D90" s="2244"/>
      <c r="K90" s="2245"/>
      <c r="L90" s="2245"/>
    </row>
    <row r="91" spans="1:12" s="2243" customFormat="1">
      <c r="A91" s="1452"/>
      <c r="D91" s="2244"/>
      <c r="K91" s="2245"/>
      <c r="L91" s="2245"/>
    </row>
    <row r="92" spans="1:12" s="2243" customFormat="1">
      <c r="A92" s="1452"/>
      <c r="D92" s="2244"/>
      <c r="K92" s="2245"/>
      <c r="L92" s="2245"/>
    </row>
    <row r="93" spans="1:12" s="2243" customFormat="1">
      <c r="A93" s="1452"/>
      <c r="D93" s="2244"/>
      <c r="K93" s="2245"/>
      <c r="L93" s="2245"/>
    </row>
    <row r="94" spans="1:12" s="2243" customFormat="1">
      <c r="A94" s="1452"/>
      <c r="D94" s="2244"/>
      <c r="K94" s="2245"/>
      <c r="L94" s="2245"/>
    </row>
    <row r="95" spans="1:12" s="2243" customFormat="1">
      <c r="A95" s="1452"/>
      <c r="D95" s="2244"/>
      <c r="K95" s="2245"/>
      <c r="L95" s="2245"/>
    </row>
    <row r="96" spans="1:12" s="2243" customFormat="1">
      <c r="A96" s="1452"/>
      <c r="D96" s="2244"/>
      <c r="K96" s="2245"/>
      <c r="L96" s="2245"/>
    </row>
    <row r="97" spans="1:12" s="2243" customFormat="1">
      <c r="A97" s="1452"/>
      <c r="D97" s="2244"/>
      <c r="K97" s="2245"/>
      <c r="L97" s="2245"/>
    </row>
    <row r="98" spans="1:12" s="2243" customFormat="1">
      <c r="A98" s="1452"/>
      <c r="D98" s="2244"/>
      <c r="K98" s="2245"/>
      <c r="L98" s="2245"/>
    </row>
    <row r="99" spans="1:12" s="2243" customFormat="1">
      <c r="A99" s="1452"/>
      <c r="D99" s="2244"/>
      <c r="K99" s="2245"/>
      <c r="L99" s="2245"/>
    </row>
    <row r="100" spans="1:12" s="2243" customFormat="1">
      <c r="A100" s="1452"/>
      <c r="D100" s="2244"/>
      <c r="K100" s="2245"/>
      <c r="L100" s="2245"/>
    </row>
    <row r="101" spans="1:12" s="2243" customFormat="1">
      <c r="A101" s="1452"/>
      <c r="D101" s="2244"/>
      <c r="K101" s="2245"/>
      <c r="L101" s="2245"/>
    </row>
    <row r="102" spans="1:12" s="2243" customFormat="1">
      <c r="A102" s="1452"/>
      <c r="D102" s="2244"/>
      <c r="K102" s="2245"/>
      <c r="L102" s="2245"/>
    </row>
    <row r="103" spans="1:12" s="2243" customFormat="1">
      <c r="A103" s="1452"/>
      <c r="D103" s="2244"/>
      <c r="K103" s="2245"/>
      <c r="L103" s="2245"/>
    </row>
    <row r="104" spans="1:12" s="2243" customFormat="1">
      <c r="A104" s="1452"/>
      <c r="D104" s="2244"/>
      <c r="K104" s="2245"/>
      <c r="L104" s="2245"/>
    </row>
    <row r="105" spans="1:12" s="2243" customFormat="1">
      <c r="A105" s="1452"/>
      <c r="D105" s="2244"/>
      <c r="K105" s="2245"/>
      <c r="L105" s="2245"/>
    </row>
    <row r="106" spans="1:12" s="2243" customFormat="1">
      <c r="A106" s="1452"/>
      <c r="D106" s="2244"/>
      <c r="K106" s="2245"/>
      <c r="L106" s="2245"/>
    </row>
    <row r="107" spans="1:12" s="2243" customFormat="1">
      <c r="A107" s="1452"/>
      <c r="D107" s="2244"/>
      <c r="K107" s="2245"/>
      <c r="L107" s="2245"/>
    </row>
    <row r="108" spans="1:12" s="2243" customFormat="1">
      <c r="A108" s="1452"/>
      <c r="D108" s="2244"/>
      <c r="K108" s="2245"/>
      <c r="L108" s="2245"/>
    </row>
    <row r="109" spans="1:12" s="2243" customFormat="1">
      <c r="A109" s="1452"/>
      <c r="D109" s="2244"/>
      <c r="K109" s="2245"/>
      <c r="L109" s="2245"/>
    </row>
    <row r="110" spans="1:12" s="2243" customFormat="1">
      <c r="A110" s="1452"/>
      <c r="D110" s="2244"/>
      <c r="K110" s="2245"/>
      <c r="L110" s="2245"/>
    </row>
    <row r="111" spans="1:12" s="2243" customFormat="1">
      <c r="A111" s="1452"/>
      <c r="D111" s="2244"/>
      <c r="K111" s="2245"/>
      <c r="L111" s="2245"/>
    </row>
    <row r="112" spans="1:12" s="2243" customFormat="1">
      <c r="A112" s="1452"/>
      <c r="D112" s="2244"/>
      <c r="K112" s="2245"/>
      <c r="L112" s="2245"/>
    </row>
    <row r="113" spans="1:12" s="2243" customFormat="1">
      <c r="A113" s="1452"/>
      <c r="D113" s="2244"/>
      <c r="K113" s="2245"/>
      <c r="L113" s="2245"/>
    </row>
    <row r="114" spans="1:12" s="2243" customFormat="1">
      <c r="A114" s="1452"/>
      <c r="D114" s="2244"/>
      <c r="K114" s="2245"/>
      <c r="L114" s="2245"/>
    </row>
    <row r="115" spans="1:12" s="2243" customFormat="1">
      <c r="A115" s="1452"/>
      <c r="D115" s="2244"/>
      <c r="K115" s="2245"/>
      <c r="L115" s="2245"/>
    </row>
    <row r="116" spans="1:12" s="2243" customFormat="1">
      <c r="A116" s="1452"/>
      <c r="D116" s="2244"/>
      <c r="K116" s="2245"/>
      <c r="L116" s="2245"/>
    </row>
    <row r="117" spans="1:12" s="2243" customFormat="1">
      <c r="A117" s="1452"/>
      <c r="D117" s="2244"/>
      <c r="K117" s="2245"/>
      <c r="L117" s="2245"/>
    </row>
    <row r="118" spans="1:12" s="2243" customFormat="1">
      <c r="A118" s="1452"/>
      <c r="D118" s="2244"/>
      <c r="K118" s="2245"/>
      <c r="L118" s="2245"/>
    </row>
    <row r="119" spans="1:12" s="2243" customFormat="1">
      <c r="A119" s="1452"/>
      <c r="D119" s="2244"/>
      <c r="K119" s="2245"/>
      <c r="L119" s="2245"/>
    </row>
    <row r="120" spans="1:12" s="2243" customFormat="1">
      <c r="A120" s="1452"/>
      <c r="D120" s="2244"/>
      <c r="K120" s="2245"/>
      <c r="L120" s="2245"/>
    </row>
    <row r="121" spans="1:12" s="2243" customFormat="1">
      <c r="A121" s="1452"/>
      <c r="D121" s="2244"/>
      <c r="K121" s="2245"/>
      <c r="L121" s="2245"/>
    </row>
    <row r="122" spans="1:12" s="2243" customFormat="1">
      <c r="A122" s="1452"/>
      <c r="D122" s="2244"/>
      <c r="K122" s="2245"/>
      <c r="L122" s="2245"/>
    </row>
    <row r="123" spans="1:12" s="2243" customFormat="1">
      <c r="A123" s="1452"/>
      <c r="D123" s="2244"/>
      <c r="K123" s="2245"/>
      <c r="L123" s="2245"/>
    </row>
    <row r="124" spans="1:12" s="2243" customFormat="1">
      <c r="A124" s="1452"/>
      <c r="D124" s="2244"/>
      <c r="K124" s="2245"/>
      <c r="L124" s="2245"/>
    </row>
    <row r="125" spans="1:12" s="2243" customFormat="1">
      <c r="A125" s="1452"/>
      <c r="D125" s="2244"/>
      <c r="K125" s="2245"/>
      <c r="L125" s="2245"/>
    </row>
    <row r="126" spans="1:12" s="2243" customFormat="1">
      <c r="A126" s="1452"/>
      <c r="D126" s="2244"/>
      <c r="K126" s="2245"/>
      <c r="L126" s="2245"/>
    </row>
    <row r="127" spans="1:12" s="2243" customFormat="1">
      <c r="A127" s="1452"/>
      <c r="D127" s="2244"/>
      <c r="K127" s="2245"/>
      <c r="L127" s="2245"/>
    </row>
    <row r="128" spans="1:12" s="2243" customFormat="1">
      <c r="A128" s="1452"/>
      <c r="D128" s="2244"/>
      <c r="K128" s="2245"/>
      <c r="L128" s="2245"/>
    </row>
    <row r="129" spans="1:12" s="2243" customFormat="1">
      <c r="A129" s="1452"/>
      <c r="D129" s="2244"/>
      <c r="K129" s="2245"/>
      <c r="L129" s="2245"/>
    </row>
    <row r="130" spans="1:12" s="2243" customFormat="1">
      <c r="A130" s="1452"/>
      <c r="D130" s="2244"/>
      <c r="K130" s="2245"/>
      <c r="L130" s="2245"/>
    </row>
    <row r="131" spans="1:12" s="2243" customFormat="1">
      <c r="A131" s="1452"/>
      <c r="D131" s="2244"/>
      <c r="K131" s="2245"/>
      <c r="L131" s="2245"/>
    </row>
    <row r="132" spans="1:12" s="2243" customFormat="1">
      <c r="A132" s="1452"/>
      <c r="D132" s="2244"/>
      <c r="K132" s="2245"/>
      <c r="L132" s="2245"/>
    </row>
    <row r="133" spans="1:12" s="2243" customFormat="1">
      <c r="A133" s="1452"/>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515" t="s">
        <v>750</v>
      </c>
      <c r="B1" s="3516"/>
      <c r="C1" s="3516"/>
      <c r="D1" s="3516"/>
      <c r="E1" s="3516"/>
      <c r="F1" s="3516"/>
      <c r="G1" s="3516"/>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8"/>
      <c r="B2" s="1209"/>
      <c r="C2" s="1210" t="s">
        <v>751</v>
      </c>
      <c r="D2" s="1211"/>
      <c r="E2" s="1212"/>
      <c r="F2" s="1199"/>
      <c r="G2" s="1210" t="s">
        <v>752</v>
      </c>
      <c r="H2" s="2256"/>
      <c r="I2" s="2256"/>
      <c r="J2" s="2256"/>
      <c r="K2" s="2256"/>
      <c r="L2" s="2256"/>
      <c r="M2" s="2256"/>
      <c r="N2" s="2256"/>
      <c r="O2" s="2256"/>
      <c r="P2" s="2256"/>
      <c r="Q2" s="2256"/>
      <c r="R2" s="2256"/>
    </row>
    <row r="3" spans="1:29" ht="40.5">
      <c r="A3" s="1020" t="s">
        <v>753</v>
      </c>
      <c r="B3" s="51" t="s">
        <v>52</v>
      </c>
      <c r="C3" s="3291"/>
      <c r="D3" s="2257"/>
      <c r="E3" s="1029" t="s">
        <v>753</v>
      </c>
      <c r="F3" s="1213" t="s">
        <v>99</v>
      </c>
      <c r="G3" s="3295" t="s">
        <v>3011</v>
      </c>
      <c r="H3" s="2256"/>
      <c r="I3" s="2256"/>
      <c r="J3" s="2256"/>
      <c r="K3" s="2256"/>
      <c r="L3" s="2256"/>
      <c r="M3" s="2256"/>
      <c r="N3" s="2256"/>
      <c r="O3" s="2256"/>
      <c r="P3" s="2256"/>
      <c r="Q3" s="2256"/>
      <c r="R3" s="2256"/>
    </row>
    <row r="4" spans="1:29" ht="40.5">
      <c r="A4" s="1029"/>
      <c r="B4" s="2212" t="s">
        <v>754</v>
      </c>
      <c r="C4" s="3292"/>
      <c r="D4" s="2257"/>
      <c r="E4" s="1214"/>
      <c r="F4" s="2216" t="s">
        <v>755</v>
      </c>
      <c r="G4" s="3293" t="s">
        <v>756</v>
      </c>
      <c r="H4" s="2256"/>
      <c r="I4" s="2256"/>
      <c r="J4" s="2256"/>
      <c r="K4" s="2256"/>
      <c r="L4" s="2256"/>
      <c r="M4" s="2256"/>
      <c r="N4" s="2256"/>
      <c r="O4" s="2256"/>
      <c r="P4" s="2256"/>
      <c r="Q4" s="2256"/>
      <c r="R4" s="2256"/>
    </row>
    <row r="5" spans="1:29" ht="81">
      <c r="A5" s="1029"/>
      <c r="B5" s="2212" t="s">
        <v>757</v>
      </c>
      <c r="C5" s="3292" t="s">
        <v>3166</v>
      </c>
      <c r="D5" s="2257"/>
      <c r="E5" s="1214"/>
      <c r="F5" s="2745" t="s">
        <v>2629</v>
      </c>
      <c r="G5" s="3293" t="s">
        <v>2631</v>
      </c>
      <c r="H5" s="2256"/>
      <c r="I5" s="2256"/>
      <c r="J5" s="2256"/>
      <c r="K5" s="2256"/>
      <c r="L5" s="2256"/>
      <c r="M5" s="2256"/>
      <c r="N5" s="2256"/>
      <c r="O5" s="2256"/>
      <c r="P5" s="2256"/>
      <c r="Q5" s="2256"/>
      <c r="R5" s="2256"/>
    </row>
    <row r="6" spans="1:29" ht="94.5">
      <c r="A6" s="1029"/>
      <c r="B6" s="2212" t="s">
        <v>72</v>
      </c>
      <c r="C6" s="3293" t="s">
        <v>3167</v>
      </c>
      <c r="D6" s="2257"/>
      <c r="E6" s="1214"/>
      <c r="F6" s="2745" t="s">
        <v>2628</v>
      </c>
      <c r="G6" s="3293" t="s">
        <v>2630</v>
      </c>
      <c r="H6" s="2256"/>
      <c r="I6" s="2256"/>
      <c r="J6" s="2256"/>
      <c r="K6" s="2256"/>
      <c r="L6" s="2256"/>
      <c r="M6" s="2256"/>
      <c r="N6" s="2256"/>
      <c r="O6" s="2256"/>
      <c r="P6" s="2256"/>
      <c r="Q6" s="2256"/>
      <c r="R6" s="2256"/>
    </row>
    <row r="7" spans="1:29" ht="122.25" thickBot="1">
      <c r="A7" s="1029"/>
      <c r="B7" s="2212" t="s">
        <v>2629</v>
      </c>
      <c r="C7" s="3293" t="s">
        <v>3168</v>
      </c>
      <c r="D7" s="2258"/>
      <c r="E7" s="1215"/>
      <c r="F7" s="1216" t="s">
        <v>736</v>
      </c>
      <c r="G7" s="3296" t="s">
        <v>3012</v>
      </c>
      <c r="H7" s="2256"/>
      <c r="I7" s="2256"/>
      <c r="J7" s="2256"/>
      <c r="K7" s="2256"/>
      <c r="L7" s="2256"/>
      <c r="M7" s="2256"/>
      <c r="N7" s="2256"/>
      <c r="O7" s="2256"/>
      <c r="P7" s="2256"/>
      <c r="Q7" s="2256"/>
      <c r="R7" s="2256"/>
    </row>
    <row r="8" spans="1:29" ht="27">
      <c r="A8" s="1029"/>
      <c r="B8" s="2745" t="s">
        <v>2628</v>
      </c>
      <c r="C8" s="3293" t="s">
        <v>3169</v>
      </c>
      <c r="D8" s="2258"/>
      <c r="E8" s="2258"/>
      <c r="F8" s="2259"/>
      <c r="G8" s="2259"/>
      <c r="H8" s="2256"/>
      <c r="I8" s="2256"/>
      <c r="J8" s="2256"/>
      <c r="K8" s="2256"/>
      <c r="L8" s="2256"/>
      <c r="M8" s="2256"/>
      <c r="N8" s="2256"/>
      <c r="O8" s="2256"/>
      <c r="P8" s="2256"/>
      <c r="Q8" s="2256"/>
      <c r="R8" s="2256"/>
    </row>
    <row r="9" spans="1:29" ht="94.5">
      <c r="A9" s="1029"/>
      <c r="B9" s="2212" t="s">
        <v>73</v>
      </c>
      <c r="C9" s="3292" t="s">
        <v>3170</v>
      </c>
      <c r="D9" s="2257"/>
      <c r="E9" s="2258"/>
      <c r="F9" s="2259"/>
      <c r="G9" s="2259"/>
      <c r="H9" s="2256"/>
      <c r="I9" s="2256"/>
      <c r="J9" s="2256"/>
      <c r="K9" s="2256"/>
      <c r="L9" s="2256"/>
      <c r="M9" s="2256"/>
      <c r="N9" s="2256"/>
      <c r="O9" s="2256"/>
      <c r="P9" s="2256"/>
      <c r="Q9" s="2256"/>
      <c r="R9" s="2256"/>
    </row>
    <row r="10" spans="1:29" s="40" customFormat="1" ht="14.25" thickBot="1">
      <c r="A10" s="1218"/>
      <c r="B10" s="1219" t="s">
        <v>737</v>
      </c>
      <c r="C10" s="3294" t="s">
        <v>3177</v>
      </c>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7"/>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7"/>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738</v>
      </c>
      <c r="B13" s="2743"/>
      <c r="C13" s="2743"/>
      <c r="D13" s="2255"/>
      <c r="E13" s="2743"/>
      <c r="F13" s="2743"/>
      <c r="G13" s="2743"/>
    </row>
    <row r="14" spans="1:29" ht="14.25" thickBot="1">
      <c r="A14" s="1220"/>
      <c r="B14" s="1221"/>
      <c r="C14" s="1222" t="s">
        <v>739</v>
      </c>
      <c r="D14" s="2257"/>
      <c r="E14" s="1223"/>
      <c r="F14" s="1223"/>
      <c r="G14" s="1210" t="s">
        <v>740</v>
      </c>
    </row>
    <row r="15" spans="1:29" ht="40.5">
      <c r="A15" s="46" t="s">
        <v>741</v>
      </c>
      <c r="B15" s="14" t="s">
        <v>52</v>
      </c>
      <c r="C15" s="1224">
        <f>C3</f>
        <v>0</v>
      </c>
      <c r="D15" s="2257"/>
      <c r="E15" s="2758" t="s">
        <v>742</v>
      </c>
      <c r="F15" s="14" t="s">
        <v>743</v>
      </c>
      <c r="G15" s="1022" t="str">
        <f>G3</f>
        <v>估价对象位于XX开发区，园区建设成熟度XX，产业集聚程度XX</v>
      </c>
    </row>
    <row r="16" spans="1:29" ht="40.5">
      <c r="A16" s="2761"/>
      <c r="B16" s="1225" t="s">
        <v>744</v>
      </c>
      <c r="C16" s="1226">
        <f>C4</f>
        <v>0</v>
      </c>
      <c r="D16" s="2257"/>
      <c r="E16" s="2759"/>
      <c r="F16" s="1227" t="s">
        <v>745</v>
      </c>
      <c r="G16" s="1024" t="str">
        <f>G4</f>
        <v>估价对象周边道路状况、公共交通通达情况、停车便捷程度，综合评价交通便捷度较好</v>
      </c>
    </row>
    <row r="17" spans="1:18" ht="81">
      <c r="A17" s="2761"/>
      <c r="B17" s="1225" t="s">
        <v>746</v>
      </c>
      <c r="C17" s="1226" t="str">
        <f>C5</f>
        <v>估价对象位于怀柔区杨宋镇，目前投用项目有中影基地、星美影视城、百汇演艺学校等类似用房以及相关行业酒店等配套设施，产业聚集度较好</v>
      </c>
      <c r="D17" s="2258"/>
      <c r="E17" s="2759"/>
      <c r="F17" s="1227" t="s">
        <v>747</v>
      </c>
      <c r="G17" s="271"/>
    </row>
    <row r="18" spans="1:18" ht="94.5">
      <c r="A18" s="2761"/>
      <c r="B18" s="1227" t="s">
        <v>72</v>
      </c>
      <c r="C18" s="1024" t="str">
        <f>C6</f>
        <v>估价对象紧邻城市次干道——怀耿路，半径1公里内有866、H07、H09、H44路等公交线路，周边有怀耿路、杨雁路两条城市次干道，西北距离怀柔火车站4公里，交通便捷度较差</v>
      </c>
      <c r="D18" s="2258"/>
      <c r="E18" s="2759"/>
      <c r="F18" s="1227" t="s">
        <v>736</v>
      </c>
      <c r="G18" s="1024" t="str">
        <f>G7</f>
        <v>该园区内是否有污染型企业，绿化情况，卫生条件，整体环境状况判断</v>
      </c>
    </row>
    <row r="19" spans="1:18" ht="27">
      <c r="A19" s="2761"/>
      <c r="B19" s="1227" t="s">
        <v>91</v>
      </c>
      <c r="C19" s="271" t="s">
        <v>3172</v>
      </c>
      <c r="D19" s="2257"/>
      <c r="E19" s="2759"/>
      <c r="F19" s="2745" t="s">
        <v>2629</v>
      </c>
      <c r="G19" s="1024" t="str">
        <f>G5</f>
        <v>估价对象所在区域公共配套设施齐备情况</v>
      </c>
    </row>
    <row r="20" spans="1:18" ht="94.5">
      <c r="A20" s="2761"/>
      <c r="B20" s="1227" t="s">
        <v>90</v>
      </c>
      <c r="C20" s="1226" t="str">
        <f>C9</f>
        <v>周边约1公里范围内有北京影视研修学院、北京怀柔中视腾飞影视培训学校等演艺教育学校，人文环境一般；周边有约1公里有栖河，自然环境一般。综合评价自然与人文环境一般</v>
      </c>
      <c r="D20" s="2258"/>
      <c r="E20" s="2759"/>
      <c r="F20" s="2745" t="s">
        <v>2628</v>
      </c>
      <c r="G20" s="1024" t="str">
        <f>G6</f>
        <v>估价对象所在区域基础设施水平</v>
      </c>
    </row>
    <row r="21" spans="1:18" ht="121.5">
      <c r="A21" s="2761"/>
      <c r="B21" s="2745" t="s">
        <v>2629</v>
      </c>
      <c r="C21" s="1024" t="str">
        <f>C7</f>
        <v>周边2公里内的公共服务配套设施情况一般，无大型购物场所、医院（怀柔区杨宋镇卫生院）、银行（中国邮政储蓄银行）、学校（北京影视研修学院、北京怀柔中视腾飞影视培训学校）、餐饮等公共服务配套设施。</v>
      </c>
      <c r="D21" s="2257"/>
      <c r="E21" s="2759"/>
      <c r="F21" s="1227" t="s">
        <v>89</v>
      </c>
      <c r="G21" s="283"/>
    </row>
    <row r="22" spans="1:18" ht="13.5" customHeight="1">
      <c r="A22" s="2761"/>
      <c r="B22" s="2745" t="s">
        <v>2628</v>
      </c>
      <c r="C22" s="1024" t="str">
        <f>C8</f>
        <v>估价对象所在区域基础设施水平达到七通</v>
      </c>
      <c r="D22" s="2257"/>
      <c r="E22" s="2759"/>
      <c r="F22" s="1227" t="s">
        <v>748</v>
      </c>
      <c r="G22" s="271"/>
    </row>
    <row r="23" spans="1:18" s="2256" customFormat="1" ht="14.25" thickBot="1">
      <c r="A23" s="2761"/>
      <c r="B23" s="1227" t="s">
        <v>89</v>
      </c>
      <c r="C23" s="283" t="s">
        <v>3173</v>
      </c>
      <c r="D23" s="2269"/>
      <c r="E23" s="2760"/>
      <c r="F23" s="1228" t="s">
        <v>749</v>
      </c>
      <c r="G23" s="284"/>
      <c r="H23" s="2269"/>
      <c r="I23" s="2270"/>
      <c r="J23" s="2269"/>
      <c r="K23" s="2269"/>
      <c r="L23" s="2270"/>
      <c r="M23" s="2269"/>
      <c r="N23" s="2269"/>
      <c r="O23" s="2270"/>
      <c r="P23" s="2269"/>
      <c r="Q23" s="2269"/>
      <c r="R23" s="2271"/>
    </row>
    <row r="24" spans="1:18" s="2256" customFormat="1" ht="14.25" thickBot="1">
      <c r="A24" s="2762"/>
      <c r="B24" s="1228" t="s">
        <v>88</v>
      </c>
      <c r="C24" s="1229" t="str">
        <f>C10</f>
        <v>城市主干道-怀耿路</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2981</v>
      </c>
      <c r="B1" s="3255">
        <f>SUM(B14:B23)</f>
        <v>12736.12000000001</v>
      </c>
      <c r="C1" s="3254"/>
      <c r="D1" s="3254"/>
      <c r="E1" s="3254"/>
      <c r="F1" s="3254"/>
      <c r="G1" s="3252"/>
    </row>
    <row r="2" spans="1:10" ht="16.5">
      <c r="A2" s="3255" t="s">
        <v>2969</v>
      </c>
      <c r="B2" s="3255">
        <f>SUM(C14:C23)</f>
        <v>82323.28</v>
      </c>
      <c r="C2" s="3254"/>
      <c r="D2" s="3254"/>
      <c r="E2" s="3254"/>
      <c r="F2" s="3254"/>
      <c r="G2" s="3252"/>
    </row>
    <row r="3" spans="1:10" ht="16.5">
      <c r="A3" s="3255" t="s">
        <v>2978</v>
      </c>
      <c r="B3" s="3256">
        <f>项目基本情况!D3</f>
        <v>42986</v>
      </c>
      <c r="C3" s="3254"/>
      <c r="D3" s="3254"/>
      <c r="E3" s="3254"/>
      <c r="F3" s="3254"/>
      <c r="G3" s="3252"/>
    </row>
    <row r="4" spans="1:10" ht="33">
      <c r="A4" s="3255" t="s">
        <v>2977</v>
      </c>
      <c r="B4" s="3255" t="s">
        <v>2976</v>
      </c>
      <c r="C4" s="3255" t="s">
        <v>2975</v>
      </c>
      <c r="D4" s="3255" t="s">
        <v>2974</v>
      </c>
      <c r="E4" s="3254"/>
      <c r="F4" s="3252"/>
      <c r="G4" s="3252"/>
    </row>
    <row r="5" spans="1:10" ht="16.5">
      <c r="A5" s="3255" t="s">
        <v>2973</v>
      </c>
      <c r="B5" s="3255">
        <f ca="1">SUM(D14:D23)</f>
        <v>31162</v>
      </c>
      <c r="C5" s="3255">
        <f ca="1">ROUND(B5*10000/$B$1,0)</f>
        <v>24467</v>
      </c>
      <c r="D5" s="3255">
        <f ca="1">ROUND(B5*10000/$B$2,0)</f>
        <v>3785</v>
      </c>
      <c r="E5" s="3254"/>
      <c r="F5" s="3252"/>
      <c r="G5" s="3252"/>
    </row>
    <row r="6" spans="1:10" ht="16.5">
      <c r="A6" s="3255" t="s">
        <v>2972</v>
      </c>
      <c r="B6" s="3255">
        <f ca="1">SUM(G14:G23)</f>
        <v>31162</v>
      </c>
      <c r="C6" s="3255">
        <f ca="1">ROUND(B6*10000/$B$1,0)</f>
        <v>24467</v>
      </c>
      <c r="D6" s="3255">
        <f ca="1">ROUND(B6*10000/$B$2,0)</f>
        <v>3785</v>
      </c>
      <c r="E6" s="3254"/>
      <c r="F6" s="3252"/>
      <c r="G6" s="3252"/>
    </row>
    <row r="7" spans="1:10" ht="16.5">
      <c r="A7" s="3255" t="s">
        <v>2980</v>
      </c>
      <c r="B7" s="3255">
        <f>SUM(H14:H23)</f>
        <v>0</v>
      </c>
      <c r="C7" s="3255">
        <f>ROUND(B7*10000/$B$1,0)</f>
        <v>0</v>
      </c>
      <c r="D7" s="3255">
        <f>ROUND(B7*10000/$B$2,0)</f>
        <v>0</v>
      </c>
      <c r="E7" s="3254"/>
      <c r="F7" s="3252"/>
      <c r="G7" s="3252"/>
    </row>
    <row r="8" spans="1:10" ht="16.5">
      <c r="A8" s="3255" t="s">
        <v>2869</v>
      </c>
      <c r="B8" s="3255">
        <f>SUM(I14:I23)</f>
        <v>0</v>
      </c>
      <c r="C8" s="3255">
        <f>ROUND(B8*10000/$B$1,0)</f>
        <v>0</v>
      </c>
      <c r="D8" s="3255">
        <f>ROUND(B8*10000/$B$2,0)</f>
        <v>0</v>
      </c>
      <c r="E8" s="3254"/>
      <c r="F8" s="3252"/>
      <c r="G8" s="3252"/>
    </row>
    <row r="9" spans="1:10" ht="16.5">
      <c r="A9" s="3255" t="s">
        <v>2971</v>
      </c>
      <c r="B9" s="3257"/>
      <c r="C9" s="3254"/>
      <c r="D9" s="3254"/>
      <c r="E9" s="3254"/>
      <c r="F9" s="3252"/>
      <c r="G9" s="3252"/>
    </row>
    <row r="10" spans="1:10" ht="16.5">
      <c r="A10" s="3255" t="s">
        <v>2970</v>
      </c>
      <c r="B10" s="3257"/>
      <c r="C10" s="3254"/>
      <c r="D10" s="3254"/>
      <c r="E10" s="3254"/>
      <c r="F10" s="3252"/>
      <c r="G10" s="3252"/>
    </row>
    <row r="11" spans="1:10" ht="16.5">
      <c r="A11" s="3255" t="s">
        <v>2986</v>
      </c>
      <c r="B11" s="3257"/>
      <c r="C11" s="3254"/>
      <c r="D11" s="3254"/>
      <c r="E11" s="3254"/>
      <c r="F11" s="3252"/>
      <c r="G11" s="3252"/>
    </row>
    <row r="12" spans="1:10" ht="16.5">
      <c r="A12" s="3254"/>
      <c r="B12" s="3254"/>
      <c r="C12" s="3254"/>
      <c r="D12" s="3254"/>
      <c r="E12" s="3254"/>
      <c r="F12" s="3252"/>
      <c r="G12" s="3252"/>
    </row>
    <row r="13" spans="1:10" ht="33">
      <c r="A13" s="3260" t="s">
        <v>2985</v>
      </c>
      <c r="B13" s="3253" t="s">
        <v>2982</v>
      </c>
      <c r="C13" s="3253" t="s">
        <v>2984</v>
      </c>
      <c r="D13" s="3253" t="s">
        <v>2983</v>
      </c>
      <c r="E13" s="3255" t="s">
        <v>2975</v>
      </c>
      <c r="F13" s="3255" t="s">
        <v>2974</v>
      </c>
      <c r="G13" s="3253" t="s">
        <v>2968</v>
      </c>
      <c r="H13" s="3253" t="s">
        <v>2979</v>
      </c>
      <c r="I13" s="3253" t="s">
        <v>2967</v>
      </c>
      <c r="J13" s="3252"/>
    </row>
    <row r="14" spans="1:10" ht="16.5">
      <c r="A14" s="3251" t="s">
        <v>2966</v>
      </c>
      <c r="B14" s="3253">
        <f>'数据-汇总表'!E3</f>
        <v>12736.12000000001</v>
      </c>
      <c r="C14" s="3253">
        <f>'数据-汇总表'!D3</f>
        <v>82323.28</v>
      </c>
      <c r="D14" s="3253">
        <f ca="1">结果表!H118</f>
        <v>31162</v>
      </c>
      <c r="E14" s="3253">
        <f ca="1">ROUND(D14*10000/B14,0)</f>
        <v>24467</v>
      </c>
      <c r="F14" s="3253">
        <f ca="1">ROUND(D14*10000/C14,0)</f>
        <v>3785</v>
      </c>
      <c r="G14" s="3253">
        <f ca="1">结果表!D122</f>
        <v>31162</v>
      </c>
      <c r="H14" s="3253" t="str">
        <f>结果表!D124</f>
        <v>——</v>
      </c>
      <c r="I14" s="3253" t="str">
        <f>结果表!D126</f>
        <v>——</v>
      </c>
      <c r="J14" s="3252"/>
    </row>
    <row r="15" spans="1:10" ht="16.5">
      <c r="A15" s="3251" t="s">
        <v>2965</v>
      </c>
      <c r="B15" s="3258"/>
      <c r="C15" s="3258"/>
      <c r="D15" s="3258"/>
      <c r="E15" s="3253" t="e">
        <f t="shared" ref="E15:E23" si="0">ROUND(D15*10000/B15,0)</f>
        <v>#DIV/0!</v>
      </c>
      <c r="F15" s="3253" t="e">
        <f t="shared" ref="F15:F23" si="1">ROUND(D15*10000/C15,0)</f>
        <v>#DIV/0!</v>
      </c>
      <c r="G15" s="3259"/>
      <c r="H15" s="3259"/>
      <c r="I15" s="3258"/>
      <c r="J15" s="3252"/>
    </row>
    <row r="16" spans="1:10" ht="16.5">
      <c r="A16" s="3251" t="s">
        <v>2964</v>
      </c>
      <c r="B16" s="3258"/>
      <c r="C16" s="3258"/>
      <c r="D16" s="3258"/>
      <c r="E16" s="3253" t="e">
        <f t="shared" si="0"/>
        <v>#DIV/0!</v>
      </c>
      <c r="F16" s="3253" t="e">
        <f t="shared" si="1"/>
        <v>#DIV/0!</v>
      </c>
      <c r="G16" s="3259"/>
      <c r="H16" s="3259"/>
      <c r="I16" s="3258"/>
    </row>
    <row r="17" spans="1:9" ht="16.5">
      <c r="A17" s="3251" t="s">
        <v>2963</v>
      </c>
      <c r="B17" s="3258"/>
      <c r="C17" s="3258"/>
      <c r="D17" s="3258"/>
      <c r="E17" s="3253" t="e">
        <f t="shared" si="0"/>
        <v>#DIV/0!</v>
      </c>
      <c r="F17" s="3253" t="e">
        <f t="shared" si="1"/>
        <v>#DIV/0!</v>
      </c>
      <c r="G17" s="3259"/>
      <c r="H17" s="3259"/>
      <c r="I17" s="3258"/>
    </row>
    <row r="18" spans="1:9" ht="16.5">
      <c r="A18" s="3251" t="s">
        <v>2962</v>
      </c>
      <c r="B18" s="3258"/>
      <c r="C18" s="3258"/>
      <c r="D18" s="3258"/>
      <c r="E18" s="3253" t="e">
        <f t="shared" si="0"/>
        <v>#DIV/0!</v>
      </c>
      <c r="F18" s="3253" t="e">
        <f t="shared" si="1"/>
        <v>#DIV/0!</v>
      </c>
      <c r="G18" s="3258"/>
      <c r="H18" s="3258"/>
      <c r="I18" s="3258"/>
    </row>
    <row r="19" spans="1:9" ht="16.5">
      <c r="A19" s="3251" t="s">
        <v>2961</v>
      </c>
      <c r="B19" s="3258"/>
      <c r="C19" s="3258"/>
      <c r="D19" s="3258"/>
      <c r="E19" s="3253" t="e">
        <f t="shared" si="0"/>
        <v>#DIV/0!</v>
      </c>
      <c r="F19" s="3253" t="e">
        <f t="shared" si="1"/>
        <v>#DIV/0!</v>
      </c>
      <c r="G19" s="3258"/>
      <c r="H19" s="3258"/>
      <c r="I19" s="3258"/>
    </row>
    <row r="20" spans="1:9" ht="16.5">
      <c r="A20" s="3251" t="s">
        <v>2960</v>
      </c>
      <c r="B20" s="3258"/>
      <c r="C20" s="3258"/>
      <c r="D20" s="3258"/>
      <c r="E20" s="3253" t="e">
        <f t="shared" si="0"/>
        <v>#DIV/0!</v>
      </c>
      <c r="F20" s="3253" t="e">
        <f t="shared" si="1"/>
        <v>#DIV/0!</v>
      </c>
      <c r="G20" s="3258"/>
      <c r="H20" s="3258"/>
      <c r="I20" s="3258"/>
    </row>
    <row r="21" spans="1:9" ht="16.5">
      <c r="A21" s="3251" t="s">
        <v>2959</v>
      </c>
      <c r="B21" s="3258"/>
      <c r="C21" s="3258"/>
      <c r="D21" s="3258"/>
      <c r="E21" s="3253" t="e">
        <f t="shared" si="0"/>
        <v>#DIV/0!</v>
      </c>
      <c r="F21" s="3253" t="e">
        <f t="shared" si="1"/>
        <v>#DIV/0!</v>
      </c>
      <c r="G21" s="3258"/>
      <c r="H21" s="3258"/>
      <c r="I21" s="3258"/>
    </row>
    <row r="22" spans="1:9" ht="16.5">
      <c r="A22" s="3251" t="s">
        <v>2958</v>
      </c>
      <c r="B22" s="3258"/>
      <c r="C22" s="3258"/>
      <c r="D22" s="3258"/>
      <c r="E22" s="3253" t="e">
        <f t="shared" si="0"/>
        <v>#DIV/0!</v>
      </c>
      <c r="F22" s="3253" t="e">
        <f t="shared" si="1"/>
        <v>#DIV/0!</v>
      </c>
      <c r="G22" s="3258"/>
      <c r="H22" s="3258"/>
      <c r="I22" s="3258"/>
    </row>
    <row r="23" spans="1:9" ht="16.5">
      <c r="A23" s="3251" t="s">
        <v>2957</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103" zoomScaleSheetLayoutView="100" zoomScalePageLayoutView="80" workbookViewId="0">
      <selection activeCell="K23" sqref="K23"/>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758</v>
      </c>
      <c r="B1" s="1242"/>
      <c r="C1" s="2098" t="s">
        <v>3163</v>
      </c>
      <c r="D1" s="1242"/>
      <c r="E1" s="1242"/>
      <c r="F1" s="2082" t="s">
        <v>2105</v>
      </c>
      <c r="G1" s="2055" t="s">
        <v>3130</v>
      </c>
      <c r="H1" s="2111" t="str">
        <f>IF(G1="现房","——","估价对象范围")</f>
        <v>——</v>
      </c>
      <c r="I1" s="2088" t="s">
        <v>3182</v>
      </c>
    </row>
    <row r="2" spans="1:12" ht="21.75" customHeight="1" thickBot="1">
      <c r="A2" s="3594" t="str">
        <f>项目基本情况!S2</f>
        <v>北京市怀柔区杨宋镇凤翔二园1号1-7幢房地产</v>
      </c>
      <c r="B2" s="3595"/>
      <c r="C2" s="3595"/>
      <c r="D2" s="3595"/>
      <c r="E2" s="3595"/>
      <c r="F2" s="3595"/>
      <c r="G2" s="3595"/>
      <c r="H2" s="3595"/>
      <c r="I2" s="3596"/>
    </row>
    <row r="3" spans="1:12" ht="12">
      <c r="A3" s="3598" t="s">
        <v>10</v>
      </c>
      <c r="B3" s="3599"/>
      <c r="C3" s="3599"/>
      <c r="D3" s="3599"/>
      <c r="E3" s="3599"/>
      <c r="F3" s="3599"/>
      <c r="G3" s="3599"/>
      <c r="H3" s="3599"/>
      <c r="I3" s="3599"/>
    </row>
    <row r="4" spans="1:12" ht="13.5">
      <c r="A4" s="429" t="s">
        <v>11</v>
      </c>
      <c r="B4" s="430" t="s">
        <v>12</v>
      </c>
      <c r="C4" s="431" t="s">
        <v>3183</v>
      </c>
      <c r="D4" s="431" t="s">
        <v>3160</v>
      </c>
      <c r="E4" s="3603" t="s">
        <v>759</v>
      </c>
      <c r="F4" s="3604"/>
      <c r="G4" s="3604"/>
      <c r="H4" s="3604"/>
      <c r="I4" s="3605"/>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收益法</v>
      </c>
    </row>
    <row r="5" spans="1:12" ht="12.75">
      <c r="A5" s="3569" t="s">
        <v>13</v>
      </c>
      <c r="B5" s="3597">
        <v>25</v>
      </c>
      <c r="C5" s="3600"/>
      <c r="D5" s="3587"/>
      <c r="E5" s="471" t="s">
        <v>803</v>
      </c>
      <c r="F5" s="432"/>
      <c r="G5" s="432"/>
      <c r="H5" s="432"/>
      <c r="I5" s="433"/>
    </row>
    <row r="6" spans="1:12" ht="12.75">
      <c r="A6" s="3569"/>
      <c r="B6" s="3597"/>
      <c r="C6" s="3602"/>
      <c r="D6" s="3587"/>
      <c r="E6" s="471" t="s">
        <v>804</v>
      </c>
      <c r="F6" s="432"/>
      <c r="G6" s="432"/>
      <c r="H6" s="432"/>
      <c r="I6" s="433"/>
    </row>
    <row r="7" spans="1:12" ht="12.75">
      <c r="A7" s="3569"/>
      <c r="B7" s="3597"/>
      <c r="C7" s="3601"/>
      <c r="D7" s="3587"/>
      <c r="E7" s="471" t="s">
        <v>805</v>
      </c>
      <c r="F7" s="432"/>
      <c r="G7" s="432"/>
      <c r="H7" s="432"/>
      <c r="I7" s="433"/>
    </row>
    <row r="8" spans="1:12" ht="12.75">
      <c r="A8" s="3569" t="s">
        <v>14</v>
      </c>
      <c r="B8" s="3597">
        <v>15</v>
      </c>
      <c r="C8" s="3600"/>
      <c r="D8" s="3587"/>
      <c r="E8" s="471" t="s">
        <v>806</v>
      </c>
      <c r="F8" s="432"/>
      <c r="G8" s="432"/>
      <c r="H8" s="432"/>
      <c r="I8" s="433"/>
    </row>
    <row r="9" spans="1:12" ht="12.75">
      <c r="A9" s="3569"/>
      <c r="B9" s="3597"/>
      <c r="C9" s="3601"/>
      <c r="D9" s="3587"/>
      <c r="E9" s="471" t="s">
        <v>807</v>
      </c>
      <c r="F9" s="432"/>
      <c r="G9" s="432"/>
      <c r="H9" s="432"/>
      <c r="I9" s="433"/>
    </row>
    <row r="10" spans="1:12" ht="12.75">
      <c r="A10" s="3569" t="s">
        <v>15</v>
      </c>
      <c r="B10" s="3597">
        <v>15</v>
      </c>
      <c r="C10" s="3600"/>
      <c r="D10" s="3587"/>
      <c r="E10" s="471" t="s">
        <v>808</v>
      </c>
      <c r="F10" s="432"/>
      <c r="G10" s="432"/>
      <c r="H10" s="432"/>
      <c r="I10" s="433"/>
    </row>
    <row r="11" spans="1:12" ht="12.75">
      <c r="A11" s="3569"/>
      <c r="B11" s="3597"/>
      <c r="C11" s="3601"/>
      <c r="D11" s="3587"/>
      <c r="E11" s="471" t="s">
        <v>809</v>
      </c>
      <c r="F11" s="432"/>
      <c r="G11" s="432"/>
      <c r="H11" s="432"/>
      <c r="I11" s="433"/>
    </row>
    <row r="12" spans="1:12" ht="12.75">
      <c r="A12" s="3569" t="s">
        <v>16</v>
      </c>
      <c r="B12" s="3597">
        <v>15</v>
      </c>
      <c r="C12" s="3600"/>
      <c r="D12" s="3587"/>
      <c r="E12" s="471" t="s">
        <v>810</v>
      </c>
      <c r="F12" s="432"/>
      <c r="G12" s="432"/>
      <c r="H12" s="432"/>
      <c r="I12" s="433"/>
    </row>
    <row r="13" spans="1:12" ht="12.75">
      <c r="A13" s="3569"/>
      <c r="B13" s="3597"/>
      <c r="C13" s="3601"/>
      <c r="D13" s="3587"/>
      <c r="E13" s="471" t="s">
        <v>811</v>
      </c>
      <c r="F13" s="432"/>
      <c r="G13" s="432"/>
      <c r="H13" s="432"/>
      <c r="I13" s="433"/>
    </row>
    <row r="14" spans="1:12" ht="12.75">
      <c r="A14" s="3569" t="s">
        <v>17</v>
      </c>
      <c r="B14" s="3597">
        <v>30</v>
      </c>
      <c r="C14" s="3600">
        <v>4</v>
      </c>
      <c r="D14" s="3587">
        <v>6</v>
      </c>
      <c r="E14" s="471" t="s">
        <v>812</v>
      </c>
      <c r="F14" s="432"/>
      <c r="G14" s="432"/>
      <c r="H14" s="432"/>
      <c r="I14" s="433"/>
    </row>
    <row r="15" spans="1:12" ht="12.75">
      <c r="A15" s="3569"/>
      <c r="B15" s="3597"/>
      <c r="C15" s="3602"/>
      <c r="D15" s="3587"/>
      <c r="E15" s="471" t="s">
        <v>813</v>
      </c>
      <c r="F15" s="432"/>
      <c r="G15" s="432"/>
      <c r="H15" s="432"/>
      <c r="I15" s="433"/>
    </row>
    <row r="16" spans="1:12" ht="12.75">
      <c r="A16" s="3569"/>
      <c r="B16" s="3597"/>
      <c r="C16" s="3601"/>
      <c r="D16" s="3587"/>
      <c r="E16" s="471" t="s">
        <v>814</v>
      </c>
      <c r="F16" s="432"/>
      <c r="G16" s="432"/>
      <c r="H16" s="432"/>
      <c r="I16" s="433"/>
    </row>
    <row r="17" spans="1:35" ht="14.25">
      <c r="A17" s="434" t="s">
        <v>18</v>
      </c>
      <c r="B17" s="38"/>
      <c r="C17" s="472">
        <f>SUM(C5:C16)</f>
        <v>4</v>
      </c>
      <c r="D17" s="472">
        <f>SUM(D5:D16)</f>
        <v>6</v>
      </c>
      <c r="E17" s="2277"/>
      <c r="F17" s="2277"/>
      <c r="G17" s="2277"/>
      <c r="H17" s="2277"/>
      <c r="I17" s="2277"/>
      <c r="K17" s="2184"/>
      <c r="L17" s="2185" t="s">
        <v>2313</v>
      </c>
      <c r="M17" s="2185" t="s">
        <v>2314</v>
      </c>
    </row>
    <row r="18" spans="1:35" ht="15" thickBot="1">
      <c r="A18" s="435" t="s">
        <v>19</v>
      </c>
      <c r="B18" s="18"/>
      <c r="C18" s="473">
        <f>ROUND(C17/SUM(C17:D17),2)</f>
        <v>0.4</v>
      </c>
      <c r="D18" s="473">
        <f>1-C18</f>
        <v>0.6</v>
      </c>
      <c r="E18" s="2277"/>
      <c r="F18" s="2277"/>
      <c r="G18" s="2277"/>
      <c r="H18" s="2277"/>
      <c r="I18" s="2277"/>
      <c r="K18" s="2184" t="s">
        <v>2127</v>
      </c>
      <c r="L18" s="2184">
        <f>IF(C1="",'数据-汇总表'!E3,SUMIF(项目类型,C1,'数据-汇总表'!E17:E26)+SUMIF(项目类型,C1,'数据-汇总表'!I17:I26))</f>
        <v>12736.12000000001</v>
      </c>
      <c r="M18" s="2184">
        <f>IF(C1="",'数据-汇总表'!E3,SUMIF(项目类型,C1,'数据-汇总表'!E17:E26))</f>
        <v>12736.12000000001</v>
      </c>
    </row>
    <row r="19" spans="1:35" ht="14.25">
      <c r="A19" s="436" t="s">
        <v>179</v>
      </c>
      <c r="B19" s="437" t="s">
        <v>20</v>
      </c>
      <c r="C19" s="474">
        <f ca="1">SUMIF(INDIRECT("'"&amp;C4&amp;"'"&amp;"!A:A"),结果表!B19,INDIRECT("'"&amp;C4&amp;"'"&amp;"!B:B"))</f>
        <v>28995</v>
      </c>
      <c r="D19" s="475">
        <f ca="1">SUMIF(INDIRECT("'"&amp;D4&amp;"'"&amp;"!A:A"),结果表!B19,INDIRECT("'"&amp;D4&amp;"'"&amp;"!B:B"))</f>
        <v>32607</v>
      </c>
      <c r="E19" s="436" t="s">
        <v>178</v>
      </c>
      <c r="F19" s="437" t="s">
        <v>20</v>
      </c>
      <c r="G19" s="476">
        <f ca="1">ROUND(C19*$C$18+D19*$D$18,0)</f>
        <v>31162</v>
      </c>
      <c r="H19" s="438" t="s">
        <v>227</v>
      </c>
      <c r="I19" s="2277"/>
      <c r="K19" s="2184" t="s">
        <v>2128</v>
      </c>
      <c r="L19" s="2184">
        <f>IF(C1="",'数据-汇总表'!D3,SUMIF(项目类型,C1,'数据-汇总表'!D17:D26)+SUMIF(项目类型,C1,'数据-汇总表'!H17:H27))</f>
        <v>82323.28</v>
      </c>
      <c r="M19" s="2184">
        <f>IF(C1="",'数据-汇总表'!D3,SUMIF(项目类型,C1,'数据-汇总表'!D17:D26))</f>
        <v>82323.28</v>
      </c>
    </row>
    <row r="20" spans="1:35" ht="14.25">
      <c r="A20" s="439"/>
      <c r="B20" s="440" t="s">
        <v>21</v>
      </c>
      <c r="C20" s="477">
        <f ca="1">SUMIF(INDIRECT("'"&amp;C4&amp;"'"&amp;"!A:A"),结果表!B20,INDIRECT("'"&amp;C4&amp;"'"&amp;"!B:B"))</f>
        <v>22766</v>
      </c>
      <c r="D20" s="478">
        <f ca="1">SUMIF(INDIRECT("'"&amp;D4&amp;"'"&amp;"!A:A"),结果表!B20,INDIRECT("'"&amp;D4&amp;"'"&amp;"!B:B"))</f>
        <v>25602</v>
      </c>
      <c r="E20" s="439"/>
      <c r="F20" s="440" t="s">
        <v>21</v>
      </c>
      <c r="G20" s="479">
        <f ca="1">ROUND(C20*$C$18+D20*$D$18,0)</f>
        <v>24468</v>
      </c>
      <c r="H20" s="441" t="s">
        <v>226</v>
      </c>
      <c r="I20" s="2277"/>
    </row>
    <row r="21" spans="1:35" ht="15" customHeight="1" thickBot="1">
      <c r="A21" s="443"/>
      <c r="B21" s="444" t="s">
        <v>22</v>
      </c>
      <c r="C21" s="1421">
        <f ca="1">ROUND(C19*10000/L19,0)</f>
        <v>3522</v>
      </c>
      <c r="D21" s="1422">
        <f ca="1">ROUND(D19*10000/L19,0)</f>
        <v>3961</v>
      </c>
      <c r="E21" s="443"/>
      <c r="F21" s="444" t="s">
        <v>22</v>
      </c>
      <c r="G21" s="480">
        <f ca="1">ROUND(G19*10000/L19,0)</f>
        <v>3785</v>
      </c>
      <c r="H21" s="445" t="s">
        <v>226</v>
      </c>
      <c r="I21" s="2277"/>
    </row>
    <row r="22" spans="1:35" ht="15" thickBot="1">
      <c r="A22" s="275" t="s">
        <v>180</v>
      </c>
      <c r="B22" s="1423"/>
      <c r="C22" s="1424"/>
      <c r="D22" s="1425">
        <f ca="1">IF(C19&lt;D19,D19/C19-1,C19/D19-1)</f>
        <v>0.12457320227625446</v>
      </c>
      <c r="E22" s="2277"/>
      <c r="F22" s="2277"/>
      <c r="G22" s="2277"/>
      <c r="H22" s="2277"/>
      <c r="I22" s="2277"/>
    </row>
    <row r="23" spans="1:35" ht="12.75" thickBot="1">
      <c r="A23" s="1242"/>
      <c r="B23" s="1242"/>
      <c r="C23" s="1242"/>
      <c r="D23" s="1242"/>
      <c r="E23" s="2277"/>
      <c r="F23" s="2277"/>
      <c r="G23" s="2277"/>
      <c r="H23" s="2277"/>
      <c r="I23" s="2277"/>
      <c r="K23" s="1445">
        <f ca="1">G19+[1]结果表!$G$19</f>
        <v>102451</v>
      </c>
    </row>
    <row r="24" spans="1:35" ht="14.25">
      <c r="A24" s="3612" t="s">
        <v>176</v>
      </c>
      <c r="B24" s="437" t="s">
        <v>20</v>
      </c>
      <c r="C24" s="476">
        <f>IF(B30=0,0,D30)</f>
        <v>0</v>
      </c>
      <c r="D24" s="446"/>
      <c r="E24" s="2277"/>
      <c r="F24" s="2277"/>
      <c r="G24" s="2277"/>
      <c r="H24" s="2277"/>
      <c r="I24" s="2277"/>
    </row>
    <row r="25" spans="1:35" ht="14.25">
      <c r="A25" s="3613"/>
      <c r="B25" s="440" t="s">
        <v>21</v>
      </c>
      <c r="C25" s="481">
        <f>IF(B30=0,0,C30)</f>
        <v>0</v>
      </c>
      <c r="D25" s="447"/>
      <c r="E25" s="2277"/>
      <c r="F25" s="2277"/>
      <c r="G25" s="2277"/>
      <c r="H25" s="2277"/>
      <c r="I25" s="2277"/>
    </row>
    <row r="26" spans="1:35" ht="13.5" customHeight="1">
      <c r="A26" s="448" t="s">
        <v>177</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175</v>
      </c>
      <c r="B30" s="484">
        <f>SUM(B27:B29)</f>
        <v>0</v>
      </c>
      <c r="C30" s="484" t="e">
        <f>ROUND(D30*10000/B30,0)</f>
        <v>#DIV/0!</v>
      </c>
      <c r="D30" s="484">
        <f>SUM(D27:D29)</f>
        <v>0</v>
      </c>
      <c r="E30" s="2277"/>
      <c r="F30" s="2277"/>
      <c r="G30" s="2277"/>
      <c r="H30" s="2277"/>
      <c r="I30" s="2277"/>
    </row>
    <row r="31" spans="1:35" s="1244" customFormat="1" ht="14.25" thickBot="1">
      <c r="A31" s="452"/>
      <c r="B31" s="452"/>
      <c r="C31" s="452"/>
      <c r="D31" s="452"/>
      <c r="E31" s="2277"/>
      <c r="F31" s="2277"/>
      <c r="G31" s="2277"/>
      <c r="H31" s="2277"/>
      <c r="I31" s="2277"/>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174</v>
      </c>
      <c r="B32" s="454"/>
      <c r="C32" s="485">
        <f ca="1">IF(D32="总价",G19-C24,G20-C25)</f>
        <v>31162</v>
      </c>
      <c r="D32" s="2092" t="s">
        <v>209</v>
      </c>
      <c r="E32" s="2277"/>
      <c r="F32" s="2277"/>
      <c r="G32" s="2277"/>
      <c r="H32" s="2277"/>
      <c r="I32" s="2277"/>
    </row>
    <row r="33" spans="1:15" ht="13.5">
      <c r="A33" s="457" t="s">
        <v>760</v>
      </c>
      <c r="B33" s="2091"/>
      <c r="C33" s="2874" t="s">
        <v>3187</v>
      </c>
      <c r="D33" s="2877" t="s">
        <v>3183</v>
      </c>
      <c r="E33" s="2089" t="s">
        <v>2107</v>
      </c>
      <c r="F33" s="2090" t="str">
        <f>IF(D32="楼面单价","取值（单价）","取值（总价）")</f>
        <v>取值（总价）</v>
      </c>
      <c r="G33" s="2277"/>
      <c r="H33" s="2277"/>
      <c r="I33" s="2277"/>
    </row>
    <row r="34" spans="1:15" ht="15">
      <c r="A34" s="458"/>
      <c r="B34" s="459" t="s">
        <v>763</v>
      </c>
      <c r="C34" s="489">
        <f ca="1">IF(C33="自定义",F34,C32-C35)</f>
        <v>28576</v>
      </c>
      <c r="D34" s="2093">
        <f ca="1">IF(C33="自定义",ROUND(C34/C32,3),IF(C33="收益比率",SUMIF(INDIRECT("'"&amp;D33&amp;"'"&amp;"!b:b"),"土地收益比率",INDIRECT("'"&amp;D33&amp;"'"&amp;"!c:c")),SUMIF(INDIRECT("'"&amp;D33&amp;"'"&amp;"!b:b"),"土地成本比率",INDIRECT("'"&amp;D33&amp;"'"&amp;"!c:c"))))</f>
        <v>0.91700000000000004</v>
      </c>
      <c r="E34" s="2875" t="s">
        <v>2108</v>
      </c>
      <c r="F34" s="3248"/>
      <c r="G34" s="2277"/>
      <c r="H34" s="2277"/>
      <c r="I34" s="2277"/>
    </row>
    <row r="35" spans="1:15" ht="15.75" thickBot="1">
      <c r="A35" s="461"/>
      <c r="B35" s="2878" t="s">
        <v>765</v>
      </c>
      <c r="C35" s="2879">
        <f ca="1">IF(C33="自定义",F35,ROUND(C32*D35,0))</f>
        <v>2586</v>
      </c>
      <c r="D35" s="2880">
        <f ca="1">IF(C33="自定义",ROUND(C35/C32,3),IF(C33="收益比率",SUMIF(INDIRECT("'"&amp;D33&amp;"'"&amp;"!b:b"),"建筑物收益比率",INDIRECT("'"&amp;D33&amp;"'"&amp;"!c:c")),SUMIF(INDIRECT("'"&amp;D33&amp;"'"&amp;"!b:b"),"建筑物成本比率",INDIRECT("'"&amp;D33&amp;"'"&amp;"!c:c"))))</f>
        <v>8.3000000000000004E-2</v>
      </c>
      <c r="E35" s="2876" t="s">
        <v>2109</v>
      </c>
      <c r="F35" s="495"/>
      <c r="G35" s="2277"/>
      <c r="H35" s="2277"/>
      <c r="I35" s="2277"/>
    </row>
    <row r="36" spans="1:15" ht="15.75" thickBot="1">
      <c r="A36" s="3588" t="s">
        <v>761</v>
      </c>
      <c r="B36" s="455" t="s">
        <v>762</v>
      </c>
      <c r="C36" s="486"/>
      <c r="D36" s="456"/>
      <c r="E36" s="1245"/>
      <c r="F36" s="2278"/>
      <c r="G36" s="2277"/>
      <c r="H36" s="2277"/>
      <c r="I36" s="2277"/>
    </row>
    <row r="37" spans="1:15" ht="15.75" thickBot="1">
      <c r="A37" s="3589"/>
      <c r="B37" s="13" t="s">
        <v>764</v>
      </c>
      <c r="C37" s="488"/>
      <c r="D37" s="2226"/>
      <c r="E37" s="2226"/>
      <c r="F37" s="2278"/>
      <c r="G37" s="2277"/>
      <c r="H37" s="2277"/>
      <c r="I37" s="2277"/>
    </row>
    <row r="38" spans="1:15" ht="15.75" thickBot="1">
      <c r="A38" s="3590"/>
      <c r="B38" s="460" t="s">
        <v>766</v>
      </c>
      <c r="C38" s="1136"/>
      <c r="D38" s="1246" t="s">
        <v>767</v>
      </c>
      <c r="E38" s="2226"/>
      <c r="F38" s="2278"/>
      <c r="G38" s="2277"/>
      <c r="H38" s="2277"/>
      <c r="I38" s="2277"/>
    </row>
    <row r="39" spans="1:15" ht="13.5">
      <c r="A39" s="439" t="s">
        <v>768</v>
      </c>
      <c r="B39" s="462" t="s">
        <v>769</v>
      </c>
      <c r="C39" s="463" t="s">
        <v>770</v>
      </c>
      <c r="D39" s="463" t="s">
        <v>771</v>
      </c>
      <c r="E39" s="464" t="s">
        <v>772</v>
      </c>
      <c r="F39" s="2278"/>
      <c r="G39" s="2277"/>
      <c r="H39" s="2277"/>
      <c r="I39" s="2277"/>
    </row>
    <row r="40" spans="1:15" ht="13.5">
      <c r="A40" s="1247" t="s">
        <v>773</v>
      </c>
      <c r="B40" s="490"/>
      <c r="C40" s="491"/>
      <c r="D40" s="491"/>
      <c r="E40" s="492"/>
      <c r="F40" s="2278"/>
      <c r="G40" s="2277"/>
      <c r="H40" s="2277"/>
      <c r="I40" s="2277"/>
    </row>
    <row r="41" spans="1:15" ht="13.5">
      <c r="A41" s="1247" t="s">
        <v>774</v>
      </c>
      <c r="B41" s="490"/>
      <c r="C41" s="491"/>
      <c r="D41" s="491"/>
      <c r="E41" s="492"/>
      <c r="F41" s="2278"/>
      <c r="G41" s="2277"/>
      <c r="H41" s="2277"/>
      <c r="I41" s="2277"/>
    </row>
    <row r="42" spans="1:15" ht="14.25" thickBot="1">
      <c r="A42" s="1248"/>
      <c r="B42" s="493"/>
      <c r="C42" s="494"/>
      <c r="D42" s="494"/>
      <c r="E42" s="495"/>
      <c r="F42" s="2278"/>
      <c r="G42" s="2277"/>
      <c r="H42" s="2277"/>
      <c r="I42" s="2277"/>
    </row>
    <row r="43" spans="1:15" ht="12">
      <c r="A43" s="241"/>
      <c r="B43" s="241"/>
      <c r="C43" s="241"/>
      <c r="D43" s="241"/>
      <c r="E43" s="241"/>
      <c r="F43" s="1249"/>
      <c r="G43" s="1249"/>
      <c r="H43" s="1249"/>
      <c r="I43" s="1250"/>
    </row>
    <row r="44" spans="1:15" ht="18.75">
      <c r="A44" s="1251" t="s">
        <v>775</v>
      </c>
      <c r="B44" s="1252"/>
      <c r="C44" s="1252"/>
      <c r="D44" s="1253"/>
      <c r="E44" s="1253"/>
      <c r="F44" s="1254"/>
      <c r="G44" s="1254"/>
      <c r="H44" s="1254"/>
      <c r="I44" s="1254"/>
      <c r="J44" s="3265" t="s">
        <v>213</v>
      </c>
      <c r="K44" s="3266"/>
      <c r="L44" s="3266"/>
      <c r="M44" s="3266"/>
      <c r="N44" s="3266"/>
      <c r="O44" s="3266"/>
    </row>
    <row r="45" spans="1:15" ht="14.25" customHeight="1" thickBot="1">
      <c r="A45" s="3609" t="s">
        <v>795</v>
      </c>
      <c r="B45" s="3610"/>
      <c r="C45" s="3611"/>
      <c r="D45" s="496">
        <f ca="1">ROUND(H101*F45,0)</f>
        <v>31162</v>
      </c>
      <c r="E45" s="497" t="s">
        <v>796</v>
      </c>
      <c r="F45" s="498">
        <v>1</v>
      </c>
      <c r="G45" s="499" t="s">
        <v>797</v>
      </c>
      <c r="H45" s="2277"/>
      <c r="I45" s="2277"/>
      <c r="J45" s="3519" t="s">
        <v>214</v>
      </c>
      <c r="K45" s="3519"/>
      <c r="L45" s="3519"/>
      <c r="M45" s="3519"/>
      <c r="N45" s="3519"/>
      <c r="O45" s="3519"/>
    </row>
    <row r="46" spans="1:15" ht="14.25" customHeight="1">
      <c r="A46" s="3606" t="s">
        <v>286</v>
      </c>
      <c r="B46" s="3607"/>
      <c r="C46" s="3607"/>
      <c r="D46" s="3607"/>
      <c r="E46" s="3607"/>
      <c r="F46" s="3607"/>
      <c r="G46" s="3608"/>
      <c r="H46" s="2279"/>
      <c r="I46" s="2232"/>
      <c r="J46" s="1500">
        <v>1</v>
      </c>
      <c r="K46" s="3519" t="s">
        <v>215</v>
      </c>
      <c r="L46" s="3519"/>
      <c r="M46" s="3520"/>
      <c r="N46" s="3520"/>
      <c r="O46" s="3520"/>
    </row>
    <row r="47" spans="1:15" ht="12" customHeight="1">
      <c r="A47" s="501" t="s">
        <v>287</v>
      </c>
      <c r="B47" s="502"/>
      <c r="C47" s="503"/>
      <c r="D47" s="504" t="s">
        <v>288</v>
      </c>
      <c r="E47" s="313" t="s">
        <v>289</v>
      </c>
      <c r="F47" s="505" t="s">
        <v>798</v>
      </c>
      <c r="G47" s="506" t="s">
        <v>799</v>
      </c>
      <c r="H47" s="2279"/>
      <c r="I47" s="2232"/>
      <c r="J47" s="1500">
        <v>2</v>
      </c>
      <c r="K47" s="3519" t="s">
        <v>216</v>
      </c>
      <c r="L47" s="3519"/>
      <c r="M47" s="3521">
        <f>'数据-取费表'!B2</f>
        <v>42986</v>
      </c>
      <c r="N47" s="3521"/>
      <c r="O47" s="3521"/>
    </row>
    <row r="48" spans="1:15" ht="25.5">
      <c r="A48" s="3592" t="s">
        <v>290</v>
      </c>
      <c r="B48" s="3593"/>
      <c r="C48" s="3593"/>
      <c r="D48" s="471">
        <f>IF(H48="情况1",0,IF(H48="情况2",D52,IF(H48="情况3",D53,IF(H48="情况4",D54))))</f>
        <v>0</v>
      </c>
      <c r="E48" s="1923" t="str">
        <f>IF(H48="情况4","(销售额-原购置价)×税（费）率","销售额×税（费）率")</f>
        <v>销售额×税（费）率</v>
      </c>
      <c r="F48" s="507" t="str">
        <f>IF(H48="情况1","免征",'数据-取费表'!B41)</f>
        <v>免征</v>
      </c>
      <c r="G48" s="465" t="s">
        <v>776</v>
      </c>
      <c r="H48" s="1431" t="s">
        <v>2410</v>
      </c>
      <c r="I48" s="2279"/>
      <c r="J48" s="1500">
        <v>3</v>
      </c>
      <c r="K48" s="3519" t="s">
        <v>777</v>
      </c>
      <c r="L48" s="3519"/>
      <c r="M48" s="3522">
        <f ca="1">H101</f>
        <v>31162</v>
      </c>
      <c r="N48" s="3522"/>
      <c r="O48" s="3522"/>
    </row>
    <row r="49" spans="1:35" ht="25.5" customHeight="1">
      <c r="A49" s="508" t="s">
        <v>800</v>
      </c>
      <c r="B49" s="3572" t="s">
        <v>801</v>
      </c>
      <c r="C49" s="3572"/>
      <c r="D49" s="509">
        <v>0</v>
      </c>
      <c r="E49" s="312" t="s">
        <v>802</v>
      </c>
      <c r="F49" s="317" t="s">
        <v>170</v>
      </c>
      <c r="G49" s="3551"/>
      <c r="H49" s="2277"/>
      <c r="I49" s="2280"/>
      <c r="J49" s="1500">
        <v>4</v>
      </c>
      <c r="K49" s="3519" t="str">
        <f>IF(项目基本情况!E8="房地产抵押价值","房地产抵押价值","抵押担保权已注销时的房地产抵押价值")</f>
        <v>抵押担保权已注销时的房地产抵押价值</v>
      </c>
      <c r="L49" s="3519"/>
      <c r="M49" s="3522" t="str">
        <f>IF(项目基本情况!E8="房地产抵押价值",H107,H109)</f>
        <v>——</v>
      </c>
      <c r="N49" s="3522"/>
      <c r="O49" s="3522"/>
    </row>
    <row r="50" spans="1:35" ht="25.5" customHeight="1">
      <c r="A50" s="510"/>
      <c r="B50" s="3572" t="s">
        <v>293</v>
      </c>
      <c r="C50" s="3572"/>
      <c r="D50" s="511"/>
      <c r="E50" s="320"/>
      <c r="F50" s="512"/>
      <c r="G50" s="3552"/>
      <c r="H50" s="2277"/>
      <c r="I50" s="2280"/>
      <c r="J50" s="3519" t="s">
        <v>217</v>
      </c>
      <c r="K50" s="3519"/>
      <c r="L50" s="3519"/>
      <c r="M50" s="3519"/>
      <c r="N50" s="3519"/>
      <c r="O50" s="3519"/>
    </row>
    <row r="51" spans="1:35" ht="12" customHeight="1">
      <c r="A51" s="513"/>
      <c r="B51" s="3572" t="s">
        <v>294</v>
      </c>
      <c r="C51" s="3572"/>
      <c r="D51" s="514"/>
      <c r="E51" s="319"/>
      <c r="F51" s="512"/>
      <c r="G51" s="3553"/>
      <c r="H51" s="2277"/>
      <c r="I51" s="2280"/>
      <c r="J51" s="3267" t="s">
        <v>218</v>
      </c>
      <c r="K51" s="3519" t="s">
        <v>219</v>
      </c>
      <c r="L51" s="3519"/>
      <c r="M51" s="3267" t="s">
        <v>2994</v>
      </c>
      <c r="N51" s="3267" t="s">
        <v>220</v>
      </c>
      <c r="O51" s="3267" t="s">
        <v>221</v>
      </c>
    </row>
    <row r="52" spans="1:35" ht="24" customHeight="1">
      <c r="A52" s="515" t="s">
        <v>295</v>
      </c>
      <c r="B52" s="3572" t="s">
        <v>296</v>
      </c>
      <c r="C52" s="3572"/>
      <c r="D52" s="514">
        <f ca="1">ROUND(D45*'数据-取费表'!B41/(1+'数据-取费表'!C42),0)</f>
        <v>1632</v>
      </c>
      <c r="E52" s="299" t="s">
        <v>297</v>
      </c>
      <c r="F52" s="516">
        <f>'数据-取费表'!B41</f>
        <v>5.5000000000000007E-2</v>
      </c>
      <c r="G52" s="466"/>
      <c r="H52" s="2277"/>
      <c r="I52" s="2280"/>
      <c r="J52" s="1500">
        <v>1</v>
      </c>
      <c r="K52" s="3545" t="s">
        <v>778</v>
      </c>
      <c r="L52" s="3545"/>
      <c r="M52" s="3268">
        <f>D48</f>
        <v>0</v>
      </c>
      <c r="N52" s="1499" t="str">
        <f>E48</f>
        <v>销售额×税（费）率</v>
      </c>
      <c r="O52" s="3269" t="str">
        <f>F48</f>
        <v>免征</v>
      </c>
    </row>
    <row r="53" spans="1:35" ht="12" customHeight="1">
      <c r="A53" s="515" t="s">
        <v>298</v>
      </c>
      <c r="B53" s="3573" t="s">
        <v>299</v>
      </c>
      <c r="C53" s="3574"/>
      <c r="D53" s="514">
        <f ca="1">ROUND(D45*'数据-取费表'!B41/(1+'数据-取费表'!C42),0)</f>
        <v>1632</v>
      </c>
      <c r="E53" s="299" t="s">
        <v>297</v>
      </c>
      <c r="F53" s="516">
        <f>'数据-取费表'!B41</f>
        <v>5.5000000000000007E-2</v>
      </c>
      <c r="G53" s="466"/>
      <c r="H53" s="2277"/>
      <c r="I53" s="2280"/>
      <c r="J53" s="1500">
        <v>2</v>
      </c>
      <c r="K53" s="3545" t="s">
        <v>779</v>
      </c>
      <c r="L53" s="3545"/>
      <c r="M53" s="3268">
        <f t="shared" ref="M53:O54" ca="1" si="0">D55</f>
        <v>16</v>
      </c>
      <c r="N53" s="1499" t="str">
        <f t="shared" si="0"/>
        <v>销售额×税（费）率</v>
      </c>
      <c r="O53" s="3269">
        <f t="shared" si="0"/>
        <v>5.0000000000000001E-4</v>
      </c>
    </row>
    <row r="54" spans="1:35" ht="12" customHeight="1">
      <c r="A54" s="515" t="s">
        <v>300</v>
      </c>
      <c r="B54" s="3573" t="s">
        <v>301</v>
      </c>
      <c r="C54" s="3574"/>
      <c r="D54" s="514">
        <f ca="1">C68</f>
        <v>1632</v>
      </c>
      <c r="E54" s="319" t="s">
        <v>302</v>
      </c>
      <c r="F54" s="516">
        <f>'数据-取费表'!B41</f>
        <v>5.5000000000000007E-2</v>
      </c>
      <c r="G54" s="466"/>
      <c r="H54" s="2281"/>
      <c r="I54" s="2280"/>
      <c r="J54" s="1500">
        <v>3</v>
      </c>
      <c r="K54" s="3545" t="s">
        <v>780</v>
      </c>
      <c r="L54" s="3545"/>
      <c r="M54" s="3268">
        <f t="shared" ca="1" si="0"/>
        <v>17666</v>
      </c>
      <c r="N54" s="1499" t="str">
        <f t="shared" si="0"/>
        <v>增值额×税（费）率</v>
      </c>
      <c r="O54" s="3270" t="str">
        <f t="shared" si="0"/>
        <v>——</v>
      </c>
    </row>
    <row r="55" spans="1:35" ht="24" customHeight="1">
      <c r="A55" s="3615" t="s">
        <v>303</v>
      </c>
      <c r="B55" s="3593"/>
      <c r="C55" s="3593"/>
      <c r="D55" s="517">
        <f ca="1">IF(H55="个人住宅",0,ROUND(D45*I55,0))</f>
        <v>16</v>
      </c>
      <c r="E55" s="299" t="s">
        <v>304</v>
      </c>
      <c r="F55" s="516">
        <f>IF(H55="正常",I55,"免征")</f>
        <v>5.0000000000000001E-4</v>
      </c>
      <c r="G55" s="466"/>
      <c r="H55" s="1431" t="s">
        <v>155</v>
      </c>
      <c r="I55" s="518">
        <f>'数据-取费表'!B49</f>
        <v>5.0000000000000001E-4</v>
      </c>
      <c r="J55" s="1500" t="str">
        <f>IF(H59="非个人房产","",4)</f>
        <v/>
      </c>
      <c r="K55" s="3545" t="str">
        <f>IF(H59="非个人房产","——","个人所得税")</f>
        <v>——</v>
      </c>
      <c r="L55" s="3545"/>
      <c r="M55" s="3271" t="str">
        <f>D59</f>
        <v>——</v>
      </c>
      <c r="N55" s="3272" t="str">
        <f>E59</f>
        <v>——</v>
      </c>
      <c r="O55" s="3273" t="str">
        <f>F59</f>
        <v>——</v>
      </c>
    </row>
    <row r="56" spans="1:35" ht="24.75">
      <c r="A56" s="3615" t="s">
        <v>305</v>
      </c>
      <c r="B56" s="3593"/>
      <c r="C56" s="3593"/>
      <c r="D56" s="517">
        <f ca="1">IF(H56="个人住宅",D57,D58)</f>
        <v>17666</v>
      </c>
      <c r="E56" s="299" t="s">
        <v>306</v>
      </c>
      <c r="F56" s="516" t="str">
        <f>IF(H56="正常",F58,"免征")</f>
        <v>——</v>
      </c>
      <c r="G56" s="1255" t="s">
        <v>781</v>
      </c>
      <c r="H56" s="1430" t="s">
        <v>155</v>
      </c>
      <c r="I56" s="2282"/>
      <c r="J56" s="1500" t="str">
        <f>IF(项目基本情况!K6="上海银行",IF(J55="",4,J55+1),"")</f>
        <v/>
      </c>
      <c r="K56" s="3525" t="str">
        <f>IF(项目基本情况!K6="上海银行","其他处置费用","")</f>
        <v/>
      </c>
      <c r="L56" s="3526"/>
      <c r="M56" s="3268" t="str">
        <f>IF(项目基本情况!K6="上海银行",M69,"")</f>
        <v/>
      </c>
      <c r="N56" s="3528" t="str">
        <f>IF(项目基本情况!K6="上海银行","包含处置中涉及的律师、诉讼、拍卖、评估等费用","")</f>
        <v/>
      </c>
      <c r="O56" s="3529"/>
    </row>
    <row r="57" spans="1:35" ht="12.75">
      <c r="A57" s="515" t="s">
        <v>291</v>
      </c>
      <c r="B57" s="3578" t="s">
        <v>307</v>
      </c>
      <c r="C57" s="3579"/>
      <c r="D57" s="519">
        <v>0</v>
      </c>
      <c r="E57" s="312" t="s">
        <v>292</v>
      </c>
      <c r="F57" s="487"/>
      <c r="G57" s="466"/>
      <c r="H57" s="2282"/>
      <c r="I57" s="2282"/>
      <c r="J57" s="3557">
        <f>IF(AND(J55="",J56=""),4,IF(项目基本情况!K6="上海银行",结果表!J56+1,结果表!J55+1))</f>
        <v>4</v>
      </c>
      <c r="K57" s="3545" t="s">
        <v>782</v>
      </c>
      <c r="L57" s="3274" t="s">
        <v>222</v>
      </c>
      <c r="M57" s="3275"/>
      <c r="N57" s="3276">
        <f ca="1">SUMIF(M52:M56,"&lt;9e307")</f>
        <v>17682</v>
      </c>
      <c r="O57" s="3277"/>
      <c r="P57" s="3264" t="e">
        <f ca="1">N57/M49</f>
        <v>#VALUE!</v>
      </c>
    </row>
    <row r="58" spans="1:35" ht="24.75">
      <c r="A58" s="515" t="s">
        <v>295</v>
      </c>
      <c r="B58" s="3578" t="s">
        <v>308</v>
      </c>
      <c r="C58" s="3591"/>
      <c r="D58" s="517">
        <f ca="1">IF(H58="转让取得",C81,C97)</f>
        <v>17666</v>
      </c>
      <c r="E58" s="299" t="s">
        <v>306</v>
      </c>
      <c r="F58" s="313" t="s">
        <v>170</v>
      </c>
      <c r="G58" s="466"/>
      <c r="H58" s="1430" t="s">
        <v>1133</v>
      </c>
      <c r="I58" s="2282"/>
      <c r="J58" s="3557"/>
      <c r="K58" s="3545"/>
      <c r="L58" s="3274" t="s">
        <v>223</v>
      </c>
      <c r="M58" s="3278"/>
      <c r="N58" s="3279" t="str">
        <f ca="1">NUMBERSTRING(INT(N57*10000),2)&amp;"元整"</f>
        <v>壹亿柒仟陆佰捌拾贰万元整</v>
      </c>
      <c r="O58" s="3280"/>
    </row>
    <row r="59" spans="1:35" ht="24.75" thickBot="1">
      <c r="A59" s="3549" t="s">
        <v>309</v>
      </c>
      <c r="B59" s="3550"/>
      <c r="C59" s="3550"/>
      <c r="D59" s="520" t="str">
        <f>IF(H59="非个人房产","——",IF(H59="个人住宅",0,ROUND(D45*I59,0)))</f>
        <v>——</v>
      </c>
      <c r="E59" s="521" t="str">
        <f>IF(H59="非个人房产","——","销售额×税（费）率")</f>
        <v>——</v>
      </c>
      <c r="F59" s="522" t="str">
        <f>IF(H59="非个人房产","——",IF(H59="个人住宅","免征",I59))</f>
        <v>——</v>
      </c>
      <c r="G59" s="1256" t="s">
        <v>169</v>
      </c>
      <c r="H59" s="1430" t="s">
        <v>1132</v>
      </c>
      <c r="I59" s="523">
        <v>0.01</v>
      </c>
      <c r="J59" s="3547">
        <f>J57+1</f>
        <v>5</v>
      </c>
      <c r="K59" s="3545" t="s">
        <v>171</v>
      </c>
      <c r="L59" s="1499" t="s">
        <v>222</v>
      </c>
      <c r="M59" s="3281"/>
      <c r="N59" s="3282" t="e">
        <f ca="1">M49-N57</f>
        <v>#VALUE!</v>
      </c>
      <c r="O59" s="3283"/>
    </row>
    <row r="60" spans="1:35" ht="12" customHeight="1">
      <c r="A60" s="1257"/>
      <c r="B60" s="1242"/>
      <c r="C60" s="1242"/>
      <c r="D60" s="1242"/>
      <c r="E60" s="229"/>
      <c r="F60" s="2282"/>
      <c r="G60" s="2282"/>
      <c r="H60" s="2283"/>
      <c r="I60" s="2277"/>
      <c r="J60" s="3548"/>
      <c r="K60" s="3545"/>
      <c r="L60" s="3274" t="s">
        <v>223</v>
      </c>
      <c r="M60" s="3278"/>
      <c r="N60" s="3279" t="e">
        <f ca="1">NUMBERSTRING(INT(N59*10000),2)&amp;"元整"</f>
        <v>#VALUE!</v>
      </c>
      <c r="O60" s="3280"/>
    </row>
    <row r="61" spans="1:35" ht="13.5" thickBot="1">
      <c r="A61" s="3614" t="s">
        <v>310</v>
      </c>
      <c r="B61" s="3614"/>
      <c r="C61" s="3614"/>
      <c r="D61" s="3614"/>
      <c r="E61" s="3614"/>
      <c r="F61" s="2282"/>
      <c r="G61" s="2282"/>
      <c r="H61" s="2283"/>
      <c r="I61" s="2277"/>
      <c r="J61" s="1500">
        <f>J59+1</f>
        <v>6</v>
      </c>
      <c r="K61" s="3545" t="s">
        <v>224</v>
      </c>
      <c r="L61" s="3545"/>
      <c r="M61" s="3284"/>
      <c r="N61" s="3285" t="e">
        <f ca="1">ROUND(N59*10000/'数据-汇总表'!E3,0)</f>
        <v>#VALUE!</v>
      </c>
      <c r="O61" s="3286"/>
    </row>
    <row r="62" spans="1:35" ht="12.75">
      <c r="A62" s="3566" t="s">
        <v>311</v>
      </c>
      <c r="B62" s="3567"/>
      <c r="C62" s="1917"/>
      <c r="D62" s="1917" t="s">
        <v>319</v>
      </c>
      <c r="E62" s="524" t="s">
        <v>320</v>
      </c>
      <c r="F62" s="2282"/>
      <c r="G62" s="2282"/>
      <c r="H62" s="2283"/>
      <c r="I62" s="2277"/>
    </row>
    <row r="63" spans="1:35" ht="12.75">
      <c r="A63" s="535" t="s">
        <v>1895</v>
      </c>
      <c r="B63" s="525" t="s">
        <v>312</v>
      </c>
      <c r="C63" s="526">
        <f ca="1">ROUND((C64+C65)/(1+'数据-取费表'!C42),0)</f>
        <v>29678</v>
      </c>
      <c r="D63" s="527"/>
      <c r="E63" s="528"/>
      <c r="F63" s="2282"/>
      <c r="G63" s="2282"/>
      <c r="H63" s="2283"/>
      <c r="I63" s="2277"/>
      <c r="J63" s="3527" t="s">
        <v>2987</v>
      </c>
      <c r="K63" s="3263" t="s">
        <v>2988</v>
      </c>
      <c r="L63" s="3261" t="e">
        <f>IF(M49&gt;10000,M49*0.5%,IF(AND(M49&gt;1000,M49&lt;=10000),M49*1%,IF(AND(M49&gt;100,M49&lt;=1000),M49*3%,IF(AND(M49&gt;10,M49&lt;=100),M49*5%,M49*8%))))</f>
        <v>#VALUE!</v>
      </c>
      <c r="M63" s="313" t="e">
        <f>ROUND(L63,1)</f>
        <v>#VALUE!</v>
      </c>
      <c r="Z63" s="1433"/>
      <c r="AI63" s="1243"/>
    </row>
    <row r="64" spans="1:35" ht="14.25" customHeight="1">
      <c r="A64" s="529" t="s">
        <v>1890</v>
      </c>
      <c r="B64" s="530" t="s">
        <v>313</v>
      </c>
      <c r="C64" s="531">
        <f ca="1">D45</f>
        <v>31162</v>
      </c>
      <c r="D64" s="532" t="s">
        <v>166</v>
      </c>
      <c r="E64" s="533"/>
      <c r="F64" s="2282"/>
      <c r="G64" s="2282"/>
      <c r="H64" s="2283"/>
      <c r="I64" s="2277"/>
      <c r="J64" s="3527"/>
      <c r="K64" s="3263" t="s">
        <v>2989</v>
      </c>
      <c r="L64" s="3261"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2995</v>
      </c>
      <c r="Z64" s="1433"/>
      <c r="AI64" s="1243"/>
    </row>
    <row r="65" spans="1:35" ht="14.25" customHeight="1">
      <c r="A65" s="529" t="s">
        <v>1891</v>
      </c>
      <c r="B65" s="530" t="s">
        <v>314</v>
      </c>
      <c r="C65" s="534"/>
      <c r="D65" s="532"/>
      <c r="E65" s="533"/>
      <c r="F65" s="2282"/>
      <c r="G65" s="2282"/>
      <c r="H65" s="2283"/>
      <c r="I65" s="2277"/>
      <c r="J65" s="3527"/>
      <c r="K65" s="3263" t="s">
        <v>2990</v>
      </c>
      <c r="L65" s="3261" t="e">
        <f>IF(M49&gt;1000,M49*0.1%,IF(AND(M49&gt;500,M49&lt;=1000),M49*0.5%,IF(AND(M49&gt;50,M49&lt;=500),M49*1%,IF(AND(M49&gt;1,M49&lt;=50),M49*1.5%))))</f>
        <v>#VALUE!</v>
      </c>
      <c r="M65" s="313" t="e">
        <f t="shared" si="1"/>
        <v>#VALUE!</v>
      </c>
      <c r="N65" s="469" t="s">
        <v>2996</v>
      </c>
      <c r="Z65" s="1433"/>
      <c r="AI65" s="1243"/>
    </row>
    <row r="66" spans="1:35" ht="14.25" customHeight="1">
      <c r="A66" s="535" t="s">
        <v>1892</v>
      </c>
      <c r="B66" s="536" t="s">
        <v>315</v>
      </c>
      <c r="C66" s="537"/>
      <c r="D66" s="538" t="s">
        <v>166</v>
      </c>
      <c r="E66" s="3315" t="s">
        <v>3034</v>
      </c>
      <c r="F66" s="2282"/>
      <c r="G66" s="2282"/>
      <c r="H66" s="2283"/>
      <c r="I66" s="2277"/>
      <c r="J66" s="3527"/>
      <c r="K66" s="3263" t="s">
        <v>2991</v>
      </c>
      <c r="L66" s="3261" t="e">
        <f>M49*0.5%</f>
        <v>#VALUE!</v>
      </c>
      <c r="M66" s="313" t="e">
        <f>IF(L66&gt;0.5,0.5,ROUND(L66,0))</f>
        <v>#VALUE!</v>
      </c>
      <c r="N66" s="469" t="s">
        <v>2997</v>
      </c>
      <c r="Z66" s="1433"/>
      <c r="AI66" s="1243"/>
    </row>
    <row r="67" spans="1:35" ht="14.25" customHeight="1">
      <c r="A67" s="535" t="s">
        <v>1893</v>
      </c>
      <c r="B67" s="536" t="s">
        <v>316</v>
      </c>
      <c r="C67" s="539">
        <f ca="1">C63-C66</f>
        <v>29678</v>
      </c>
      <c r="D67" s="532" t="s">
        <v>166</v>
      </c>
      <c r="E67" s="533"/>
      <c r="F67" s="2282"/>
      <c r="G67" s="2282"/>
      <c r="H67" s="2283"/>
      <c r="I67" s="2277"/>
      <c r="J67" s="3527"/>
      <c r="K67" s="3263" t="s">
        <v>2992</v>
      </c>
      <c r="L67" s="3261"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3"/>
      <c r="AI67" s="1243"/>
    </row>
    <row r="68" spans="1:35" ht="14.25" customHeight="1" thickBot="1">
      <c r="A68" s="540" t="s">
        <v>1894</v>
      </c>
      <c r="B68" s="541" t="s">
        <v>317</v>
      </c>
      <c r="C68" s="542">
        <f ca="1">IF(C67&lt;=0,0,ROUND(C67*D68,0))</f>
        <v>1632</v>
      </c>
      <c r="D68" s="543">
        <f>'数据-取费表'!B41</f>
        <v>5.5000000000000007E-2</v>
      </c>
      <c r="E68" s="544"/>
      <c r="F68" s="2282"/>
      <c r="G68" s="2282"/>
      <c r="H68" s="2283"/>
      <c r="I68" s="2277"/>
      <c r="J68" s="3527"/>
      <c r="K68" s="3263" t="s">
        <v>2993</v>
      </c>
      <c r="L68" s="3261" t="e">
        <f>IF(M49&gt;10000,M49*0.5%,IF(AND(M49&gt;5000,M49&lt;=10000),M49*1%,IF(AND(M49&gt;1000,M49&lt;=5000),M49*2%,IF(AND(M49&gt;200,M49&lt;=1000),M49*3%,M49*5%))))</f>
        <v>#VALUE!</v>
      </c>
      <c r="M68" s="313" t="e">
        <f>ROUND(L68,1)</f>
        <v>#VALUE!</v>
      </c>
      <c r="Z68" s="1433"/>
      <c r="AI68" s="1243"/>
    </row>
    <row r="69" spans="1:35" s="1244" customFormat="1" ht="16.5" customHeight="1">
      <c r="A69" s="1258"/>
      <c r="B69" s="1259"/>
      <c r="C69" s="1260"/>
      <c r="D69" s="1261"/>
      <c r="E69" s="1262"/>
      <c r="F69" s="229"/>
      <c r="G69" s="229"/>
      <c r="H69" s="241"/>
      <c r="I69" s="1242"/>
      <c r="J69" s="3527"/>
      <c r="K69" s="3263" t="s">
        <v>186</v>
      </c>
      <c r="L69" s="3262"/>
      <c r="M69" s="313" t="e">
        <f>ROUND(SUM(M63:M68),0)</f>
        <v>#VALUE!</v>
      </c>
      <c r="N69" s="3264" t="e">
        <f>M69/M49</f>
        <v>#VALUE!</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76" t="s">
        <v>318</v>
      </c>
      <c r="B70" s="3577"/>
      <c r="C70" s="3577"/>
      <c r="D70" s="3577"/>
      <c r="E70" s="3577"/>
      <c r="F70" s="3577"/>
      <c r="G70" s="3577"/>
      <c r="H70" s="3577"/>
      <c r="I70" s="1263"/>
      <c r="N70" s="2135"/>
      <c r="O70" s="2135"/>
      <c r="P70" s="2135"/>
      <c r="Q70" s="2135"/>
      <c r="R70" s="2135"/>
      <c r="S70" s="2135"/>
      <c r="T70" s="2135"/>
      <c r="U70" s="2135"/>
      <c r="V70" s="2135"/>
      <c r="W70" s="2135"/>
      <c r="X70" s="2135"/>
      <c r="Y70" s="2135"/>
      <c r="Z70" s="2135"/>
      <c r="AA70" s="1434"/>
      <c r="AB70" s="1434"/>
      <c r="AC70" s="1434"/>
      <c r="AD70" s="1434"/>
      <c r="AE70" s="1434"/>
      <c r="AF70" s="1434"/>
      <c r="AG70" s="1434"/>
      <c r="AH70" s="1434"/>
      <c r="AI70" s="1434"/>
    </row>
    <row r="71" spans="1:35" s="1264" customFormat="1" ht="14.25">
      <c r="A71" s="3566" t="s">
        <v>311</v>
      </c>
      <c r="B71" s="3567"/>
      <c r="C71" s="1917"/>
      <c r="D71" s="1917" t="s">
        <v>319</v>
      </c>
      <c r="E71" s="545" t="s">
        <v>320</v>
      </c>
      <c r="F71" s="546"/>
      <c r="G71" s="546"/>
      <c r="H71" s="547"/>
      <c r="I71" s="2284"/>
      <c r="N71" s="2135"/>
      <c r="O71" s="2135"/>
      <c r="P71" s="2135"/>
      <c r="Q71" s="2135"/>
      <c r="R71" s="2135"/>
      <c r="S71" s="2135"/>
      <c r="T71" s="2135"/>
      <c r="U71" s="2135"/>
      <c r="V71" s="2135"/>
      <c r="W71" s="2135"/>
      <c r="X71" s="2135"/>
      <c r="Y71" s="2135"/>
      <c r="Z71" s="2135"/>
      <c r="AA71" s="1434"/>
      <c r="AB71" s="1434"/>
      <c r="AC71" s="1434"/>
      <c r="AD71" s="1434"/>
      <c r="AE71" s="1434"/>
      <c r="AF71" s="1434"/>
      <c r="AG71" s="1434"/>
      <c r="AH71" s="1434"/>
      <c r="AI71" s="1434"/>
    </row>
    <row r="72" spans="1:35" s="1264" customFormat="1" ht="14.25">
      <c r="A72" s="535" t="s">
        <v>1895</v>
      </c>
      <c r="B72" s="536" t="s">
        <v>321</v>
      </c>
      <c r="C72" s="539">
        <f ca="1">ROUND(D45/(1+'数据-取费表'!C42),0)</f>
        <v>29678</v>
      </c>
      <c r="D72" s="532" t="s">
        <v>166</v>
      </c>
      <c r="E72" s="1920"/>
      <c r="F72" s="1921"/>
      <c r="G72" s="1921"/>
      <c r="H72" s="548"/>
      <c r="I72" s="2284"/>
      <c r="N72" s="2135"/>
      <c r="O72" s="2135"/>
      <c r="P72" s="2135"/>
      <c r="Q72" s="2135"/>
      <c r="R72" s="2135"/>
      <c r="S72" s="2135"/>
      <c r="T72" s="2135"/>
      <c r="U72" s="2135"/>
      <c r="V72" s="2135"/>
      <c r="W72" s="2135"/>
      <c r="X72" s="2135"/>
      <c r="Y72" s="2135"/>
      <c r="Z72" s="2135"/>
      <c r="AA72" s="1434"/>
      <c r="AB72" s="1434"/>
      <c r="AC72" s="1434"/>
      <c r="AD72" s="1434"/>
      <c r="AE72" s="1434"/>
      <c r="AF72" s="1434"/>
      <c r="AG72" s="1434"/>
      <c r="AH72" s="1434"/>
      <c r="AI72" s="1434"/>
    </row>
    <row r="73" spans="1:35" s="1264" customFormat="1" ht="14.25">
      <c r="A73" s="535" t="s">
        <v>1892</v>
      </c>
      <c r="B73" s="505" t="s">
        <v>322</v>
      </c>
      <c r="C73" s="539">
        <f ca="1">C74+C78</f>
        <v>148</v>
      </c>
      <c r="D73" s="532" t="s">
        <v>166</v>
      </c>
      <c r="E73" s="1920"/>
      <c r="F73" s="1921"/>
      <c r="G73" s="1921"/>
      <c r="H73" s="548"/>
      <c r="I73" s="2284"/>
      <c r="J73" s="2135"/>
      <c r="K73" s="2135"/>
      <c r="L73" s="2135"/>
      <c r="M73" s="2135"/>
      <c r="N73" s="2135"/>
      <c r="O73" s="2135"/>
      <c r="P73" s="2135"/>
      <c r="Q73" s="2135"/>
      <c r="R73" s="2135"/>
      <c r="S73" s="2135"/>
      <c r="T73" s="2135"/>
      <c r="U73" s="2135"/>
      <c r="V73" s="2135"/>
      <c r="W73" s="2135"/>
      <c r="X73" s="2135"/>
      <c r="Y73" s="2135"/>
      <c r="Z73" s="2135"/>
      <c r="AA73" s="1434"/>
      <c r="AB73" s="1434"/>
      <c r="AC73" s="1434"/>
      <c r="AD73" s="1434"/>
      <c r="AE73" s="1434"/>
      <c r="AF73" s="1434"/>
      <c r="AG73" s="1434"/>
      <c r="AH73" s="1434"/>
      <c r="AI73" s="1434"/>
    </row>
    <row r="74" spans="1:35" s="1264" customFormat="1" ht="24">
      <c r="A74" s="549" t="s">
        <v>1896</v>
      </c>
      <c r="B74" s="530" t="s">
        <v>323</v>
      </c>
      <c r="C74" s="532">
        <f>ROUND(IF(G77="2016年5月1日后购买",C75/(1+'数据-取费表'!C42)+C76+C77,C75+C76+C77),0)</f>
        <v>0</v>
      </c>
      <c r="D74" s="532" t="s">
        <v>166</v>
      </c>
      <c r="E74" s="1920"/>
      <c r="F74" s="1921"/>
      <c r="G74" s="1921"/>
      <c r="H74" s="548"/>
      <c r="I74" s="2284"/>
      <c r="J74" s="2135"/>
      <c r="K74" s="2135"/>
      <c r="L74" s="2135"/>
      <c r="M74" s="2135"/>
      <c r="N74" s="2135"/>
      <c r="O74" s="2135"/>
      <c r="P74" s="2135"/>
      <c r="Q74" s="2135"/>
      <c r="R74" s="2135"/>
      <c r="S74" s="2135"/>
      <c r="T74" s="2135"/>
      <c r="U74" s="2135"/>
      <c r="V74" s="2135"/>
      <c r="W74" s="2135"/>
      <c r="X74" s="2135"/>
      <c r="Y74" s="2135"/>
      <c r="Z74" s="2135"/>
      <c r="AA74" s="1434"/>
      <c r="AB74" s="1434"/>
      <c r="AC74" s="1434"/>
      <c r="AD74" s="1434"/>
      <c r="AE74" s="1434"/>
      <c r="AF74" s="1434"/>
      <c r="AG74" s="1434"/>
      <c r="AH74" s="1434"/>
      <c r="AI74" s="1434"/>
    </row>
    <row r="75" spans="1:35" s="1264" customFormat="1" ht="13.5">
      <c r="A75" s="549" t="s">
        <v>1897</v>
      </c>
      <c r="B75" s="530" t="s">
        <v>324</v>
      </c>
      <c r="C75" s="550"/>
      <c r="D75" s="532" t="s">
        <v>166</v>
      </c>
      <c r="E75" s="551" t="s">
        <v>325</v>
      </c>
      <c r="F75" s="1426" t="s">
        <v>2411</v>
      </c>
      <c r="G75" s="551" t="s">
        <v>792</v>
      </c>
      <c r="H75" s="552"/>
      <c r="I75" s="2285"/>
      <c r="J75" s="2135"/>
      <c r="K75" s="2135"/>
      <c r="L75" s="2135"/>
      <c r="M75" s="2135"/>
      <c r="N75" s="2135"/>
      <c r="O75" s="2135"/>
      <c r="P75" s="2135"/>
      <c r="Q75" s="2135"/>
      <c r="R75" s="2135"/>
      <c r="S75" s="2135"/>
      <c r="T75" s="2135"/>
      <c r="U75" s="2135"/>
      <c r="V75" s="2135"/>
      <c r="W75" s="2135"/>
      <c r="X75" s="2135"/>
      <c r="Y75" s="2135"/>
      <c r="Z75" s="2135"/>
      <c r="AA75" s="1434"/>
      <c r="AB75" s="1434"/>
      <c r="AC75" s="1434"/>
      <c r="AD75" s="1434"/>
      <c r="AE75" s="1434"/>
      <c r="AF75" s="1434"/>
      <c r="AG75" s="1434"/>
      <c r="AH75" s="1434"/>
      <c r="AI75" s="1434"/>
    </row>
    <row r="76" spans="1:35" s="1264" customFormat="1" ht="24.75" customHeight="1">
      <c r="A76" s="549" t="s">
        <v>1899</v>
      </c>
      <c r="B76" s="553" t="s">
        <v>326</v>
      </c>
      <c r="C76" s="532">
        <f>IF(F75="购房发票",ROUND(C75*H75*D76,0),0)</f>
        <v>0</v>
      </c>
      <c r="D76" s="554">
        <v>0.05</v>
      </c>
      <c r="E76" s="3573" t="s">
        <v>327</v>
      </c>
      <c r="F76" s="3572"/>
      <c r="G76" s="3572"/>
      <c r="H76" s="3575"/>
      <c r="I76" s="2284"/>
      <c r="J76" s="2135"/>
      <c r="K76" s="2135"/>
      <c r="L76" s="2135"/>
      <c r="M76" s="2135"/>
      <c r="N76" s="2135"/>
      <c r="O76" s="2135"/>
      <c r="P76" s="2135"/>
      <c r="Q76" s="2135"/>
      <c r="R76" s="2135"/>
      <c r="S76" s="2135"/>
      <c r="T76" s="2135"/>
      <c r="U76" s="2135"/>
      <c r="V76" s="2135"/>
      <c r="W76" s="2135"/>
      <c r="X76" s="2135"/>
      <c r="Y76" s="2135"/>
      <c r="Z76" s="2135"/>
      <c r="AA76" s="1434"/>
      <c r="AB76" s="1434"/>
      <c r="AC76" s="1434"/>
      <c r="AD76" s="1434"/>
      <c r="AE76" s="1434"/>
      <c r="AF76" s="1434"/>
      <c r="AG76" s="1434"/>
      <c r="AH76" s="1434"/>
      <c r="AI76" s="1434"/>
    </row>
    <row r="77" spans="1:35" s="1264" customFormat="1" ht="24.75" customHeight="1">
      <c r="A77" s="549" t="s">
        <v>1900</v>
      </c>
      <c r="B77" s="530" t="s">
        <v>328</v>
      </c>
      <c r="C77" s="532">
        <f>ROUND(IF(G77="个人住宅",0,IF(G77="2016年5月1日前购买",C75*D77,C75*D77/(1+'数据-取费表'!C42))),0)</f>
        <v>0</v>
      </c>
      <c r="D77" s="555">
        <f>'数据-取费表'!B48+'数据-取费表'!B49</f>
        <v>3.0499999999999999E-2</v>
      </c>
      <c r="E77" s="303" t="s">
        <v>793</v>
      </c>
      <c r="F77" s="556"/>
      <c r="G77" s="1427" t="s">
        <v>2501</v>
      </c>
      <c r="H77" s="1922" t="str">
        <f>IF(G77="个人买卖住房","免征印花税"," ")</f>
        <v/>
      </c>
      <c r="I77" s="2284"/>
      <c r="J77" s="2135"/>
      <c r="K77" s="2135"/>
      <c r="L77" s="2135"/>
      <c r="M77" s="2135"/>
      <c r="N77" s="2135"/>
      <c r="O77" s="2135"/>
      <c r="P77" s="2135"/>
      <c r="Q77" s="2135"/>
      <c r="R77" s="2135"/>
      <c r="S77" s="2135"/>
      <c r="T77" s="2135"/>
      <c r="U77" s="2135"/>
      <c r="V77" s="2135"/>
      <c r="W77" s="2135"/>
      <c r="X77" s="2135"/>
      <c r="Y77" s="2135"/>
      <c r="Z77" s="2135"/>
      <c r="AA77" s="1434"/>
      <c r="AB77" s="1434"/>
      <c r="AC77" s="1434"/>
      <c r="AD77" s="1434"/>
      <c r="AE77" s="1434"/>
      <c r="AF77" s="1434"/>
      <c r="AG77" s="1434"/>
      <c r="AH77" s="1434"/>
      <c r="AI77" s="1434"/>
    </row>
    <row r="78" spans="1:35" s="1264" customFormat="1" ht="24.75" customHeight="1">
      <c r="A78" s="549" t="s">
        <v>1898</v>
      </c>
      <c r="B78" s="530" t="s">
        <v>329</v>
      </c>
      <c r="C78" s="557">
        <f ca="1">ROUND(D45*D78/(1+'数据-取费表'!C42),0)</f>
        <v>148</v>
      </c>
      <c r="D78" s="558">
        <f>'数据-取费表'!B43</f>
        <v>5.000000000000001E-3</v>
      </c>
      <c r="E78" s="3568" t="s">
        <v>2502</v>
      </c>
      <c r="F78" s="3564"/>
      <c r="G78" s="3564"/>
      <c r="H78" s="3565"/>
      <c r="I78" s="2286"/>
      <c r="J78" s="2135"/>
      <c r="K78" s="2135"/>
      <c r="L78" s="2135"/>
      <c r="M78" s="2135"/>
      <c r="N78" s="2135"/>
      <c r="O78" s="2135"/>
      <c r="P78" s="2135"/>
      <c r="Q78" s="2135"/>
      <c r="R78" s="2135"/>
      <c r="S78" s="2135"/>
      <c r="T78" s="2135"/>
      <c r="U78" s="2135"/>
      <c r="V78" s="2135"/>
      <c r="W78" s="2135"/>
      <c r="X78" s="2135"/>
      <c r="Y78" s="2135"/>
      <c r="Z78" s="2135"/>
      <c r="AA78" s="1434"/>
      <c r="AB78" s="1434"/>
      <c r="AC78" s="1434"/>
      <c r="AD78" s="1434"/>
      <c r="AE78" s="1434"/>
      <c r="AF78" s="1434"/>
      <c r="AG78" s="1434"/>
      <c r="AH78" s="1434"/>
      <c r="AI78" s="1434"/>
    </row>
    <row r="79" spans="1:35" s="1264" customFormat="1" ht="14.25">
      <c r="A79" s="1799" t="s">
        <v>1901</v>
      </c>
      <c r="B79" s="536" t="s">
        <v>330</v>
      </c>
      <c r="C79" s="539">
        <f ca="1">C72-C73</f>
        <v>29530</v>
      </c>
      <c r="D79" s="532" t="s">
        <v>166</v>
      </c>
      <c r="E79" s="1920"/>
      <c r="F79" s="1921"/>
      <c r="G79" s="1921"/>
      <c r="H79" s="548"/>
      <c r="I79" s="2284"/>
      <c r="J79" s="2135"/>
      <c r="K79" s="2135"/>
      <c r="L79" s="2135"/>
      <c r="M79" s="2135"/>
      <c r="N79" s="2135"/>
      <c r="O79" s="2135"/>
      <c r="P79" s="2135"/>
      <c r="Q79" s="2135"/>
      <c r="R79" s="2135"/>
      <c r="S79" s="2135"/>
      <c r="T79" s="2135"/>
      <c r="U79" s="2135"/>
      <c r="V79" s="2135"/>
      <c r="W79" s="2135"/>
      <c r="X79" s="2135"/>
      <c r="Y79" s="2135"/>
      <c r="Z79" s="2135"/>
      <c r="AA79" s="1434"/>
      <c r="AB79" s="1434"/>
      <c r="AC79" s="1434"/>
      <c r="AD79" s="1434"/>
      <c r="AE79" s="1434"/>
      <c r="AF79" s="1434"/>
      <c r="AG79" s="1434"/>
      <c r="AH79" s="1434"/>
      <c r="AI79" s="1434"/>
    </row>
    <row r="80" spans="1:35" s="1264" customFormat="1" ht="24">
      <c r="A80" s="1799" t="s">
        <v>1902</v>
      </c>
      <c r="B80" s="536" t="s">
        <v>331</v>
      </c>
      <c r="C80" s="559">
        <f ca="1">IF(C79&lt;=0,0,C79/C73)</f>
        <v>199.52702702702703</v>
      </c>
      <c r="D80" s="532"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8"/>
      <c r="I80" s="2284"/>
      <c r="J80" s="2135"/>
      <c r="K80" s="2135"/>
      <c r="L80" s="2135"/>
      <c r="M80" s="2135"/>
      <c r="N80" s="2135"/>
      <c r="O80" s="2135"/>
      <c r="P80" s="2135"/>
      <c r="Q80" s="2135"/>
      <c r="R80" s="2135"/>
      <c r="S80" s="2135"/>
      <c r="T80" s="2135"/>
      <c r="U80" s="2135"/>
      <c r="V80" s="2135"/>
      <c r="W80" s="2135"/>
      <c r="X80" s="2135"/>
      <c r="Y80" s="2135"/>
      <c r="Z80" s="2135"/>
      <c r="AA80" s="1434"/>
      <c r="AB80" s="1434"/>
      <c r="AC80" s="1434"/>
      <c r="AD80" s="1434"/>
      <c r="AE80" s="1434"/>
      <c r="AF80" s="1434"/>
      <c r="AG80" s="1434"/>
      <c r="AH80" s="1434"/>
      <c r="AI80" s="1434"/>
    </row>
    <row r="81" spans="1:35" s="1264" customFormat="1" ht="24.75" thickBot="1">
      <c r="A81" s="1800" t="s">
        <v>1903</v>
      </c>
      <c r="B81" s="541" t="s">
        <v>332</v>
      </c>
      <c r="C81" s="560">
        <f ca="1">ROUND(IF(C79&lt;=0,0,IF(C80&gt;=200%,C79*60%-C73*35%,IF(C80&gt;=100%,C79*50%-C73*15%,IF(C80&gt;=50%,C79*40%-C73*5%,IF(C80&lt;50%,C79*30%,0))))),0)</f>
        <v>17666</v>
      </c>
      <c r="D81" s="561" t="s">
        <v>166</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6"/>
      <c r="J82" s="2135"/>
      <c r="K82" s="2135"/>
      <c r="L82" s="2135"/>
      <c r="M82" s="2135"/>
      <c r="N82" s="2135"/>
      <c r="O82" s="2135"/>
      <c r="P82" s="2135"/>
      <c r="Q82" s="2135"/>
      <c r="R82" s="2135"/>
      <c r="S82" s="2135"/>
      <c r="T82" s="2135"/>
      <c r="U82" s="2135"/>
      <c r="V82" s="2135"/>
      <c r="W82" s="2135"/>
      <c r="X82" s="2135"/>
      <c r="Y82" s="2135"/>
      <c r="Z82" s="2135"/>
      <c r="AA82" s="1434"/>
      <c r="AB82" s="1434"/>
      <c r="AC82" s="1434"/>
      <c r="AD82" s="1434"/>
      <c r="AE82" s="1434"/>
      <c r="AF82" s="1434"/>
      <c r="AG82" s="1434"/>
      <c r="AH82" s="1434"/>
      <c r="AI82" s="1434"/>
    </row>
    <row r="83" spans="1:35" s="1264" customFormat="1" ht="14.25" thickBot="1">
      <c r="A83" s="3576" t="s">
        <v>333</v>
      </c>
      <c r="B83" s="3577"/>
      <c r="C83" s="3577"/>
      <c r="D83" s="3577"/>
      <c r="E83" s="3577"/>
      <c r="F83" s="3577"/>
      <c r="G83" s="3577"/>
      <c r="H83" s="3577"/>
      <c r="I83" s="2285"/>
      <c r="J83" s="2135"/>
      <c r="K83" s="2135"/>
      <c r="L83" s="2135"/>
      <c r="M83" s="2135"/>
      <c r="N83" s="2135"/>
      <c r="O83" s="2135"/>
      <c r="P83" s="2135"/>
      <c r="Q83" s="2135"/>
      <c r="R83" s="2135"/>
      <c r="S83" s="2135"/>
      <c r="T83" s="2135"/>
      <c r="U83" s="2135"/>
      <c r="V83" s="2135"/>
      <c r="W83" s="2135"/>
      <c r="X83" s="2135"/>
      <c r="Y83" s="2135"/>
      <c r="Z83" s="2135"/>
      <c r="AA83" s="1434"/>
      <c r="AB83" s="1434"/>
      <c r="AC83" s="1434"/>
      <c r="AD83" s="1434"/>
      <c r="AE83" s="1434"/>
      <c r="AF83" s="1434"/>
      <c r="AG83" s="1434"/>
      <c r="AH83" s="1434"/>
      <c r="AI83" s="1434"/>
    </row>
    <row r="84" spans="1:35" s="1264" customFormat="1" ht="13.5">
      <c r="A84" s="3566" t="s">
        <v>311</v>
      </c>
      <c r="B84" s="3567"/>
      <c r="C84" s="1917"/>
      <c r="D84" s="1917" t="s">
        <v>319</v>
      </c>
      <c r="E84" s="545" t="s">
        <v>320</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4"/>
      <c r="AB84" s="1434"/>
      <c r="AC84" s="1434"/>
      <c r="AD84" s="1434"/>
      <c r="AE84" s="1434"/>
      <c r="AF84" s="1434"/>
      <c r="AG84" s="1434"/>
      <c r="AH84" s="1434"/>
      <c r="AI84" s="1434"/>
    </row>
    <row r="85" spans="1:35" s="1264" customFormat="1" ht="13.5">
      <c r="A85" s="535" t="s">
        <v>1895</v>
      </c>
      <c r="B85" s="536" t="s">
        <v>321</v>
      </c>
      <c r="C85" s="539">
        <f ca="1">ROUND(D45/(1+'数据-取费表'!C42),0)</f>
        <v>29678</v>
      </c>
      <c r="D85" s="532" t="s">
        <v>166</v>
      </c>
      <c r="E85" s="1920"/>
      <c r="F85" s="1921"/>
      <c r="G85" s="1921"/>
      <c r="H85" s="566"/>
      <c r="I85" s="2285"/>
      <c r="J85" s="2135"/>
      <c r="K85" s="2135"/>
      <c r="L85" s="2135"/>
      <c r="M85" s="2135"/>
      <c r="N85" s="2135"/>
      <c r="O85" s="2135"/>
      <c r="P85" s="2135"/>
      <c r="Q85" s="2135"/>
      <c r="R85" s="2135"/>
      <c r="S85" s="2135"/>
      <c r="T85" s="2135"/>
      <c r="U85" s="2135"/>
      <c r="V85" s="2135"/>
      <c r="W85" s="2135"/>
      <c r="X85" s="2135"/>
      <c r="Y85" s="2135"/>
      <c r="Z85" s="2135"/>
      <c r="AA85" s="1434"/>
      <c r="AB85" s="1434"/>
      <c r="AC85" s="1434"/>
      <c r="AD85" s="1434"/>
      <c r="AE85" s="1434"/>
      <c r="AF85" s="1434"/>
      <c r="AG85" s="1434"/>
      <c r="AH85" s="1434"/>
      <c r="AI85" s="1434"/>
    </row>
    <row r="86" spans="1:35" s="1264" customFormat="1" ht="13.5">
      <c r="A86" s="535" t="s">
        <v>1892</v>
      </c>
      <c r="B86" s="505" t="s">
        <v>322</v>
      </c>
      <c r="C86" s="539">
        <f ca="1">IF(H88="仅含出让金",C87+C90+C91+C92+C93+C94,C87+C91+C92+C93+C94)</f>
        <v>148</v>
      </c>
      <c r="D86" s="567"/>
      <c r="E86" s="1920"/>
      <c r="F86" s="1921"/>
      <c r="G86" s="1921"/>
      <c r="H86" s="566"/>
      <c r="I86" s="2285"/>
      <c r="J86" s="2135"/>
      <c r="K86" s="2135"/>
      <c r="L86" s="2135"/>
      <c r="M86" s="2135"/>
      <c r="N86" s="2135"/>
      <c r="O86" s="2135"/>
      <c r="P86" s="2135"/>
      <c r="Q86" s="2135"/>
      <c r="R86" s="2135"/>
      <c r="S86" s="2135"/>
      <c r="T86" s="2135"/>
      <c r="U86" s="2135"/>
      <c r="V86" s="2135"/>
      <c r="W86" s="2135"/>
      <c r="X86" s="2135"/>
      <c r="Y86" s="2135"/>
      <c r="Z86" s="2135"/>
      <c r="AA86" s="1434"/>
      <c r="AB86" s="1434"/>
      <c r="AC86" s="1434"/>
      <c r="AD86" s="1434"/>
      <c r="AE86" s="1434"/>
      <c r="AF86" s="1434"/>
      <c r="AG86" s="1434"/>
      <c r="AH86" s="1434"/>
      <c r="AI86" s="1434"/>
    </row>
    <row r="87" spans="1:35" s="1264" customFormat="1" ht="13.5">
      <c r="A87" s="549" t="s">
        <v>1896</v>
      </c>
      <c r="B87" s="530" t="s">
        <v>334</v>
      </c>
      <c r="C87" s="557">
        <f>C88+C89</f>
        <v>0</v>
      </c>
      <c r="D87" s="558"/>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4"/>
      <c r="AB87" s="1434"/>
      <c r="AC87" s="1434"/>
      <c r="AD87" s="1434"/>
      <c r="AE87" s="1434"/>
      <c r="AF87" s="1434"/>
      <c r="AG87" s="1434"/>
      <c r="AH87" s="1434"/>
      <c r="AI87" s="1434"/>
    </row>
    <row r="88" spans="1:35" s="1264" customFormat="1" ht="13.5">
      <c r="A88" s="549" t="s">
        <v>1897</v>
      </c>
      <c r="B88" s="530" t="s">
        <v>335</v>
      </c>
      <c r="C88" s="568"/>
      <c r="D88" s="558"/>
      <c r="E88" s="569" t="s">
        <v>336</v>
      </c>
      <c r="F88" s="1916"/>
      <c r="G88" s="570" t="s">
        <v>337</v>
      </c>
      <c r="H88" s="1428"/>
      <c r="I88" s="2285"/>
      <c r="J88" s="2135"/>
      <c r="K88" s="2135"/>
      <c r="L88" s="2135"/>
      <c r="M88" s="2135"/>
      <c r="N88" s="2135"/>
      <c r="O88" s="2135"/>
      <c r="P88" s="2135"/>
      <c r="Q88" s="2135"/>
      <c r="R88" s="2135"/>
      <c r="S88" s="2135"/>
      <c r="T88" s="2135"/>
      <c r="U88" s="2135"/>
      <c r="V88" s="2135"/>
      <c r="W88" s="2135"/>
      <c r="X88" s="2135"/>
      <c r="Y88" s="2135"/>
      <c r="Z88" s="2135"/>
      <c r="AA88" s="1434"/>
      <c r="AB88" s="1434"/>
      <c r="AC88" s="1434"/>
      <c r="AD88" s="1434"/>
      <c r="AE88" s="1434"/>
      <c r="AF88" s="1434"/>
      <c r="AG88" s="1434"/>
      <c r="AH88" s="1434"/>
      <c r="AI88" s="1434"/>
    </row>
    <row r="89" spans="1:35" s="1264" customFormat="1" ht="13.5">
      <c r="A89" s="549" t="s">
        <v>1899</v>
      </c>
      <c r="B89" s="530" t="s">
        <v>328</v>
      </c>
      <c r="C89" s="557">
        <f>ROUND(C88*D89,0)</f>
        <v>0</v>
      </c>
      <c r="D89" s="558">
        <f>'数据-取费表'!B48+'数据-取费表'!B49</f>
        <v>3.0499999999999999E-2</v>
      </c>
      <c r="E89" s="569" t="s">
        <v>338</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4"/>
      <c r="AB89" s="1434"/>
      <c r="AC89" s="1434"/>
      <c r="AD89" s="1434"/>
      <c r="AE89" s="1434"/>
      <c r="AF89" s="1434"/>
      <c r="AG89" s="1434"/>
      <c r="AH89" s="1434"/>
      <c r="AI89" s="1434"/>
    </row>
    <row r="90" spans="1:35" s="1264" customFormat="1" ht="13.5">
      <c r="A90" s="549" t="s">
        <v>1898</v>
      </c>
      <c r="B90" s="530" t="s">
        <v>339</v>
      </c>
      <c r="C90" s="568"/>
      <c r="D90" s="558"/>
      <c r="E90" s="569" t="str">
        <f>IF(H88="-","土地取得成本中已包含该笔费用"," ")</f>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4"/>
      <c r="AB90" s="1434"/>
      <c r="AC90" s="1434"/>
      <c r="AD90" s="1434"/>
      <c r="AE90" s="1434"/>
      <c r="AF90" s="1434"/>
      <c r="AG90" s="1434"/>
      <c r="AH90" s="1434"/>
      <c r="AI90" s="1434"/>
    </row>
    <row r="91" spans="1:35" s="1264" customFormat="1" ht="27.75" customHeight="1">
      <c r="A91" s="1801" t="s">
        <v>1904</v>
      </c>
      <c r="B91" s="530" t="s">
        <v>340</v>
      </c>
      <c r="C91" s="557">
        <f>IF(H91="——",成本法!C33,I91)</f>
        <v>0</v>
      </c>
      <c r="D91" s="558"/>
      <c r="E91" s="3563" t="s">
        <v>794</v>
      </c>
      <c r="F91" s="3564"/>
      <c r="G91" s="3564"/>
      <c r="H91" s="1429" t="s">
        <v>2312</v>
      </c>
      <c r="I91" s="2182"/>
      <c r="J91" s="2135"/>
      <c r="K91" s="2135"/>
      <c r="L91" s="2135"/>
      <c r="M91" s="2135"/>
      <c r="N91" s="2135"/>
      <c r="O91" s="2135"/>
      <c r="P91" s="2135"/>
      <c r="Q91" s="2135"/>
      <c r="R91" s="2135"/>
      <c r="S91" s="2135"/>
      <c r="T91" s="2135"/>
      <c r="U91" s="2135"/>
      <c r="V91" s="2135"/>
      <c r="W91" s="2135"/>
      <c r="X91" s="2135"/>
      <c r="Y91" s="2135"/>
      <c r="Z91" s="2135"/>
      <c r="AA91" s="1434"/>
      <c r="AB91" s="1434"/>
      <c r="AC91" s="1434"/>
      <c r="AD91" s="1434"/>
      <c r="AE91" s="1434"/>
      <c r="AF91" s="1434"/>
      <c r="AG91" s="1434"/>
      <c r="AH91" s="1434"/>
      <c r="AI91" s="1434"/>
    </row>
    <row r="92" spans="1:35" s="1264" customFormat="1" ht="25.5" customHeight="1">
      <c r="A92" s="1801" t="s">
        <v>1905</v>
      </c>
      <c r="B92" s="530" t="s">
        <v>341</v>
      </c>
      <c r="C92" s="557">
        <f>ROUND((C87+C90+C91)*D92,0)</f>
        <v>0</v>
      </c>
      <c r="D92" s="558">
        <v>0.1</v>
      </c>
      <c r="E92" s="3563" t="s">
        <v>342</v>
      </c>
      <c r="F92" s="3564"/>
      <c r="G92" s="3564"/>
      <c r="H92" s="3565"/>
      <c r="I92" s="2285"/>
      <c r="J92" s="2135"/>
      <c r="K92" s="2135"/>
      <c r="L92" s="2135"/>
      <c r="M92" s="2135"/>
      <c r="N92" s="2135"/>
      <c r="O92" s="2135"/>
      <c r="P92" s="2135"/>
      <c r="Q92" s="2135"/>
      <c r="R92" s="2135"/>
      <c r="S92" s="2135"/>
      <c r="T92" s="2135"/>
      <c r="U92" s="2135"/>
      <c r="V92" s="2135"/>
      <c r="W92" s="2135"/>
      <c r="X92" s="2135"/>
      <c r="Y92" s="2135"/>
      <c r="Z92" s="2135"/>
      <c r="AA92" s="1434"/>
      <c r="AB92" s="1434"/>
      <c r="AC92" s="1434"/>
      <c r="AD92" s="1434"/>
      <c r="AE92" s="1434"/>
      <c r="AF92" s="1434"/>
      <c r="AG92" s="1434"/>
      <c r="AH92" s="1434"/>
      <c r="AI92" s="1434"/>
    </row>
    <row r="93" spans="1:35" s="1264" customFormat="1" ht="25.5" customHeight="1">
      <c r="A93" s="1801" t="s">
        <v>1906</v>
      </c>
      <c r="B93" s="530" t="s">
        <v>329</v>
      </c>
      <c r="C93" s="557">
        <f ca="1">ROUND(D45*D93/(1+'数据-取费表'!C42),0)</f>
        <v>148</v>
      </c>
      <c r="D93" s="558">
        <f>'数据-取费表'!B43</f>
        <v>5.000000000000001E-3</v>
      </c>
      <c r="E93" s="3568" t="s">
        <v>2502</v>
      </c>
      <c r="F93" s="3564"/>
      <c r="G93" s="3564"/>
      <c r="H93" s="3565"/>
      <c r="I93" s="2285"/>
      <c r="J93" s="2135"/>
      <c r="K93" s="2135"/>
      <c r="L93" s="2135"/>
      <c r="M93" s="2135"/>
      <c r="N93" s="2135"/>
      <c r="O93" s="2135"/>
      <c r="P93" s="2135"/>
      <c r="Q93" s="2135"/>
      <c r="R93" s="2135"/>
      <c r="S93" s="2135"/>
      <c r="T93" s="2135"/>
      <c r="U93" s="2135"/>
      <c r="V93" s="2135"/>
      <c r="W93" s="2135"/>
      <c r="X93" s="2135"/>
      <c r="Y93" s="2135"/>
      <c r="Z93" s="2135"/>
      <c r="AA93" s="1434"/>
      <c r="AB93" s="1434"/>
      <c r="AC93" s="1434"/>
      <c r="AD93" s="1434"/>
      <c r="AE93" s="1434"/>
      <c r="AF93" s="1434"/>
      <c r="AG93" s="1434"/>
      <c r="AH93" s="1434"/>
      <c r="AI93" s="1434"/>
    </row>
    <row r="94" spans="1:35" s="1264" customFormat="1" ht="36.75" customHeight="1">
      <c r="A94" s="1801" t="s">
        <v>1907</v>
      </c>
      <c r="B94" s="530" t="s">
        <v>343</v>
      </c>
      <c r="C94" s="568">
        <f>ROUND((C87+C90+C91)*D94,0)</f>
        <v>0</v>
      </c>
      <c r="D94" s="558">
        <v>0.2</v>
      </c>
      <c r="E94" s="3616" t="s">
        <v>3049</v>
      </c>
      <c r="F94" s="3617"/>
      <c r="G94" s="3617"/>
      <c r="H94" s="3618"/>
      <c r="I94" s="2285"/>
      <c r="J94" s="2135"/>
      <c r="K94" s="2135"/>
      <c r="L94" s="2135"/>
      <c r="M94" s="2135"/>
      <c r="N94" s="2135"/>
      <c r="O94" s="2135"/>
      <c r="P94" s="2135"/>
      <c r="Q94" s="2135"/>
      <c r="R94" s="2135"/>
      <c r="S94" s="2135"/>
      <c r="T94" s="2135"/>
      <c r="U94" s="2135"/>
      <c r="V94" s="2135"/>
      <c r="W94" s="2135"/>
      <c r="X94" s="2135"/>
      <c r="Y94" s="2135"/>
      <c r="Z94" s="2135"/>
      <c r="AA94" s="1434"/>
      <c r="AB94" s="1434"/>
      <c r="AC94" s="1434"/>
      <c r="AD94" s="1434"/>
      <c r="AE94" s="1434"/>
      <c r="AF94" s="1434"/>
      <c r="AG94" s="1434"/>
      <c r="AH94" s="1434"/>
      <c r="AI94" s="1434"/>
    </row>
    <row r="95" spans="1:35" s="1264" customFormat="1" ht="13.5">
      <c r="A95" s="1799" t="s">
        <v>1901</v>
      </c>
      <c r="B95" s="536" t="s">
        <v>330</v>
      </c>
      <c r="C95" s="539">
        <f ca="1">ROUND(C85-C86,0)</f>
        <v>29530</v>
      </c>
      <c r="D95" s="532" t="s">
        <v>166</v>
      </c>
      <c r="E95" s="1920"/>
      <c r="F95" s="1921"/>
      <c r="G95" s="1921"/>
      <c r="H95" s="566"/>
      <c r="I95" s="2285"/>
      <c r="J95" s="2135"/>
      <c r="K95" s="2135"/>
      <c r="L95" s="2135"/>
      <c r="M95" s="2135"/>
      <c r="N95" s="2135"/>
      <c r="O95" s="2135"/>
      <c r="P95" s="2135"/>
      <c r="Q95" s="2135"/>
      <c r="R95" s="2135"/>
      <c r="S95" s="2135"/>
      <c r="T95" s="2135"/>
      <c r="U95" s="2135"/>
      <c r="V95" s="2135"/>
      <c r="W95" s="2135"/>
      <c r="X95" s="2135"/>
      <c r="Y95" s="2135"/>
      <c r="Z95" s="2135"/>
      <c r="AA95" s="1434"/>
      <c r="AB95" s="1434"/>
      <c r="AC95" s="1434"/>
      <c r="AD95" s="1434"/>
      <c r="AE95" s="1434"/>
      <c r="AF95" s="1434"/>
      <c r="AG95" s="1434"/>
      <c r="AH95" s="1434"/>
      <c r="AI95" s="1434"/>
    </row>
    <row r="96" spans="1:35" s="1264" customFormat="1" ht="24">
      <c r="A96" s="1799" t="s">
        <v>1902</v>
      </c>
      <c r="B96" s="536" t="s">
        <v>331</v>
      </c>
      <c r="C96" s="559">
        <f ca="1">IF(C95&lt;=0,0,C95/C86)</f>
        <v>199.52702702702703</v>
      </c>
      <c r="D96" s="532"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6"/>
      <c r="I96" s="2285"/>
      <c r="J96" s="2135"/>
      <c r="K96" s="2135"/>
      <c r="L96" s="2135"/>
      <c r="M96" s="2135"/>
      <c r="N96" s="2135"/>
      <c r="O96" s="2135"/>
      <c r="P96" s="2135"/>
      <c r="Q96" s="2135"/>
      <c r="R96" s="2135"/>
      <c r="S96" s="2135"/>
      <c r="T96" s="2135"/>
      <c r="U96" s="2135"/>
      <c r="V96" s="2135"/>
      <c r="W96" s="2135"/>
      <c r="X96" s="2135"/>
      <c r="Y96" s="2135"/>
      <c r="Z96" s="2135"/>
      <c r="AA96" s="1434"/>
      <c r="AB96" s="1434"/>
      <c r="AC96" s="1434"/>
      <c r="AD96" s="1434"/>
      <c r="AE96" s="1434"/>
      <c r="AF96" s="1434"/>
      <c r="AG96" s="1434"/>
      <c r="AH96" s="1434"/>
      <c r="AI96" s="1434"/>
    </row>
    <row r="97" spans="1:35" s="1264" customFormat="1" ht="24.75" thickBot="1">
      <c r="A97" s="1800" t="s">
        <v>1903</v>
      </c>
      <c r="B97" s="541" t="s">
        <v>332</v>
      </c>
      <c r="C97" s="560">
        <f ca="1">ROUND(IF(C95&lt;=0,0,IF(C96&gt;=200%,C95*60%-C86*35%,IF(C96&gt;=100%,C95*50%-C86*15%,IF(C96&gt;=50%,C95*40%-C86*5%,IF(C96&lt;50%,C95*30%,0))))),0)</f>
        <v>17666</v>
      </c>
      <c r="D97" s="561" t="s">
        <v>166</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7"/>
    </row>
    <row r="99" spans="1:35" ht="21.75" customHeight="1" thickBot="1">
      <c r="A99" s="1251" t="s">
        <v>228</v>
      </c>
      <c r="B99" s="1242"/>
      <c r="C99" s="1242"/>
      <c r="D99" s="1242"/>
      <c r="E99" s="229"/>
      <c r="F99" s="229"/>
      <c r="G99" s="229"/>
      <c r="H99" s="241"/>
      <c r="I99" s="2277"/>
    </row>
    <row r="100" spans="1:35" ht="18.75" customHeight="1">
      <c r="A100" s="3511" t="s">
        <v>229</v>
      </c>
      <c r="B100" s="3512"/>
      <c r="C100" s="3512"/>
      <c r="D100" s="3546"/>
      <c r="E100" s="3512" t="s">
        <v>2900</v>
      </c>
      <c r="F100" s="3512"/>
      <c r="G100" s="3512"/>
      <c r="H100" s="3546"/>
      <c r="I100" s="2277"/>
    </row>
    <row r="101" spans="1:35" ht="18.75" customHeight="1">
      <c r="A101" s="3554" t="s">
        <v>207</v>
      </c>
      <c r="B101" s="3555"/>
      <c r="C101" s="1265" t="str">
        <f>C4</f>
        <v>成本法</v>
      </c>
      <c r="D101" s="1266" t="str">
        <f>D4</f>
        <v>收益法</v>
      </c>
      <c r="E101" s="3523" t="s">
        <v>1909</v>
      </c>
      <c r="F101" s="3524"/>
      <c r="G101" s="1267" t="s">
        <v>209</v>
      </c>
      <c r="H101" s="1985">
        <f ca="1">H118</f>
        <v>31162</v>
      </c>
      <c r="I101" s="2277"/>
    </row>
    <row r="102" spans="1:35" ht="18.75" customHeight="1">
      <c r="A102" s="3556" t="s">
        <v>208</v>
      </c>
      <c r="B102" s="1267" t="s">
        <v>209</v>
      </c>
      <c r="C102" s="1234">
        <f ca="1">C19</f>
        <v>28995</v>
      </c>
      <c r="D102" s="1235">
        <f ca="1">D19</f>
        <v>32607</v>
      </c>
      <c r="E102" s="3523"/>
      <c r="F102" s="3524"/>
      <c r="G102" s="1267" t="s">
        <v>210</v>
      </c>
      <c r="H102" s="711">
        <f ca="1">I118</f>
        <v>24467</v>
      </c>
      <c r="I102" s="2277"/>
    </row>
    <row r="103" spans="1:35" ht="42.75" customHeight="1">
      <c r="A103" s="3556"/>
      <c r="B103" s="1267" t="s">
        <v>210</v>
      </c>
      <c r="C103" s="1236">
        <f ca="1">C20</f>
        <v>22766</v>
      </c>
      <c r="D103" s="1237">
        <f ca="1">D20</f>
        <v>25602</v>
      </c>
      <c r="E103" s="3517" t="s">
        <v>3010</v>
      </c>
      <c r="F103" s="3518"/>
      <c r="G103" s="1268" t="s">
        <v>212</v>
      </c>
      <c r="H103" s="1985">
        <f>IF(D36="正常操作",H104+H105+H106,H105+H106)</f>
        <v>0</v>
      </c>
      <c r="I103" s="2277"/>
    </row>
    <row r="104" spans="1:35" ht="18.75" customHeight="1">
      <c r="A104" s="3556" t="s">
        <v>211</v>
      </c>
      <c r="B104" s="1269" t="s">
        <v>209</v>
      </c>
      <c r="C104" s="1238">
        <f ca="1">H118</f>
        <v>31162</v>
      </c>
      <c r="D104" s="1239"/>
      <c r="E104" s="13" t="s">
        <v>1908</v>
      </c>
      <c r="F104" s="6"/>
      <c r="G104" s="1268" t="s">
        <v>212</v>
      </c>
      <c r="H104" s="1986">
        <f>IF(D36="同一抵押权人同一抵押物续贷",C36&amp;"（未扣减，详见特别提示）",C36)</f>
        <v>0</v>
      </c>
      <c r="I104" s="2277"/>
    </row>
    <row r="105" spans="1:35" ht="18.75" customHeight="1" thickBot="1">
      <c r="A105" s="3570"/>
      <c r="B105" s="1270" t="s">
        <v>210</v>
      </c>
      <c r="C105" s="1240">
        <f ca="1">I118</f>
        <v>24467</v>
      </c>
      <c r="D105" s="1241"/>
      <c r="E105" s="13" t="s">
        <v>1910</v>
      </c>
      <c r="F105" s="6"/>
      <c r="G105" s="1268" t="s">
        <v>212</v>
      </c>
      <c r="H105" s="1986">
        <f>C37</f>
        <v>0</v>
      </c>
      <c r="I105" s="2277"/>
    </row>
    <row r="106" spans="1:35" ht="18.75" customHeight="1">
      <c r="A106" s="1242" t="s">
        <v>2002</v>
      </c>
      <c r="B106" s="1242"/>
      <c r="C106" s="1242"/>
      <c r="D106" s="1242"/>
      <c r="E106" s="467" t="s">
        <v>1911</v>
      </c>
      <c r="F106" s="6"/>
      <c r="G106" s="1268" t="s">
        <v>212</v>
      </c>
      <c r="H106" s="1986">
        <f>C38</f>
        <v>0</v>
      </c>
      <c r="I106" s="2277"/>
    </row>
    <row r="107" spans="1:35" ht="18.75" customHeight="1">
      <c r="A107" s="2277"/>
      <c r="B107" s="2277"/>
      <c r="C107" s="2277"/>
      <c r="D107" s="2277"/>
      <c r="E107" s="3558" t="str">
        <f>IF(项目基本情况!E8="已注销","——","3.房地产抵押价值")</f>
        <v>3.房地产抵押价值</v>
      </c>
      <c r="F107" s="3524"/>
      <c r="G107" s="1267" t="s">
        <v>209</v>
      </c>
      <c r="H107" s="1985">
        <f ca="1">IF(E107="——","——",H101-H103)</f>
        <v>31162</v>
      </c>
      <c r="I107" s="2277"/>
    </row>
    <row r="108" spans="1:35" ht="18.75" customHeight="1">
      <c r="A108" s="2277"/>
      <c r="B108" s="2277"/>
      <c r="C108" s="2277"/>
      <c r="D108" s="2277"/>
      <c r="E108" s="3558"/>
      <c r="F108" s="3524"/>
      <c r="G108" s="1267" t="s">
        <v>210</v>
      </c>
      <c r="H108" s="711">
        <f ca="1">ROUND(H107*10000/'数据-汇总表'!E3,0)</f>
        <v>24467</v>
      </c>
      <c r="I108" s="2277"/>
    </row>
    <row r="109" spans="1:35" ht="18.75" customHeight="1">
      <c r="A109" s="2277"/>
      <c r="B109" s="2277"/>
      <c r="C109" s="2277"/>
      <c r="D109" s="2277"/>
      <c r="E109" s="3558" t="str">
        <f>IF(项目基本情况!E8="已注销及未注销","4.抵押担保权已注销时的房地产抵押价值",IF(项目基本情况!E8="已注销","3.抵押担保权已注销时的房地产抵押价值","——"))</f>
        <v>——</v>
      </c>
      <c r="F109" s="3524"/>
      <c r="G109" s="1267" t="s">
        <v>209</v>
      </c>
      <c r="H109" s="685" t="str">
        <f>IF(E109="——","——",H101-H105-H106)</f>
        <v>——</v>
      </c>
      <c r="I109" s="2277"/>
    </row>
    <row r="110" spans="1:35" ht="18.75" customHeight="1">
      <c r="A110" s="2277"/>
      <c r="B110" s="2277"/>
      <c r="C110" s="2277"/>
      <c r="D110" s="2277"/>
      <c r="E110" s="3558"/>
      <c r="F110" s="3524"/>
      <c r="G110" s="1267" t="s">
        <v>210</v>
      </c>
      <c r="H110" s="711" t="str">
        <f>IF(H109="——","——",ROUND(H109*10000/'数据-汇总表'!E3,0))</f>
        <v>——</v>
      </c>
      <c r="I110" s="2277"/>
    </row>
    <row r="111" spans="1:35" ht="18.75" customHeight="1">
      <c r="A111" s="2277"/>
      <c r="B111" s="2277"/>
      <c r="C111" s="2277"/>
      <c r="D111" s="2277"/>
      <c r="E111" s="3559" t="str">
        <f>IF(项目基本情况!E9="抵押净值",IF(OR(项目基本情况!E8="已注销",项目基本情况!E8="房地产抵押价值"),"4.抵押净值","5.抵押净值"),"——")</f>
        <v>——</v>
      </c>
      <c r="F111" s="3560"/>
      <c r="G111" s="1267" t="s">
        <v>209</v>
      </c>
      <c r="H111" s="1985" t="str">
        <f>IF(E111="——","——",N59)</f>
        <v>——</v>
      </c>
      <c r="I111" s="2277"/>
    </row>
    <row r="112" spans="1:35" ht="18.75" customHeight="1" thickBot="1">
      <c r="A112" s="2277"/>
      <c r="B112" s="2277"/>
      <c r="C112" s="2277"/>
      <c r="D112" s="2277"/>
      <c r="E112" s="3561"/>
      <c r="F112" s="3562"/>
      <c r="G112" s="1271" t="s">
        <v>210</v>
      </c>
      <c r="H112" s="1422" t="str">
        <f>IF(E111="——","——",N61)</f>
        <v>——</v>
      </c>
      <c r="I112" s="2277"/>
    </row>
    <row r="113" spans="1:11" ht="18.75" customHeight="1">
      <c r="A113" s="2277"/>
      <c r="B113" s="2277"/>
      <c r="C113" s="2277"/>
      <c r="D113" s="2277"/>
      <c r="E113" s="3571" t="s">
        <v>2002</v>
      </c>
      <c r="F113" s="3571"/>
      <c r="G113" s="3571"/>
      <c r="H113" s="3571"/>
      <c r="I113" s="2277"/>
    </row>
    <row r="114" spans="1:11" ht="3.75" customHeight="1">
      <c r="A114" s="1242"/>
      <c r="B114" s="1242"/>
      <c r="C114" s="1242"/>
      <c r="D114" s="1242"/>
      <c r="E114" s="1257"/>
      <c r="F114" s="1257"/>
      <c r="G114" s="1257"/>
      <c r="H114" s="1257"/>
      <c r="I114" s="1242"/>
    </row>
    <row r="115" spans="1:11" ht="18.75" customHeight="1">
      <c r="A115" s="3584" t="s">
        <v>225</v>
      </c>
      <c r="B115" s="3585"/>
      <c r="C115" s="3585"/>
      <c r="D115" s="3585"/>
      <c r="E115" s="3585"/>
      <c r="F115" s="3585"/>
      <c r="G115" s="3585"/>
      <c r="H115" s="3585"/>
      <c r="I115" s="3586"/>
    </row>
    <row r="116" spans="1:11" ht="27" customHeight="1">
      <c r="A116" s="3491" t="s">
        <v>5</v>
      </c>
      <c r="B116" s="3533" t="s">
        <v>783</v>
      </c>
      <c r="C116" s="3533" t="s">
        <v>784</v>
      </c>
      <c r="D116" s="3542" t="s">
        <v>205</v>
      </c>
      <c r="E116" s="3543"/>
      <c r="F116" s="3580" t="s">
        <v>2380</v>
      </c>
      <c r="G116" s="3580"/>
      <c r="H116" s="3491" t="s">
        <v>6</v>
      </c>
      <c r="I116" s="3491"/>
    </row>
    <row r="117" spans="1:11" ht="18.75" customHeight="1">
      <c r="A117" s="3491"/>
      <c r="B117" s="3534"/>
      <c r="C117" s="3534"/>
      <c r="D117" s="1914" t="s">
        <v>7</v>
      </c>
      <c r="E117" s="1914" t="s">
        <v>785</v>
      </c>
      <c r="F117" s="1914" t="s">
        <v>7</v>
      </c>
      <c r="G117" s="1914" t="s">
        <v>8</v>
      </c>
      <c r="H117" s="1914" t="s">
        <v>7</v>
      </c>
      <c r="I117" s="1914" t="s">
        <v>8</v>
      </c>
    </row>
    <row r="118" spans="1:11" ht="24.75" customHeight="1">
      <c r="A118" s="2032" t="str">
        <f>项目基本情况!S2</f>
        <v>北京市怀柔区杨宋镇凤翔二园1号1-7幢房地产</v>
      </c>
      <c r="B118" s="1919">
        <f>M18</f>
        <v>12736.12000000001</v>
      </c>
      <c r="C118" s="1919">
        <f>M19</f>
        <v>82323.28</v>
      </c>
      <c r="D118" s="1919">
        <f ca="1">ROUND(IF(D32="总价",C34,E118*B118/10000),0)</f>
        <v>28576</v>
      </c>
      <c r="E118" s="1919">
        <f ca="1">ROUND(IF(C33="自定义",IF(D32="楼面单价",C34,D118*10000/B118),I118-G118),0)</f>
        <v>22437</v>
      </c>
      <c r="F118" s="1919">
        <f ca="1">ROUND(IF(D32="总价",C35,G118*B118/10000),0)</f>
        <v>2586</v>
      </c>
      <c r="G118" s="1919">
        <f ca="1">ROUND(IF(D32="楼面单价",C35,F118*10000/B118),0)</f>
        <v>2030</v>
      </c>
      <c r="H118" s="1919">
        <f ca="1">ROUND(IF(D32="总价",C32,I118*B118/10000),0)</f>
        <v>31162</v>
      </c>
      <c r="I118" s="1919">
        <f ca="1">ROUND(IF(D32="楼面单价",C32,H118*10000/B118),0)</f>
        <v>24467</v>
      </c>
    </row>
    <row r="119" spans="1:11" ht="18.75" customHeight="1">
      <c r="A119" s="3491" t="s">
        <v>9</v>
      </c>
      <c r="B119" s="3491"/>
      <c r="C119" s="3491"/>
      <c r="D119" s="3535" t="str">
        <f ca="1">NUMBERSTRING(INT(D118*10000),2)&amp;"元整"</f>
        <v>贰亿捌仟伍佰柒拾陆万元整</v>
      </c>
      <c r="E119" s="3536"/>
      <c r="F119" s="3535" t="str">
        <f ca="1">NUMBERSTRING(INT(F118*10000),2)&amp;"元整"</f>
        <v>贰仟伍佰捌拾陆万元整</v>
      </c>
      <c r="G119" s="3536"/>
      <c r="H119" s="3535" t="str">
        <f ca="1">NUMBERSTRING(INT(H118*10000),2)&amp;"元整"</f>
        <v>叁亿壹仟壹佰陆拾贰万元整</v>
      </c>
      <c r="I119" s="3536"/>
    </row>
    <row r="120" spans="1:11" ht="18.75" customHeight="1">
      <c r="A120" s="3537" t="str">
        <f>IF(项目基本情况!B9="房地产市场价值","",MID(E103,3,LEN(E103)-2))</f>
        <v>估价师知悉的法定优先受偿款</v>
      </c>
      <c r="B120" s="3538"/>
      <c r="C120" s="3539"/>
      <c r="D120" s="3530">
        <f>H103</f>
        <v>0</v>
      </c>
      <c r="E120" s="3531"/>
      <c r="F120" s="3531"/>
      <c r="G120" s="3531"/>
      <c r="H120" s="3531"/>
      <c r="I120" s="3532"/>
      <c r="K120" s="1433" t="str">
        <f>IF(D120=0,"故，本次评估不存在"&amp;A120,"故，本次评估"&amp;A120&amp;"为人民币"&amp;D120&amp;"万元整。")</f>
        <v>故，本次评估不存在估价师知悉的法定优先受偿款</v>
      </c>
    </row>
    <row r="121" spans="1:11" ht="18.75" customHeight="1">
      <c r="A121" s="3581" t="s">
        <v>9</v>
      </c>
      <c r="B121" s="3582"/>
      <c r="C121" s="3583"/>
      <c r="D121" s="3535" t="str">
        <f>IF(D120=0,"零元整",NUMBERSTRING(INT(D120*10000),2)&amp;"元整")</f>
        <v>零元整</v>
      </c>
      <c r="E121" s="3540"/>
      <c r="F121" s="3540"/>
      <c r="G121" s="3540"/>
      <c r="H121" s="3540"/>
      <c r="I121" s="3536"/>
    </row>
    <row r="122" spans="1:11" ht="18.75" customHeight="1">
      <c r="A122" s="3544" t="str">
        <f>IF(项目基本情况!B9="房地产市场价值","",MID(E107,3,LEN(E107)-2))</f>
        <v>房地产抵押价值</v>
      </c>
      <c r="B122" s="3544"/>
      <c r="C122" s="3544"/>
      <c r="D122" s="3530">
        <f ca="1">H107</f>
        <v>31162</v>
      </c>
      <c r="E122" s="3531"/>
      <c r="F122" s="3531"/>
      <c r="G122" s="3531"/>
      <c r="H122" s="3531"/>
      <c r="I122" s="3532"/>
    </row>
    <row r="123" spans="1:11" ht="18.75" customHeight="1">
      <c r="A123" s="3491" t="s">
        <v>9</v>
      </c>
      <c r="B123" s="3491"/>
      <c r="C123" s="3491"/>
      <c r="D123" s="3535" t="str">
        <f ca="1">NUMBERSTRING(INT(D122*10000),2)&amp;"元整"</f>
        <v>叁亿壹仟壹佰陆拾贰万元整</v>
      </c>
      <c r="E123" s="3540"/>
      <c r="F123" s="3540"/>
      <c r="G123" s="3540"/>
      <c r="H123" s="3540"/>
      <c r="I123" s="3536"/>
    </row>
    <row r="124" spans="1:11" ht="18.75" customHeight="1">
      <c r="A124" s="3544" t="str">
        <f>IF(项目基本情况!B9="房地产市场价值","",MID(E109,3,LEN(E109)-2))</f>
        <v/>
      </c>
      <c r="B124" s="3544"/>
      <c r="C124" s="3544"/>
      <c r="D124" s="3530" t="str">
        <f>H109</f>
        <v>——</v>
      </c>
      <c r="E124" s="3531"/>
      <c r="F124" s="3531"/>
      <c r="G124" s="3531"/>
      <c r="H124" s="3531"/>
      <c r="I124" s="3532"/>
    </row>
    <row r="125" spans="1:11" ht="18.75" customHeight="1">
      <c r="A125" s="3491" t="s">
        <v>9</v>
      </c>
      <c r="B125" s="3491"/>
      <c r="C125" s="3491"/>
      <c r="D125" s="3535" t="e">
        <f>NUMBERSTRING(INT(D124*10000),2)&amp;"元整"</f>
        <v>#VALUE!</v>
      </c>
      <c r="E125" s="3540"/>
      <c r="F125" s="3540"/>
      <c r="G125" s="3540"/>
      <c r="H125" s="3540"/>
      <c r="I125" s="3536"/>
    </row>
    <row r="126" spans="1:11" ht="18.75" customHeight="1">
      <c r="A126" s="3544" t="str">
        <f>IF(项目基本情况!B9="房地产市场价值","",MID(E111,3,LEN(E111)-2))</f>
        <v/>
      </c>
      <c r="B126" s="3544"/>
      <c r="C126" s="3544"/>
      <c r="D126" s="3530" t="str">
        <f>H111</f>
        <v>——</v>
      </c>
      <c r="E126" s="3531"/>
      <c r="F126" s="3531"/>
      <c r="G126" s="3531"/>
      <c r="H126" s="3531"/>
      <c r="I126" s="3532"/>
    </row>
    <row r="127" spans="1:11" ht="18.75" customHeight="1">
      <c r="A127" s="3491" t="s">
        <v>9</v>
      </c>
      <c r="B127" s="3491"/>
      <c r="C127" s="3491"/>
      <c r="D127" s="3535" t="e">
        <f>NUMBERSTRING(INT(D126*10000),2)&amp;"元整"</f>
        <v>#VALUE!</v>
      </c>
      <c r="E127" s="3540"/>
      <c r="F127" s="3540"/>
      <c r="G127" s="3540"/>
      <c r="H127" s="3540"/>
      <c r="I127" s="3536"/>
    </row>
    <row r="128" spans="1:11" ht="21.75" customHeight="1">
      <c r="A128" s="3541" t="s">
        <v>2001</v>
      </c>
      <c r="B128" s="3541"/>
      <c r="C128" s="3541"/>
      <c r="D128" s="3541"/>
      <c r="E128" s="3541"/>
      <c r="F128" s="3541"/>
      <c r="G128" s="3541"/>
      <c r="H128" s="3541"/>
      <c r="I128" s="3541"/>
    </row>
    <row r="129" spans="1:35" ht="21.75" customHeight="1">
      <c r="A129" s="2027" t="s">
        <v>786</v>
      </c>
      <c r="B129" s="2028"/>
      <c r="C129" s="468" t="s">
        <v>150</v>
      </c>
      <c r="D129" s="2029"/>
      <c r="E129" s="2029"/>
      <c r="F129" s="2029"/>
      <c r="G129" s="2029"/>
      <c r="H129" s="2030"/>
      <c r="I129" s="2031"/>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787</v>
      </c>
      <c r="G135" s="1447"/>
      <c r="H135" s="1447"/>
      <c r="I135" s="1448" t="s">
        <v>788</v>
      </c>
    </row>
    <row r="136" spans="1:35" ht="21.75" customHeight="1">
      <c r="A136" s="1445"/>
      <c r="B136" s="1449" t="s">
        <v>789</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790</v>
      </c>
    </row>
    <row r="139" spans="1:35" ht="21.75" customHeight="1">
      <c r="A139" s="1445"/>
      <c r="B139" s="1449" t="s">
        <v>791</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790</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G6" sqref="G6"/>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815</v>
      </c>
      <c r="B1" s="2752" t="s">
        <v>3163</v>
      </c>
      <c r="C1" s="574"/>
      <c r="D1" s="574"/>
      <c r="E1" s="574"/>
      <c r="F1" s="574"/>
      <c r="G1" s="2753">
        <f>MATCH(B1,'数据-取费表'!A6:A16,0)+5</f>
        <v>6</v>
      </c>
    </row>
    <row r="2" spans="1:9" s="576" customFormat="1" ht="18" customHeight="1">
      <c r="A2" s="577" t="s">
        <v>445</v>
      </c>
      <c r="B2" s="578">
        <f ca="1">IF(D2="——",C52,C52-E2)</f>
        <v>28995</v>
      </c>
      <c r="C2" s="85" t="s">
        <v>865</v>
      </c>
      <c r="D2" s="2870" t="s">
        <v>530</v>
      </c>
      <c r="E2" s="2868" t="e">
        <f ca="1">SUMIF(INDIRECT("'"&amp;G2&amp;"'"&amp;"!A:A"),"承租人权益价值",INDIRECT("'"&amp;G2&amp;"'"&amp;"!c:c"))</f>
        <v>#REF!</v>
      </c>
      <c r="F2" s="2866" t="s">
        <v>865</v>
      </c>
      <c r="G2" s="2869"/>
    </row>
    <row r="3" spans="1:9" s="576" customFormat="1" ht="18" customHeight="1" thickBot="1">
      <c r="A3" s="579" t="s">
        <v>446</v>
      </c>
      <c r="B3" s="580">
        <f ca="1">ROUND(B2*10000/(IF(B1="",'数据-汇总表'!E3,INDIRECT("'数据-取费表'!k"&amp;$G$1))),0)</f>
        <v>22766</v>
      </c>
      <c r="C3" s="85" t="s">
        <v>866</v>
      </c>
      <c r="D3" s="575"/>
      <c r="E3" s="575"/>
      <c r="F3" s="575"/>
      <c r="G3" s="575"/>
    </row>
    <row r="4" spans="1:9" s="584" customFormat="1" ht="15.75">
      <c r="A4" s="581" t="s">
        <v>818</v>
      </c>
      <c r="B4" s="582"/>
      <c r="C4" s="582"/>
      <c r="D4" s="582"/>
      <c r="E4" s="582"/>
      <c r="F4" s="582"/>
      <c r="G4" s="583"/>
    </row>
    <row r="5" spans="1:9" s="590" customFormat="1" ht="13.5" customHeight="1">
      <c r="A5" s="631" t="s">
        <v>2503</v>
      </c>
      <c r="B5" s="586" t="s">
        <v>819</v>
      </c>
      <c r="C5" s="587">
        <f ca="1">C6+C7+C8</f>
        <v>18548</v>
      </c>
      <c r="D5" s="587" t="s">
        <v>820</v>
      </c>
      <c r="E5" s="588" t="s">
        <v>821</v>
      </c>
      <c r="F5" s="588" t="s">
        <v>822</v>
      </c>
      <c r="G5" s="589"/>
    </row>
    <row r="6" spans="1:9" s="590" customFormat="1" ht="13.5" customHeight="1">
      <c r="A6" s="1803" t="s">
        <v>1921</v>
      </c>
      <c r="B6" s="591" t="s">
        <v>823</v>
      </c>
      <c r="C6" s="592">
        <f>'土地比较法-住宅、综合'!B2</f>
        <v>17801</v>
      </c>
      <c r="D6" s="593"/>
      <c r="E6" s="594"/>
      <c r="F6" s="594"/>
      <c r="G6" s="595"/>
    </row>
    <row r="7" spans="1:9" s="590" customFormat="1" ht="13.5" customHeight="1">
      <c r="A7" s="1803" t="s">
        <v>1922</v>
      </c>
      <c r="B7" s="591" t="s">
        <v>346</v>
      </c>
      <c r="C7" s="596">
        <f>ROUND(C6*F7,0)</f>
        <v>543</v>
      </c>
      <c r="D7" s="596"/>
      <c r="E7" s="594"/>
      <c r="F7" s="597">
        <f>'数据-取费表'!B48+'数据-取费表'!B49</f>
        <v>3.0499999999999999E-2</v>
      </c>
      <c r="G7" s="595"/>
    </row>
    <row r="8" spans="1:9" s="599" customFormat="1">
      <c r="A8" s="1803" t="s">
        <v>1923</v>
      </c>
      <c r="B8" s="591" t="s">
        <v>824</v>
      </c>
      <c r="C8" s="596">
        <f ca="1">IF(G8="已包含在土地购买价格中","0",IF(B1="",'数据-取费表'!B29,IF(G9="全部缴纳",C9+C10,H9)))</f>
        <v>204</v>
      </c>
      <c r="D8" s="598"/>
      <c r="E8" s="596"/>
      <c r="F8" s="597"/>
      <c r="G8" s="84" t="s">
        <v>3180</v>
      </c>
    </row>
    <row r="9" spans="1:9" s="590" customFormat="1" ht="13.5" customHeight="1">
      <c r="A9" s="1804" t="s">
        <v>1930</v>
      </c>
      <c r="B9" s="600" t="s">
        <v>825</v>
      </c>
      <c r="C9" s="601">
        <f ca="1">ROUND(D9*E9/10000,0)</f>
        <v>0</v>
      </c>
      <c r="D9" s="1908">
        <f ca="1">IF(B1="",'数据-汇总表'!E5,IF(INDIRECT("'数据-取费表'!c"&amp;$G$1)="住宅",INDIRECT("'数据-取费表'!k"&amp;$G$1),0))</f>
        <v>0</v>
      </c>
      <c r="E9" s="601">
        <f>'数据-取费表'!B27</f>
        <v>0</v>
      </c>
      <c r="F9" s="597"/>
      <c r="G9" s="2800" t="s">
        <v>3300</v>
      </c>
      <c r="H9" s="2801"/>
      <c r="I9" s="2802" t="s">
        <v>2685</v>
      </c>
    </row>
    <row r="10" spans="1:9" s="590" customFormat="1" ht="13.5" customHeight="1">
      <c r="A10" s="1804" t="s">
        <v>1931</v>
      </c>
      <c r="B10" s="600" t="s">
        <v>826</v>
      </c>
      <c r="C10" s="601">
        <f ca="1">ROUND(D10*E10/10000,0)</f>
        <v>204</v>
      </c>
      <c r="D10" s="1908">
        <f ca="1">IF(B1="",'数据-汇总表'!E6,IF(INDIRECT("'数据-取费表'!c"&amp;$G$1)="住宅",INDIRECT("'数据-取费表'!s"&amp;$G$1),INDIRECT("'数据-取费表'!k"&amp;$G$1)+INDIRECT("'数据-取费表'!s"&amp;$G$1)))</f>
        <v>12736.12000000001</v>
      </c>
      <c r="E10" s="601">
        <f>'数据-取费表'!B28</f>
        <v>160</v>
      </c>
      <c r="F10" s="597"/>
      <c r="G10" s="602"/>
    </row>
    <row r="11" spans="1:9" s="590" customFormat="1" ht="13.5" hidden="1" customHeight="1">
      <c r="A11" s="603" t="s">
        <v>42</v>
      </c>
      <c r="B11" s="591" t="s">
        <v>827</v>
      </c>
      <c r="C11" s="587"/>
      <c r="D11" s="1910"/>
      <c r="E11" s="594"/>
      <c r="F11" s="594"/>
      <c r="G11" s="595"/>
    </row>
    <row r="12" spans="1:9" s="590" customFormat="1" ht="13.5" hidden="1" customHeight="1">
      <c r="A12" s="603" t="s">
        <v>43</v>
      </c>
      <c r="B12" s="591" t="s">
        <v>828</v>
      </c>
      <c r="C12" s="587">
        <v>0</v>
      </c>
      <c r="D12" s="1910"/>
      <c r="E12" s="604"/>
      <c r="F12" s="597">
        <v>3.0499999999999999E-2</v>
      </c>
      <c r="G12" s="595"/>
    </row>
    <row r="13" spans="1:9" s="590" customFormat="1" ht="13.5" hidden="1" customHeight="1">
      <c r="A13" s="603" t="s">
        <v>44</v>
      </c>
      <c r="B13" s="591" t="s">
        <v>829</v>
      </c>
      <c r="C13" s="587"/>
      <c r="D13" s="1910"/>
      <c r="E13" s="594"/>
      <c r="F13" s="594"/>
      <c r="G13" s="595"/>
    </row>
    <row r="14" spans="1:9" s="590" customFormat="1" ht="13.5" hidden="1" customHeight="1">
      <c r="A14" s="603" t="s">
        <v>45</v>
      </c>
      <c r="B14" s="591" t="s">
        <v>824</v>
      </c>
      <c r="C14" s="587"/>
      <c r="D14" s="1910"/>
      <c r="E14" s="594"/>
      <c r="F14" s="594"/>
      <c r="G14" s="595" t="s">
        <v>830</v>
      </c>
    </row>
    <row r="15" spans="1:9" s="590" customFormat="1" ht="13.5" hidden="1" customHeight="1">
      <c r="A15" s="603" t="s">
        <v>46</v>
      </c>
      <c r="B15" s="591" t="s">
        <v>831</v>
      </c>
      <c r="C15" s="596"/>
      <c r="D15" s="1910"/>
      <c r="E15" s="594"/>
      <c r="F15" s="594"/>
      <c r="G15" s="595" t="s">
        <v>832</v>
      </c>
    </row>
    <row r="16" spans="1:9" s="590" customFormat="1" ht="13.5" hidden="1" customHeight="1">
      <c r="A16" s="603" t="s">
        <v>47</v>
      </c>
      <c r="B16" s="591" t="s">
        <v>824</v>
      </c>
      <c r="C16" s="596"/>
      <c r="D16" s="1910"/>
      <c r="E16" s="594"/>
      <c r="F16" s="594"/>
      <c r="G16" s="595"/>
    </row>
    <row r="17" spans="1:7" s="590" customFormat="1" ht="13.5" hidden="1" customHeight="1">
      <c r="A17" s="603" t="s">
        <v>48</v>
      </c>
      <c r="B17" s="591" t="s">
        <v>833</v>
      </c>
      <c r="C17" s="605"/>
      <c r="D17" s="1911"/>
      <c r="E17" s="605"/>
      <c r="F17" s="605"/>
      <c r="G17" s="595" t="s">
        <v>832</v>
      </c>
    </row>
    <row r="18" spans="1:7" s="590" customFormat="1" ht="13.5" hidden="1" customHeight="1">
      <c r="A18" s="603" t="s">
        <v>49</v>
      </c>
      <c r="B18" s="591" t="s">
        <v>834</v>
      </c>
      <c r="C18" s="596">
        <v>0</v>
      </c>
      <c r="D18" s="1910"/>
      <c r="E18" s="594"/>
      <c r="F18" s="597">
        <v>3.0499999999999999E-2</v>
      </c>
      <c r="G18" s="595" t="s">
        <v>835</v>
      </c>
    </row>
    <row r="19" spans="1:7" s="599" customFormat="1" ht="13.5" customHeight="1">
      <c r="A19" s="1802" t="s">
        <v>2504</v>
      </c>
      <c r="B19" s="586" t="s">
        <v>843</v>
      </c>
      <c r="C19" s="587" t="str">
        <f>IF(G19="已包含在土地取得成本中","0",ROUND(D19*E19/10000,0))</f>
        <v>0</v>
      </c>
      <c r="D19" s="1912">
        <f ca="1">D9+D10</f>
        <v>12736.12000000001</v>
      </c>
      <c r="E19" s="587">
        <f>'数据-取费表'!B31</f>
        <v>0</v>
      </c>
      <c r="F19" s="607"/>
      <c r="G19" s="84" t="s">
        <v>3181</v>
      </c>
    </row>
    <row r="20" spans="1:7" s="590" customFormat="1" ht="13.5" customHeight="1">
      <c r="A20" s="1802" t="s">
        <v>2506</v>
      </c>
      <c r="B20" s="586" t="s">
        <v>836</v>
      </c>
      <c r="C20" s="608">
        <f ca="1">ROUND((C5+C19)*F20,0)</f>
        <v>371</v>
      </c>
      <c r="D20" s="608"/>
      <c r="E20" s="608"/>
      <c r="F20" s="609">
        <f>'数据-取费表'!B37</f>
        <v>0.02</v>
      </c>
      <c r="G20" s="2620" t="s">
        <v>2517</v>
      </c>
    </row>
    <row r="21" spans="1:7" s="590" customFormat="1" ht="13.5" customHeight="1">
      <c r="A21" s="1802" t="s">
        <v>2508</v>
      </c>
      <c r="B21" s="586" t="s">
        <v>837</v>
      </c>
      <c r="C21" s="611">
        <f>F21</f>
        <v>0.02</v>
      </c>
      <c r="D21" s="612" t="s">
        <v>858</v>
      </c>
      <c r="E21" s="608"/>
      <c r="F21" s="609">
        <f>'数据-取费表'!B38</f>
        <v>0.02</v>
      </c>
      <c r="G21" s="610" t="s">
        <v>838</v>
      </c>
    </row>
    <row r="22" spans="1:7" s="590" customFormat="1" ht="13.5" customHeight="1">
      <c r="A22" s="1802" t="s">
        <v>1916</v>
      </c>
      <c r="B22" s="586" t="s">
        <v>839</v>
      </c>
      <c r="C22" s="2699">
        <f ca="1">ROUND(SUM(C23:C25),0)</f>
        <v>1822</v>
      </c>
      <c r="D22" s="611">
        <f ca="1">C26</f>
        <v>1E-3</v>
      </c>
      <c r="E22" s="612" t="s">
        <v>858</v>
      </c>
      <c r="F22" s="613">
        <f ca="1">'数据-取费表'!B40</f>
        <v>4.7500000000000001E-2</v>
      </c>
      <c r="G22" s="2620" t="str">
        <f>IF('数据-取费表'!B22&lt;=1,"单利计息","复利计息")</f>
        <v>复利计息</v>
      </c>
    </row>
    <row r="23" spans="1:7" s="590" customFormat="1" ht="13.5" customHeight="1">
      <c r="A23" s="1805" t="s">
        <v>1921</v>
      </c>
      <c r="B23" s="591" t="s">
        <v>2510</v>
      </c>
      <c r="C23" s="2700">
        <f ca="1">ROUND(IF('数据-取费表'!B22&lt;=1,C5*F22*'数据-取费表'!B23,C5*(POWER((1+F22),'数据-取费表'!B23)-1)),0)</f>
        <v>1804</v>
      </c>
      <c r="D23" s="614"/>
      <c r="E23" s="614"/>
      <c r="F23" s="615"/>
      <c r="G23" s="616" t="s">
        <v>840</v>
      </c>
    </row>
    <row r="24" spans="1:7" s="590" customFormat="1" ht="13.5" customHeight="1">
      <c r="A24" s="1805" t="s">
        <v>1922</v>
      </c>
      <c r="B24" s="591" t="s">
        <v>2505</v>
      </c>
      <c r="C24" s="2700">
        <f ca="1">ROUND(IF('数据-取费表'!B22&lt;=1,C19*F22*('数据-取费表'!B19/2+'数据-取费表'!B21),C19*(POWER((1+F22),('数据-取费表'!B19/2+'数据-取费表'!B21))-1)),0)</f>
        <v>0</v>
      </c>
      <c r="D24" s="614"/>
      <c r="E24" s="614"/>
      <c r="F24" s="615"/>
      <c r="G24" s="616" t="s">
        <v>841</v>
      </c>
    </row>
    <row r="25" spans="1:7" s="590" customFormat="1" ht="24">
      <c r="A25" s="1805" t="s">
        <v>1923</v>
      </c>
      <c r="B25" s="591" t="s">
        <v>2507</v>
      </c>
      <c r="C25" s="2700">
        <f ca="1">ROUND(IF('数据-取费表'!B22&lt;=1,C20*F22*'数据-取费表'!B23/2,C20*(POWER((1+F22),'数据-取费表'!B23/2)-1)),0)</f>
        <v>18</v>
      </c>
      <c r="D25" s="614"/>
      <c r="E25" s="617"/>
      <c r="F25" s="615"/>
      <c r="G25" s="618" t="s">
        <v>842</v>
      </c>
    </row>
    <row r="26" spans="1:7" s="590" customFormat="1">
      <c r="A26" s="1805" t="s">
        <v>1925</v>
      </c>
      <c r="B26" s="591" t="s">
        <v>2509</v>
      </c>
      <c r="C26" s="614">
        <f ca="1">ROUND(IF('数据-取费表'!B22&lt;=1,F21*F22*'数据-取费表'!B23/2,F21*(POWER((1+F22),'数据-取费表'!B23/2)-1)),4)</f>
        <v>1E-3</v>
      </c>
      <c r="D26" s="614"/>
      <c r="E26" s="617"/>
      <c r="F26" s="615"/>
      <c r="G26" s="619"/>
    </row>
    <row r="27" spans="1:7" s="590" customFormat="1" ht="24.75">
      <c r="A27" s="1802" t="s">
        <v>1917</v>
      </c>
      <c r="B27" s="620" t="s">
        <v>844</v>
      </c>
      <c r="C27" s="621">
        <f ca="1">C28</f>
        <v>3784</v>
      </c>
      <c r="D27" s="611">
        <f ca="1">C29</f>
        <v>4.0000000000000001E-3</v>
      </c>
      <c r="E27" s="612" t="s">
        <v>858</v>
      </c>
      <c r="F27" s="622">
        <f ca="1">IF(B1="",'数据-取费表'!Q16,INDIRECT("'数据-取费表'!q"&amp;$G$1))</f>
        <v>0.2</v>
      </c>
      <c r="G27" s="623" t="s">
        <v>2518</v>
      </c>
    </row>
    <row r="28" spans="1:7" s="590" customFormat="1" ht="13.5" customHeight="1">
      <c r="A28" s="1805" t="s">
        <v>1921</v>
      </c>
      <c r="B28" s="624" t="s">
        <v>2511</v>
      </c>
      <c r="C28" s="625">
        <f ca="1">ROUND((C5+C19+C20)*F27*'数据-取费表'!B21/'数据-取费表'!B20,0)</f>
        <v>3784</v>
      </c>
      <c r="D28" s="611"/>
      <c r="E28" s="612"/>
      <c r="F28" s="622"/>
      <c r="G28" s="623"/>
    </row>
    <row r="29" spans="1:7" s="590" customFormat="1" ht="13.5" customHeight="1">
      <c r="A29" s="1805" t="s">
        <v>1922</v>
      </c>
      <c r="B29" s="624" t="s">
        <v>2512</v>
      </c>
      <c r="C29" s="614">
        <f ca="1">ROUND(C21*F27*'数据-取费表'!B21/'数据-取费表'!B20,4)</f>
        <v>4.0000000000000001E-3</v>
      </c>
      <c r="D29" s="611"/>
      <c r="E29" s="612"/>
      <c r="F29" s="622"/>
      <c r="G29" s="623"/>
    </row>
    <row r="30" spans="1:7" s="590" customFormat="1" ht="13.5" customHeight="1">
      <c r="A30" s="1802" t="s">
        <v>1918</v>
      </c>
      <c r="B30" s="586" t="s">
        <v>347</v>
      </c>
      <c r="C30" s="611">
        <f>ROUND(F30/(1+'数据-取费表'!C42),4)</f>
        <v>5.2400000000000002E-2</v>
      </c>
      <c r="D30" s="612" t="s">
        <v>2937</v>
      </c>
      <c r="E30" s="617"/>
      <c r="F30" s="613">
        <f>'数据-取费表'!B41</f>
        <v>5.5000000000000007E-2</v>
      </c>
      <c r="G30" s="2620" t="s">
        <v>2938</v>
      </c>
    </row>
    <row r="31" spans="1:7" ht="16.5" customHeight="1">
      <c r="A31" s="585">
        <v>1</v>
      </c>
      <c r="B31" s="586" t="s">
        <v>860</v>
      </c>
      <c r="C31" s="587">
        <f ca="1">ROUND((C5+C19+C20+C22+C27)/(1-C21-D22-D27-C30),0)</f>
        <v>26582</v>
      </c>
      <c r="D31" s="606"/>
      <c r="E31" s="587"/>
      <c r="F31" s="626"/>
      <c r="G31" s="610" t="s">
        <v>2519</v>
      </c>
    </row>
    <row r="32" spans="1:7" s="584" customFormat="1" ht="15.75">
      <c r="A32" s="628" t="s">
        <v>846</v>
      </c>
      <c r="B32" s="629"/>
      <c r="C32" s="629"/>
      <c r="D32" s="629"/>
      <c r="E32" s="629"/>
      <c r="F32" s="629"/>
      <c r="G32" s="630"/>
    </row>
    <row r="33" spans="1:7" s="590" customFormat="1" ht="13.5" customHeight="1">
      <c r="A33" s="631" t="s">
        <v>1912</v>
      </c>
      <c r="B33" s="586" t="s">
        <v>847</v>
      </c>
      <c r="C33" s="632">
        <f ca="1">SUM(C34:C38)</f>
        <v>2916</v>
      </c>
      <c r="D33" s="608"/>
      <c r="E33" s="588"/>
      <c r="F33" s="617"/>
      <c r="G33" s="610"/>
    </row>
    <row r="34" spans="1:7" s="634" customFormat="1" ht="13.5" customHeight="1">
      <c r="A34" s="1805" t="s">
        <v>1921</v>
      </c>
      <c r="B34" s="591" t="s">
        <v>348</v>
      </c>
      <c r="C34" s="596">
        <f ca="1">IF(B1="",IF(F34=100%,'数据-取费表'!M16,'数据-取费表'!O16),IF(F34=100%,INDIRECT("'数据-取费表'!m"&amp;$G$1)+INDIRECT("'数据-取费表'!t"&amp;$G$1),INDIRECT("'数据-取费表'!o"&amp;$G$1)+INDIRECT("'数据-取费表'!aq"&amp;$G$1)))</f>
        <v>2547</v>
      </c>
      <c r="D34" s="593"/>
      <c r="E34" s="596"/>
      <c r="F34" s="633">
        <f ca="1">IF('数据-取费表'!B24=0,1,IF(B1="",'数据-取费表'!N16,INDIRECT("'数据-取费表'!n"&amp;$G$1)))</f>
        <v>1</v>
      </c>
      <c r="G34" s="595" t="s">
        <v>848</v>
      </c>
    </row>
    <row r="35" spans="1:7" ht="13.5" customHeight="1">
      <c r="A35" s="1805" t="s">
        <v>1926</v>
      </c>
      <c r="B35" s="591" t="s">
        <v>349</v>
      </c>
      <c r="C35" s="596">
        <f ca="1">ROUND(C34*F35,0)</f>
        <v>76</v>
      </c>
      <c r="D35" s="596"/>
      <c r="E35" s="596"/>
      <c r="F35" s="635">
        <f>'数据-取费表'!B33</f>
        <v>0.03</v>
      </c>
      <c r="G35" s="595" t="s">
        <v>849</v>
      </c>
    </row>
    <row r="36" spans="1:7" ht="24">
      <c r="A36" s="1805" t="s">
        <v>1927</v>
      </c>
      <c r="B36" s="591" t="s">
        <v>350</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351</v>
      </c>
    </row>
    <row r="37" spans="1:7" s="634" customFormat="1" ht="13.5" customHeight="1">
      <c r="A37" s="1805" t="s">
        <v>1928</v>
      </c>
      <c r="B37" s="591" t="s">
        <v>850</v>
      </c>
      <c r="C37" s="625">
        <f ca="1">ROUND(E37*D37*F34/10000,0)</f>
        <v>255</v>
      </c>
      <c r="D37" s="593">
        <f ca="1">D19</f>
        <v>12736.12000000001</v>
      </c>
      <c r="E37" s="625">
        <f>'数据-取费表'!B35</f>
        <v>200</v>
      </c>
      <c r="F37" s="635"/>
      <c r="G37" s="637" t="s">
        <v>851</v>
      </c>
    </row>
    <row r="38" spans="1:7" ht="13.5" customHeight="1">
      <c r="A38" s="1805" t="s">
        <v>1929</v>
      </c>
      <c r="B38" s="591" t="s">
        <v>352</v>
      </c>
      <c r="C38" s="596">
        <f ca="1">ROUND(C34*F38,0)</f>
        <v>38</v>
      </c>
      <c r="D38" s="596"/>
      <c r="E38" s="596"/>
      <c r="F38" s="635">
        <f>'数据-取费表'!B36</f>
        <v>1.4999999999999999E-2</v>
      </c>
      <c r="G38" s="595" t="s">
        <v>849</v>
      </c>
    </row>
    <row r="39" spans="1:7" s="590" customFormat="1" ht="13.5" customHeight="1">
      <c r="A39" s="1802" t="s">
        <v>1913</v>
      </c>
      <c r="B39" s="586" t="s">
        <v>836</v>
      </c>
      <c r="C39" s="608">
        <f ca="1">ROUND(C33*F20,0)</f>
        <v>58</v>
      </c>
      <c r="D39" s="608"/>
      <c r="E39" s="608"/>
      <c r="F39" s="609"/>
      <c r="G39" s="2620" t="s">
        <v>2520</v>
      </c>
    </row>
    <row r="40" spans="1:7" s="590" customFormat="1" ht="13.5" customHeight="1">
      <c r="A40" s="1802" t="s">
        <v>1914</v>
      </c>
      <c r="B40" s="586" t="s">
        <v>837</v>
      </c>
      <c r="C40" s="3233">
        <f>F21</f>
        <v>0.02</v>
      </c>
      <c r="D40" s="612" t="s">
        <v>861</v>
      </c>
      <c r="E40" s="608"/>
      <c r="F40" s="609"/>
      <c r="G40" s="610" t="s">
        <v>852</v>
      </c>
    </row>
    <row r="41" spans="1:7" s="590" customFormat="1" ht="13.5" customHeight="1">
      <c r="A41" s="1802" t="s">
        <v>1915</v>
      </c>
      <c r="B41" s="586" t="s">
        <v>839</v>
      </c>
      <c r="C41" s="608">
        <f ca="1">ROUND(SUM(C42:C43),0)</f>
        <v>142</v>
      </c>
      <c r="D41" s="611">
        <f ca="1">C44</f>
        <v>1E-3</v>
      </c>
      <c r="E41" s="612" t="s">
        <v>861</v>
      </c>
      <c r="F41" s="613"/>
      <c r="G41" s="2620" t="str">
        <f>IF('数据-取费表'!B22&lt;=1,"单利计息","复利计息")</f>
        <v>复利计息</v>
      </c>
    </row>
    <row r="42" spans="1:7" ht="13.5" customHeight="1">
      <c r="A42" s="1805" t="s">
        <v>1921</v>
      </c>
      <c r="B42" s="591" t="s">
        <v>2510</v>
      </c>
      <c r="C42" s="614">
        <f ca="1">ROUND(IF('数据-取费表'!B22&lt;=1,C33*F22*'数据-取费表'!B21/2,C33*(POWER((1+F22),'数据-取费表'!B21/2)-1)),0)</f>
        <v>139</v>
      </c>
      <c r="D42" s="614"/>
      <c r="E42" s="614"/>
      <c r="F42" s="615"/>
      <c r="G42" s="3619" t="s">
        <v>853</v>
      </c>
    </row>
    <row r="43" spans="1:7" ht="13.5" customHeight="1">
      <c r="A43" s="1805" t="s">
        <v>1922</v>
      </c>
      <c r="B43" s="591" t="s">
        <v>2513</v>
      </c>
      <c r="C43" s="614">
        <f ca="1">ROUND(IF('数据-取费表'!B22&lt;=1,C39*F22*'数据-取费表'!B21/2,C39*(POWER((1+F22),'数据-取费表'!B21/2)-1)),0)</f>
        <v>3</v>
      </c>
      <c r="D43" s="614"/>
      <c r="E43" s="614"/>
      <c r="F43" s="615"/>
      <c r="G43" s="3620"/>
    </row>
    <row r="44" spans="1:7" ht="13.5" customHeight="1">
      <c r="A44" s="1805" t="s">
        <v>1923</v>
      </c>
      <c r="B44" s="591" t="s">
        <v>2515</v>
      </c>
      <c r="C44" s="614">
        <f ca="1">ROUND(IF('数据-取费表'!B22&lt;=1,C40*F22*'数据-取费表'!B21/2,C40*(POWER((1+F22),'数据-取费表'!B21/2)-1)),4)</f>
        <v>1E-3</v>
      </c>
      <c r="D44" s="614"/>
      <c r="E44" s="614"/>
      <c r="F44" s="615"/>
      <c r="G44" s="3621"/>
    </row>
    <row r="45" spans="1:7" s="590" customFormat="1" ht="13.5" customHeight="1">
      <c r="A45" s="1802" t="s">
        <v>1916</v>
      </c>
      <c r="B45" s="620" t="s">
        <v>844</v>
      </c>
      <c r="C45" s="621">
        <f ca="1">C46</f>
        <v>595</v>
      </c>
      <c r="D45" s="611">
        <f ca="1">C47</f>
        <v>4.0000000000000001E-3</v>
      </c>
      <c r="E45" s="612" t="s">
        <v>861</v>
      </c>
      <c r="F45" s="622"/>
      <c r="G45" s="623" t="s">
        <v>2521</v>
      </c>
    </row>
    <row r="46" spans="1:7" s="590" customFormat="1" ht="13.5" customHeight="1">
      <c r="A46" s="1805" t="s">
        <v>1921</v>
      </c>
      <c r="B46" s="624" t="s">
        <v>2514</v>
      </c>
      <c r="C46" s="625">
        <f ca="1">ROUND((C33+C39)*F27,0)</f>
        <v>595</v>
      </c>
      <c r="D46" s="639"/>
      <c r="E46" s="612"/>
      <c r="F46" s="622"/>
      <c r="G46" s="623"/>
    </row>
    <row r="47" spans="1:7" s="590" customFormat="1" ht="13.5" customHeight="1">
      <c r="A47" s="1805" t="s">
        <v>1922</v>
      </c>
      <c r="B47" s="624" t="s">
        <v>2516</v>
      </c>
      <c r="C47" s="614">
        <f ca="1">ROUND(C40*F27,4)</f>
        <v>4.0000000000000001E-3</v>
      </c>
      <c r="D47" s="639"/>
      <c r="E47" s="612"/>
      <c r="F47" s="622"/>
      <c r="G47" s="623"/>
    </row>
    <row r="48" spans="1:7" s="590" customFormat="1" ht="13.5" customHeight="1">
      <c r="A48" s="1802" t="s">
        <v>1917</v>
      </c>
      <c r="B48" s="586" t="s">
        <v>854</v>
      </c>
      <c r="C48" s="3233">
        <f>ROUND(F30/(1+'数据-取费表'!C42),4)</f>
        <v>5.2400000000000002E-2</v>
      </c>
      <c r="D48" s="612" t="s">
        <v>2939</v>
      </c>
      <c r="E48" s="608"/>
      <c r="F48" s="613"/>
      <c r="G48" s="2620" t="s">
        <v>2940</v>
      </c>
    </row>
    <row r="49" spans="1:7" ht="16.5" customHeight="1">
      <c r="A49" s="1802" t="s">
        <v>1918</v>
      </c>
      <c r="B49" s="586" t="s">
        <v>863</v>
      </c>
      <c r="C49" s="608">
        <f ca="1">ROUND((C33+C39+C41+C45)/(1-C40-D41-D45-C48),0)</f>
        <v>4022</v>
      </c>
      <c r="D49" s="608"/>
      <c r="E49" s="608"/>
      <c r="F49" s="640"/>
      <c r="G49" s="610" t="s">
        <v>2522</v>
      </c>
    </row>
    <row r="50" spans="1:7" s="634" customFormat="1" ht="24">
      <c r="A50" s="1802" t="s">
        <v>1919</v>
      </c>
      <c r="B50" s="586" t="s">
        <v>856</v>
      </c>
      <c r="C50" s="608"/>
      <c r="D50" s="608"/>
      <c r="E50" s="608"/>
      <c r="F50" s="640">
        <f>IF('数据-取费表'!B24=0,'数据-取费表'!N16,1)</f>
        <v>0.6</v>
      </c>
      <c r="G50" s="623" t="s">
        <v>857</v>
      </c>
    </row>
    <row r="51" spans="1:7" ht="16.5" customHeight="1">
      <c r="A51" s="1802" t="s">
        <v>1920</v>
      </c>
      <c r="B51" s="586" t="s">
        <v>864</v>
      </c>
      <c r="C51" s="608">
        <f ca="1">ROUND(C49*F50,0)</f>
        <v>2413</v>
      </c>
      <c r="D51" s="608"/>
      <c r="E51" s="608"/>
      <c r="F51" s="640"/>
      <c r="G51" s="610" t="s">
        <v>353</v>
      </c>
    </row>
    <row r="52" spans="1:7" s="584" customFormat="1" ht="16.5" thickBot="1">
      <c r="A52" s="641" t="s">
        <v>354</v>
      </c>
      <c r="B52" s="642"/>
      <c r="C52" s="643">
        <f ca="1">C31+C51</f>
        <v>28995</v>
      </c>
      <c r="D52" s="642"/>
      <c r="E52" s="642"/>
      <c r="F52" s="642"/>
      <c r="G52" s="644"/>
    </row>
    <row r="55" spans="1:7" ht="15">
      <c r="B55" s="646" t="s">
        <v>355</v>
      </c>
      <c r="C55" s="647"/>
    </row>
    <row r="56" spans="1:7">
      <c r="B56" s="2872" t="s">
        <v>2697</v>
      </c>
      <c r="C56" s="651">
        <f ca="1">1-C57</f>
        <v>0.91700000000000004</v>
      </c>
    </row>
    <row r="57" spans="1:7">
      <c r="B57" s="2872" t="s">
        <v>2696</v>
      </c>
      <c r="C57" s="650">
        <f ca="1">ROUND(C51/C52,3)</f>
        <v>8.3000000000000004E-2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1962</v>
      </c>
      <c r="B36" s="1887" t="s">
        <v>1963</v>
      </c>
    </row>
    <row r="37" spans="1:9" ht="27.75" customHeight="1">
      <c r="A37" s="1887"/>
      <c r="B37" s="3426" t="str">
        <f>项目基本情况!B1</f>
        <v>北京市怀柔区杨宋镇凤翔二园1号1-7幢房地产抵押价值预评估</v>
      </c>
      <c r="C37" s="3426"/>
      <c r="D37" s="3426"/>
      <c r="E37" s="3426"/>
      <c r="F37" s="3426"/>
      <c r="G37" s="3426"/>
      <c r="H37" s="3426"/>
      <c r="I37" s="3426"/>
    </row>
    <row r="38" spans="1:9">
      <c r="A38" s="1889"/>
      <c r="B38" s="1889"/>
    </row>
    <row r="39" spans="1:9">
      <c r="A39" s="1887" t="s">
        <v>1962</v>
      </c>
      <c r="B39" s="1887" t="s">
        <v>1964</v>
      </c>
    </row>
    <row r="40" spans="1:9">
      <c r="A40" s="1887"/>
      <c r="B40" s="1887">
        <f>项目基本情况!B5</f>
        <v>0</v>
      </c>
    </row>
    <row r="41" spans="1:9">
      <c r="A41" s="1887"/>
      <c r="B41" s="1887"/>
    </row>
    <row r="42" spans="1:9">
      <c r="A42" s="1887" t="s">
        <v>1962</v>
      </c>
      <c r="B42" s="1887" t="s">
        <v>1965</v>
      </c>
    </row>
    <row r="43" spans="1:9">
      <c r="A43" s="1887"/>
      <c r="B43" s="1887" t="s">
        <v>1966</v>
      </c>
    </row>
    <row r="44" spans="1:9">
      <c r="A44" s="1887"/>
      <c r="B44" s="1887"/>
    </row>
    <row r="45" spans="1:9">
      <c r="A45" s="1887" t="s">
        <v>1962</v>
      </c>
      <c r="B45" s="1887" t="s">
        <v>1967</v>
      </c>
    </row>
    <row r="46" spans="1:9" s="1887" customFormat="1" ht="12.75">
      <c r="B46" s="1887" t="str">
        <f ca="1">项目基本情况!K4</f>
        <v>刘梅（注册号：1120140022)、吴薇（注册号：1419970001)</v>
      </c>
    </row>
    <row r="47" spans="1:9">
      <c r="A47" s="1887"/>
      <c r="B47" s="1887" t="str">
        <f>项目基本情况!K5</f>
        <v/>
      </c>
    </row>
    <row r="48" spans="1:9">
      <c r="A48" s="1887" t="s">
        <v>1962</v>
      </c>
      <c r="B48" s="1887" t="s">
        <v>1968</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815</v>
      </c>
      <c r="B1" s="2752"/>
      <c r="C1" s="2757" t="s">
        <v>2627</v>
      </c>
      <c r="D1" s="574"/>
      <c r="E1" s="574"/>
      <c r="F1" s="574"/>
      <c r="G1" s="2753">
        <f>MATCH(B1,'数据-取费表'!A6:A16,0)+5</f>
        <v>7</v>
      </c>
      <c r="H1" s="2584" t="str">
        <f>IF(ISERROR(FIND("住宅",B1)),"非住宅","住宅")</f>
        <v>非住宅</v>
      </c>
    </row>
    <row r="2" spans="1:8" s="576" customFormat="1" ht="18" customHeight="1">
      <c r="A2" s="577" t="s">
        <v>344</v>
      </c>
      <c r="B2" s="578">
        <f ca="1">ROUND(IF(D2="——",C52/10000,C52/10000-E2),0)</f>
        <v>2706</v>
      </c>
      <c r="C2" s="85" t="s">
        <v>865</v>
      </c>
      <c r="D2" s="2870" t="s">
        <v>530</v>
      </c>
      <c r="E2" s="2868" t="e">
        <f ca="1">SUMIF(INDIRECT("'"&amp;G2&amp;"'"&amp;"!A:A"),"承租人权益价值",INDIRECT("'"&amp;G2&amp;"'"&amp;"!c:c"))</f>
        <v>#REF!</v>
      </c>
      <c r="F2" s="2866" t="s">
        <v>865</v>
      </c>
      <c r="G2" s="2869"/>
    </row>
    <row r="3" spans="1:8" s="576" customFormat="1" ht="18" customHeight="1" thickBot="1">
      <c r="A3" s="579" t="s">
        <v>345</v>
      </c>
      <c r="B3" s="580">
        <f ca="1">ROUND(B2*10000/(IF(B1="",'数据-汇总表'!E3,INDIRECT("'数据-取费表'!k"&amp;$G$1))),0)</f>
        <v>2125</v>
      </c>
      <c r="C3" s="85" t="s">
        <v>866</v>
      </c>
      <c r="D3" s="575"/>
      <c r="E3" s="575"/>
      <c r="F3" s="575"/>
      <c r="G3" s="575"/>
    </row>
    <row r="4" spans="1:8" s="584" customFormat="1" ht="15.75">
      <c r="A4" s="581" t="s">
        <v>818</v>
      </c>
      <c r="B4" s="582"/>
      <c r="C4" s="582"/>
      <c r="D4" s="582"/>
      <c r="E4" s="582"/>
      <c r="F4" s="582"/>
      <c r="G4" s="583"/>
    </row>
    <row r="5" spans="1:8" s="590" customFormat="1" ht="13.5" customHeight="1">
      <c r="A5" s="631" t="s">
        <v>1912</v>
      </c>
      <c r="B5" s="586" t="s">
        <v>819</v>
      </c>
      <c r="C5" s="587">
        <f ca="1">C6+C7+C8</f>
        <v>2037779</v>
      </c>
      <c r="D5" s="587" t="s">
        <v>820</v>
      </c>
      <c r="E5" s="588" t="s">
        <v>821</v>
      </c>
      <c r="F5" s="588" t="s">
        <v>822</v>
      </c>
      <c r="G5" s="589"/>
    </row>
    <row r="6" spans="1:8" s="590" customFormat="1" ht="13.5" customHeight="1">
      <c r="A6" s="1803" t="s">
        <v>1921</v>
      </c>
      <c r="B6" s="591" t="s">
        <v>823</v>
      </c>
      <c r="C6" s="592"/>
      <c r="D6" s="593"/>
      <c r="E6" s="594"/>
      <c r="F6" s="594"/>
      <c r="G6" s="595"/>
    </row>
    <row r="7" spans="1:8" s="590" customFormat="1" ht="13.5" customHeight="1">
      <c r="A7" s="1803" t="s">
        <v>1922</v>
      </c>
      <c r="B7" s="591" t="s">
        <v>346</v>
      </c>
      <c r="C7" s="596">
        <f>ROUND(C6*F7,0)</f>
        <v>0</v>
      </c>
      <c r="D7" s="596"/>
      <c r="E7" s="594"/>
      <c r="F7" s="597">
        <f>'数据-取费表'!B48+'数据-取费表'!B49</f>
        <v>3.0499999999999999E-2</v>
      </c>
      <c r="G7" s="595"/>
    </row>
    <row r="8" spans="1:8" s="599" customFormat="1">
      <c r="A8" s="1803" t="s">
        <v>1923</v>
      </c>
      <c r="B8" s="591" t="s">
        <v>824</v>
      </c>
      <c r="C8" s="596">
        <f ca="1">IF(G8="已包含在土地购买价格中",0,C9+C10)</f>
        <v>2037779</v>
      </c>
      <c r="D8" s="598"/>
      <c r="E8" s="596"/>
      <c r="F8" s="597"/>
      <c r="G8" s="84"/>
    </row>
    <row r="9" spans="1:8" s="590" customFormat="1" ht="13.5" customHeight="1">
      <c r="A9" s="1804" t="s">
        <v>1930</v>
      </c>
      <c r="B9" s="600" t="s">
        <v>825</v>
      </c>
      <c r="C9" s="601">
        <f ca="1">ROUND(D9*E9,0)</f>
        <v>0</v>
      </c>
      <c r="D9" s="1908">
        <f ca="1">IF(B1="",'数据-汇总表'!E5,IF(INDIRECT("'数据-取费表'!c"&amp;$G$1)="住宅",INDIRECT("'数据-取费表'!k"&amp;$G$1),0))</f>
        <v>0</v>
      </c>
      <c r="E9" s="601">
        <f>'数据-取费表'!B27</f>
        <v>0</v>
      </c>
      <c r="F9" s="597"/>
      <c r="G9" s="602"/>
    </row>
    <row r="10" spans="1:8" s="590" customFormat="1" ht="13.5" customHeight="1">
      <c r="A10" s="1804" t="s">
        <v>1931</v>
      </c>
      <c r="B10" s="600" t="s">
        <v>826</v>
      </c>
      <c r="C10" s="601">
        <f ca="1">ROUND(D10*E10,0)</f>
        <v>2037779</v>
      </c>
      <c r="D10" s="1908">
        <f ca="1">IF(B1="",'数据-汇总表'!E6,IF(INDIRECT("'数据-取费表'!c"&amp;$G$1)="住宅",INDIRECT("'数据-取费表'!s"&amp;$G$1),INDIRECT("'数据-取费表'!k"&amp;$G$1)+INDIRECT("'数据-取费表'!s"&amp;$G$1)))</f>
        <v>12736.12000000001</v>
      </c>
      <c r="E10" s="601">
        <f>'数据-取费表'!B28</f>
        <v>160</v>
      </c>
      <c r="F10" s="597"/>
      <c r="G10" s="602"/>
    </row>
    <row r="11" spans="1:8" s="590" customFormat="1" ht="13.5" hidden="1" customHeight="1">
      <c r="A11" s="603" t="s">
        <v>42</v>
      </c>
      <c r="B11" s="591" t="s">
        <v>827</v>
      </c>
      <c r="C11" s="587"/>
      <c r="D11" s="1910"/>
      <c r="E11" s="594"/>
      <c r="F11" s="594"/>
      <c r="G11" s="595"/>
    </row>
    <row r="12" spans="1:8" s="590" customFormat="1" ht="13.5" hidden="1" customHeight="1">
      <c r="A12" s="603" t="s">
        <v>43</v>
      </c>
      <c r="B12" s="591" t="s">
        <v>828</v>
      </c>
      <c r="C12" s="587">
        <v>0</v>
      </c>
      <c r="D12" s="1910"/>
      <c r="E12" s="604"/>
      <c r="F12" s="597">
        <v>3.0499999999999999E-2</v>
      </c>
      <c r="G12" s="595"/>
    </row>
    <row r="13" spans="1:8" s="590" customFormat="1" ht="13.5" hidden="1" customHeight="1">
      <c r="A13" s="603" t="s">
        <v>44</v>
      </c>
      <c r="B13" s="591" t="s">
        <v>829</v>
      </c>
      <c r="C13" s="587"/>
      <c r="D13" s="1910"/>
      <c r="E13" s="594"/>
      <c r="F13" s="594"/>
      <c r="G13" s="595"/>
    </row>
    <row r="14" spans="1:8" s="590" customFormat="1" ht="13.5" hidden="1" customHeight="1">
      <c r="A14" s="603" t="s">
        <v>45</v>
      </c>
      <c r="B14" s="591" t="s">
        <v>824</v>
      </c>
      <c r="C14" s="587"/>
      <c r="D14" s="1910"/>
      <c r="E14" s="594"/>
      <c r="F14" s="594"/>
      <c r="G14" s="595" t="s">
        <v>830</v>
      </c>
    </row>
    <row r="15" spans="1:8" s="590" customFormat="1" ht="13.5" hidden="1" customHeight="1">
      <c r="A15" s="603" t="s">
        <v>46</v>
      </c>
      <c r="B15" s="591" t="s">
        <v>831</v>
      </c>
      <c r="C15" s="596"/>
      <c r="D15" s="1910"/>
      <c r="E15" s="594"/>
      <c r="F15" s="594"/>
      <c r="G15" s="595" t="s">
        <v>832</v>
      </c>
    </row>
    <row r="16" spans="1:8" s="590" customFormat="1" ht="13.5" hidden="1" customHeight="1">
      <c r="A16" s="603" t="s">
        <v>47</v>
      </c>
      <c r="B16" s="591" t="s">
        <v>824</v>
      </c>
      <c r="C16" s="596"/>
      <c r="D16" s="1910"/>
      <c r="E16" s="594"/>
      <c r="F16" s="594"/>
      <c r="G16" s="595"/>
    </row>
    <row r="17" spans="1:7" s="590" customFormat="1" ht="13.5" hidden="1" customHeight="1">
      <c r="A17" s="603" t="s">
        <v>48</v>
      </c>
      <c r="B17" s="591" t="s">
        <v>833</v>
      </c>
      <c r="C17" s="605"/>
      <c r="D17" s="1911"/>
      <c r="E17" s="605"/>
      <c r="F17" s="605"/>
      <c r="G17" s="595" t="s">
        <v>832</v>
      </c>
    </row>
    <row r="18" spans="1:7" s="590" customFormat="1" ht="13.5" hidden="1" customHeight="1">
      <c r="A18" s="603" t="s">
        <v>49</v>
      </c>
      <c r="B18" s="591" t="s">
        <v>834</v>
      </c>
      <c r="C18" s="596">
        <v>0</v>
      </c>
      <c r="D18" s="1910"/>
      <c r="E18" s="594"/>
      <c r="F18" s="597">
        <v>3.0499999999999999E-2</v>
      </c>
      <c r="G18" s="595" t="s">
        <v>835</v>
      </c>
    </row>
    <row r="19" spans="1:7" s="599" customFormat="1" ht="13.5" customHeight="1">
      <c r="A19" s="1802" t="s">
        <v>1913</v>
      </c>
      <c r="B19" s="586" t="s">
        <v>843</v>
      </c>
      <c r="C19" s="587">
        <f ca="1">IF(G19="已包含在土地取得成本中","0",ROUND(D19*E19,0))</f>
        <v>0</v>
      </c>
      <c r="D19" s="1912">
        <f ca="1">D9+D10</f>
        <v>12736.12000000001</v>
      </c>
      <c r="E19" s="587">
        <f>'数据-取费表'!B31</f>
        <v>0</v>
      </c>
      <c r="F19" s="607"/>
      <c r="G19" s="84"/>
    </row>
    <row r="20" spans="1:7" s="590" customFormat="1" ht="13.5" customHeight="1">
      <c r="A20" s="1802" t="s">
        <v>1914</v>
      </c>
      <c r="B20" s="586" t="s">
        <v>836</v>
      </c>
      <c r="C20" s="608">
        <f ca="1">ROUND((C5+C19)*F20,0)</f>
        <v>40756</v>
      </c>
      <c r="D20" s="608"/>
      <c r="E20" s="608"/>
      <c r="F20" s="609">
        <f>'数据-取费表'!B37</f>
        <v>0.02</v>
      </c>
      <c r="G20" s="2620" t="s">
        <v>2517</v>
      </c>
    </row>
    <row r="21" spans="1:7" s="590" customFormat="1" ht="13.5" customHeight="1">
      <c r="A21" s="1802" t="s">
        <v>1915</v>
      </c>
      <c r="B21" s="586" t="s">
        <v>837</v>
      </c>
      <c r="C21" s="611">
        <f>F21</f>
        <v>0.02</v>
      </c>
      <c r="D21" s="612" t="s">
        <v>858</v>
      </c>
      <c r="E21" s="608"/>
      <c r="F21" s="609">
        <f>'数据-取费表'!B38</f>
        <v>0.02</v>
      </c>
      <c r="G21" s="610" t="s">
        <v>838</v>
      </c>
    </row>
    <row r="22" spans="1:7" s="590" customFormat="1" ht="13.5" customHeight="1">
      <c r="A22" s="1802" t="s">
        <v>1916</v>
      </c>
      <c r="B22" s="586" t="s">
        <v>839</v>
      </c>
      <c r="C22" s="2754">
        <f ca="1">ROUND(SUM(C23:C25),0)</f>
        <v>200123</v>
      </c>
      <c r="D22" s="611">
        <f ca="1">C26</f>
        <v>1E-3</v>
      </c>
      <c r="E22" s="612" t="s">
        <v>858</v>
      </c>
      <c r="F22" s="613">
        <f ca="1">'数据-取费表'!B40</f>
        <v>4.7500000000000001E-2</v>
      </c>
      <c r="G22" s="2620" t="str">
        <f>IF('数据-取费表'!B22&lt;=1,"单利计息","复利计息")</f>
        <v>复利计息</v>
      </c>
    </row>
    <row r="23" spans="1:7" s="590" customFormat="1" ht="13.5" customHeight="1">
      <c r="A23" s="1805" t="s">
        <v>1921</v>
      </c>
      <c r="B23" s="591" t="s">
        <v>2510</v>
      </c>
      <c r="C23" s="2755">
        <f ca="1">ROUND(IF('数据-取费表'!B22&lt;=1,C5*F22*'数据-取费表'!B22,C5*(POWER((1+F22),'数据-取费表'!B22)-1)),0)</f>
        <v>198187</v>
      </c>
      <c r="D23" s="614"/>
      <c r="E23" s="614"/>
      <c r="F23" s="615"/>
      <c r="G23" s="616" t="s">
        <v>840</v>
      </c>
    </row>
    <row r="24" spans="1:7" s="590" customFormat="1" ht="13.5" customHeight="1">
      <c r="A24" s="1805" t="s">
        <v>1922</v>
      </c>
      <c r="B24" s="591" t="s">
        <v>2505</v>
      </c>
      <c r="C24" s="2755">
        <f ca="1">ROUND(IF('数据-取费表'!B22&lt;=1,C19*F22*('数据-取费表'!B19/2+'数据-取费表'!B20),C19*(POWER((1+F22),('数据-取费表'!B19/2+'数据-取费表'!B20))-1)),0)</f>
        <v>0</v>
      </c>
      <c r="D24" s="614"/>
      <c r="E24" s="614"/>
      <c r="F24" s="615"/>
      <c r="G24" s="616" t="s">
        <v>841</v>
      </c>
    </row>
    <row r="25" spans="1:7" s="590" customFormat="1" ht="24">
      <c r="A25" s="1805" t="s">
        <v>1923</v>
      </c>
      <c r="B25" s="591" t="s">
        <v>2507</v>
      </c>
      <c r="C25" s="2755">
        <f ca="1">ROUND(IF('数据-取费表'!B22&lt;=1,C20*F22*'数据-取费表'!B22/2,C20*(POWER((1+F22),'数据-取费表'!B22/2)-1)),0)</f>
        <v>1936</v>
      </c>
      <c r="D25" s="614"/>
      <c r="E25" s="617"/>
      <c r="F25" s="615"/>
      <c r="G25" s="618" t="s">
        <v>842</v>
      </c>
    </row>
    <row r="26" spans="1:7" s="590" customFormat="1">
      <c r="A26" s="1805" t="s">
        <v>1925</v>
      </c>
      <c r="B26" s="591" t="s">
        <v>2509</v>
      </c>
      <c r="C26" s="614">
        <f ca="1">ROUND(IF('数据-取费表'!B22&lt;=1,F21*F22*'数据-取费表'!B22/2,F21*(POWER((1+F22),'数据-取费表'!B22/2)-1)),4)</f>
        <v>1E-3</v>
      </c>
      <c r="D26" s="614"/>
      <c r="E26" s="617"/>
      <c r="F26" s="615"/>
      <c r="G26" s="619"/>
    </row>
    <row r="27" spans="1:7" s="590" customFormat="1" ht="24.75">
      <c r="A27" s="1802" t="s">
        <v>1917</v>
      </c>
      <c r="B27" s="620" t="s">
        <v>844</v>
      </c>
      <c r="C27" s="621">
        <f ca="1">C28</f>
        <v>415707</v>
      </c>
      <c r="D27" s="611">
        <f ca="1">C29</f>
        <v>4.0000000000000001E-3</v>
      </c>
      <c r="E27" s="612" t="s">
        <v>858</v>
      </c>
      <c r="F27" s="622">
        <f ca="1">IF(B1="",'数据-取费表'!Q16,INDIRECT("'数据-取费表'!q"&amp;$G$1))</f>
        <v>0.2</v>
      </c>
      <c r="G27" s="623" t="s">
        <v>2518</v>
      </c>
    </row>
    <row r="28" spans="1:7" s="590" customFormat="1" ht="13.5" customHeight="1">
      <c r="A28" s="1805" t="s">
        <v>1921</v>
      </c>
      <c r="B28" s="624" t="s">
        <v>2511</v>
      </c>
      <c r="C28" s="625">
        <f ca="1">ROUND((C5+C19+C20)*F27,0)</f>
        <v>415707</v>
      </c>
      <c r="D28" s="611"/>
      <c r="E28" s="612"/>
      <c r="F28" s="622"/>
      <c r="G28" s="623"/>
    </row>
    <row r="29" spans="1:7" s="590" customFormat="1" ht="13.5" customHeight="1">
      <c r="A29" s="1805" t="s">
        <v>1922</v>
      </c>
      <c r="B29" s="624" t="s">
        <v>2512</v>
      </c>
      <c r="C29" s="614">
        <f ca="1">ROUND(C21*F27,4)</f>
        <v>4.0000000000000001E-3</v>
      </c>
      <c r="D29" s="611"/>
      <c r="E29" s="612"/>
      <c r="F29" s="622"/>
      <c r="G29" s="623"/>
    </row>
    <row r="30" spans="1:7" s="590" customFormat="1" ht="13.5" customHeight="1">
      <c r="A30" s="1802" t="s">
        <v>1918</v>
      </c>
      <c r="B30" s="586" t="s">
        <v>347</v>
      </c>
      <c r="C30" s="611">
        <f>ROUND(F30/(1+'数据-取费表'!C42),4)</f>
        <v>5.2400000000000002E-2</v>
      </c>
      <c r="D30" s="612" t="s">
        <v>2941</v>
      </c>
      <c r="E30" s="617"/>
      <c r="F30" s="613">
        <f>'数据-取费表'!B41</f>
        <v>5.5000000000000007E-2</v>
      </c>
      <c r="G30" s="2620" t="s">
        <v>2942</v>
      </c>
    </row>
    <row r="31" spans="1:7" ht="16.5" customHeight="1">
      <c r="A31" s="585">
        <v>1</v>
      </c>
      <c r="B31" s="586" t="s">
        <v>860</v>
      </c>
      <c r="C31" s="587">
        <f ca="1">ROUND((C5+C19+C20+C22+C27)/(1-C21-D22-D27-C30),0)</f>
        <v>2920404</v>
      </c>
      <c r="D31" s="606"/>
      <c r="E31" s="587"/>
      <c r="F31" s="626"/>
      <c r="G31" s="610" t="s">
        <v>2519</v>
      </c>
    </row>
    <row r="32" spans="1:7" s="584" customFormat="1" ht="15.75">
      <c r="A32" s="628" t="s">
        <v>2622</v>
      </c>
      <c r="B32" s="629"/>
      <c r="C32" s="629"/>
      <c r="D32" s="629"/>
      <c r="E32" s="629"/>
      <c r="F32" s="629"/>
      <c r="G32" s="630"/>
    </row>
    <row r="33" spans="1:7" s="590" customFormat="1" ht="13.5" customHeight="1">
      <c r="A33" s="631" t="s">
        <v>1912</v>
      </c>
      <c r="B33" s="2756" t="s">
        <v>2623</v>
      </c>
      <c r="C33" s="632">
        <f ca="1">SUM(C34:C38)</f>
        <v>29165715</v>
      </c>
      <c r="D33" s="608"/>
      <c r="E33" s="588"/>
      <c r="F33" s="617"/>
      <c r="G33" s="610"/>
    </row>
    <row r="34" spans="1:7" s="634" customFormat="1" ht="13.5" customHeight="1">
      <c r="A34" s="1805" t="s">
        <v>1921</v>
      </c>
      <c r="B34" s="591" t="s">
        <v>348</v>
      </c>
      <c r="C34" s="596">
        <f ca="1">ROUND(IF(B1="",SUMPRODUCT('数据-取费表'!K6:K14,'数据-取费表'!L6:L14),INDIRECT("'数据-取费表'!l"&amp;$G$1)*INDIRECT("'数据-取费表'!k"&amp;$G$1)+'数据-取费表'!L14*INDIRECT("'数据-取费表'!S"&amp;$G$1)),0)</f>
        <v>25472240</v>
      </c>
      <c r="D34" s="593"/>
      <c r="E34" s="596"/>
      <c r="F34" s="633"/>
      <c r="G34" s="595"/>
    </row>
    <row r="35" spans="1:7" ht="13.5" customHeight="1">
      <c r="A35" s="1805" t="s">
        <v>1926</v>
      </c>
      <c r="B35" s="591" t="s">
        <v>349</v>
      </c>
      <c r="C35" s="596">
        <f ca="1">ROUND(C34*F35,0)</f>
        <v>764167</v>
      </c>
      <c r="D35" s="596"/>
      <c r="E35" s="596"/>
      <c r="F35" s="635">
        <f>'数据-取费表'!B33</f>
        <v>0.03</v>
      </c>
      <c r="G35" s="595" t="s">
        <v>849</v>
      </c>
    </row>
    <row r="36" spans="1:7" ht="24">
      <c r="A36" s="1805" t="s">
        <v>1927</v>
      </c>
      <c r="B36" s="591" t="s">
        <v>350</v>
      </c>
      <c r="C36" s="596">
        <f ca="1">ROUND(IF(B1="",SUM('数据-取费表'!AP6:AP13)*F36,IF(INDIRECT("'数据-取费表'!c"&amp;$G$1)="住宅",INDIRECT("'数据-取费表'!k"&amp;$G$1)*INDIRECT("'数据-取费表'!l"&amp;$G$1)*F36,0)),0)</f>
        <v>0</v>
      </c>
      <c r="D36" s="596"/>
      <c r="E36" s="596"/>
      <c r="F36" s="635">
        <f>'数据-取费表'!B34</f>
        <v>0</v>
      </c>
      <c r="G36" s="636" t="s">
        <v>351</v>
      </c>
    </row>
    <row r="37" spans="1:7" s="634" customFormat="1" ht="13.5" customHeight="1">
      <c r="A37" s="1805" t="s">
        <v>1928</v>
      </c>
      <c r="B37" s="591" t="s">
        <v>850</v>
      </c>
      <c r="C37" s="625">
        <f ca="1">ROUND(E37*D37,0)</f>
        <v>2547224</v>
      </c>
      <c r="D37" s="593">
        <f ca="1">D19</f>
        <v>12736.12000000001</v>
      </c>
      <c r="E37" s="625">
        <f>'数据-取费表'!B35</f>
        <v>200</v>
      </c>
      <c r="F37" s="635"/>
      <c r="G37" s="637"/>
    </row>
    <row r="38" spans="1:7" ht="13.5" customHeight="1">
      <c r="A38" s="1805" t="s">
        <v>1929</v>
      </c>
      <c r="B38" s="591" t="s">
        <v>352</v>
      </c>
      <c r="C38" s="596">
        <f ca="1">ROUND(C34*F38,0)</f>
        <v>382084</v>
      </c>
      <c r="D38" s="596"/>
      <c r="E38" s="596"/>
      <c r="F38" s="635">
        <f>'数据-取费表'!B36</f>
        <v>1.4999999999999999E-2</v>
      </c>
      <c r="G38" s="595" t="s">
        <v>849</v>
      </c>
    </row>
    <row r="39" spans="1:7" s="590" customFormat="1" ht="13.5" customHeight="1">
      <c r="A39" s="1802" t="s">
        <v>1913</v>
      </c>
      <c r="B39" s="586" t="s">
        <v>836</v>
      </c>
      <c r="C39" s="608">
        <f ca="1">ROUND(C33*F20,0)</f>
        <v>583314</v>
      </c>
      <c r="D39" s="608"/>
      <c r="E39" s="608"/>
      <c r="F39" s="609"/>
      <c r="G39" s="2620" t="s">
        <v>2520</v>
      </c>
    </row>
    <row r="40" spans="1:7" s="590" customFormat="1" ht="13.5" customHeight="1">
      <c r="A40" s="1802" t="s">
        <v>1914</v>
      </c>
      <c r="B40" s="586" t="s">
        <v>837</v>
      </c>
      <c r="C40" s="3233">
        <f>F21</f>
        <v>0.02</v>
      </c>
      <c r="D40" s="612" t="s">
        <v>861</v>
      </c>
      <c r="E40" s="608"/>
      <c r="F40" s="609"/>
      <c r="G40" s="610" t="s">
        <v>852</v>
      </c>
    </row>
    <row r="41" spans="1:7" s="590" customFormat="1" ht="13.5" customHeight="1">
      <c r="A41" s="1802" t="s">
        <v>1915</v>
      </c>
      <c r="B41" s="586" t="s">
        <v>839</v>
      </c>
      <c r="C41" s="608">
        <f ca="1">ROUND(SUM(C42:C43),0)</f>
        <v>1413078</v>
      </c>
      <c r="D41" s="611">
        <f ca="1">C44</f>
        <v>1E-3</v>
      </c>
      <c r="E41" s="612" t="s">
        <v>861</v>
      </c>
      <c r="F41" s="613"/>
      <c r="G41" s="2620" t="str">
        <f>IF('数据-取费表'!B22&lt;=1,"单利计息","复利计息")</f>
        <v>复利计息</v>
      </c>
    </row>
    <row r="42" spans="1:7" ht="13.5" customHeight="1">
      <c r="A42" s="1805" t="s">
        <v>1921</v>
      </c>
      <c r="B42" s="591" t="s">
        <v>2510</v>
      </c>
      <c r="C42" s="614">
        <f ca="1">ROUND(IF('数据-取费表'!B22&lt;=1,C33*F22*'数据-取费表'!B20/2,C33*(POWER((1+F22),'数据-取费表'!B20/2)-1)),0)</f>
        <v>1385371</v>
      </c>
      <c r="D42" s="614"/>
      <c r="E42" s="614"/>
      <c r="F42" s="615"/>
      <c r="G42" s="3622" t="s">
        <v>2626</v>
      </c>
    </row>
    <row r="43" spans="1:7" ht="13.5" customHeight="1">
      <c r="A43" s="1805" t="s">
        <v>1922</v>
      </c>
      <c r="B43" s="591" t="s">
        <v>2505</v>
      </c>
      <c r="C43" s="614">
        <f ca="1">ROUND(IF('数据-取费表'!B22&lt;=1,C39*F22*'数据-取费表'!B20/2,C39*(POWER((1+F22),'数据-取费表'!B20/2)-1)),0)</f>
        <v>27707</v>
      </c>
      <c r="D43" s="614"/>
      <c r="E43" s="614"/>
      <c r="F43" s="615"/>
      <c r="G43" s="3620"/>
    </row>
    <row r="44" spans="1:7" ht="13.5" customHeight="1">
      <c r="A44" s="1805" t="s">
        <v>1923</v>
      </c>
      <c r="B44" s="591" t="s">
        <v>2507</v>
      </c>
      <c r="C44" s="614">
        <f ca="1">ROUND(IF('数据-取费表'!B22&lt;=1,C40*F22*'数据-取费表'!B20/2,C40*(POWER((1+F22),'数据-取费表'!B20/2)-1)),4)</f>
        <v>1E-3</v>
      </c>
      <c r="D44" s="614"/>
      <c r="E44" s="614"/>
      <c r="F44" s="615"/>
      <c r="G44" s="3621"/>
    </row>
    <row r="45" spans="1:7" s="590" customFormat="1" ht="13.5" customHeight="1">
      <c r="A45" s="1802" t="s">
        <v>1916</v>
      </c>
      <c r="B45" s="620" t="s">
        <v>844</v>
      </c>
      <c r="C45" s="621">
        <f ca="1">C46</f>
        <v>5949806</v>
      </c>
      <c r="D45" s="611">
        <f ca="1">C47</f>
        <v>4.0000000000000001E-3</v>
      </c>
      <c r="E45" s="612" t="s">
        <v>861</v>
      </c>
      <c r="F45" s="622"/>
      <c r="G45" s="623" t="s">
        <v>2521</v>
      </c>
    </row>
    <row r="46" spans="1:7" s="590" customFormat="1" ht="13.5" customHeight="1">
      <c r="A46" s="1805" t="s">
        <v>1921</v>
      </c>
      <c r="B46" s="624" t="s">
        <v>2514</v>
      </c>
      <c r="C46" s="625">
        <f ca="1">ROUND((C33+C39)*F27,0)</f>
        <v>5949806</v>
      </c>
      <c r="D46" s="639"/>
      <c r="E46" s="612"/>
      <c r="F46" s="622"/>
      <c r="G46" s="623"/>
    </row>
    <row r="47" spans="1:7" s="590" customFormat="1" ht="13.5" customHeight="1">
      <c r="A47" s="1805" t="s">
        <v>1922</v>
      </c>
      <c r="B47" s="624" t="s">
        <v>2516</v>
      </c>
      <c r="C47" s="614">
        <f ca="1">ROUND(C40*F27,4)</f>
        <v>4.0000000000000001E-3</v>
      </c>
      <c r="D47" s="639"/>
      <c r="E47" s="612"/>
      <c r="F47" s="622"/>
      <c r="G47" s="623"/>
    </row>
    <row r="48" spans="1:7" s="590" customFormat="1" ht="13.5" customHeight="1">
      <c r="A48" s="1802" t="s">
        <v>1917</v>
      </c>
      <c r="B48" s="586" t="s">
        <v>854</v>
      </c>
      <c r="C48" s="638">
        <f>ROUND(F30/(1+'数据-取费表'!C42),4)</f>
        <v>5.2400000000000002E-2</v>
      </c>
      <c r="D48" s="612" t="s">
        <v>2939</v>
      </c>
      <c r="E48" s="608"/>
      <c r="F48" s="613"/>
      <c r="G48" s="2620" t="s">
        <v>2940</v>
      </c>
    </row>
    <row r="49" spans="1:7" ht="16.5" customHeight="1">
      <c r="A49" s="1802" t="s">
        <v>1918</v>
      </c>
      <c r="B49" s="586" t="s">
        <v>2624</v>
      </c>
      <c r="C49" s="608">
        <f ca="1">ROUND((C33+C39+C41+C45)/(1-C40-D41-D45-C48),0)</f>
        <v>40225356</v>
      </c>
      <c r="D49" s="608"/>
      <c r="E49" s="608"/>
      <c r="F49" s="640"/>
      <c r="G49" s="610" t="s">
        <v>2522</v>
      </c>
    </row>
    <row r="50" spans="1:7" s="634" customFormat="1">
      <c r="A50" s="1802" t="s">
        <v>1919</v>
      </c>
      <c r="B50" s="586" t="s">
        <v>856</v>
      </c>
      <c r="C50" s="608"/>
      <c r="D50" s="608"/>
      <c r="E50" s="608"/>
      <c r="F50" s="640">
        <f>IF('数据-取费表'!B24=0,'数据-取费表'!N16,1)</f>
        <v>0.6</v>
      </c>
      <c r="G50" s="623"/>
    </row>
    <row r="51" spans="1:7" ht="16.5" customHeight="1">
      <c r="A51" s="1802" t="s">
        <v>1920</v>
      </c>
      <c r="B51" s="586" t="s">
        <v>2625</v>
      </c>
      <c r="C51" s="608">
        <f ca="1">ROUND(C49*F50,0)</f>
        <v>24135214</v>
      </c>
      <c r="D51" s="608"/>
      <c r="E51" s="608"/>
      <c r="F51" s="640"/>
      <c r="G51" s="610" t="s">
        <v>353</v>
      </c>
    </row>
    <row r="52" spans="1:7" s="584" customFormat="1" ht="16.5" thickBot="1">
      <c r="A52" s="641" t="s">
        <v>354</v>
      </c>
      <c r="B52" s="642"/>
      <c r="C52" s="643">
        <f ca="1">C31+C51</f>
        <v>27055618</v>
      </c>
      <c r="D52" s="642"/>
      <c r="E52" s="642"/>
      <c r="F52" s="642"/>
      <c r="G52" s="644"/>
    </row>
    <row r="55" spans="1:7" ht="15">
      <c r="B55" s="646" t="s">
        <v>355</v>
      </c>
      <c r="C55" s="647"/>
    </row>
    <row r="56" spans="1:7">
      <c r="B56" s="2872" t="s">
        <v>2697</v>
      </c>
      <c r="C56" s="651">
        <f ca="1">1-C57</f>
        <v>0.10799999999999998</v>
      </c>
    </row>
    <row r="57" spans="1:7">
      <c r="B57" s="2872" t="s">
        <v>2696</v>
      </c>
      <c r="C57" s="650">
        <f ca="1">ROUND(C51/C52,3)</f>
        <v>0.89200000000000002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6" customWidth="1"/>
    <col min="3" max="3" width="10.375" style="1850" customWidth="1"/>
    <col min="4" max="4" width="9.875" style="1806" customWidth="1"/>
    <col min="5" max="5" width="9.5" style="1465"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2" t="s">
        <v>867</v>
      </c>
      <c r="B1" s="3049"/>
      <c r="C1" s="3050"/>
      <c r="D1" s="3048"/>
      <c r="E1" s="652"/>
      <c r="F1" s="652"/>
      <c r="G1" s="3049"/>
      <c r="H1" s="652"/>
      <c r="I1" s="652"/>
      <c r="J1" s="652"/>
      <c r="K1" s="652">
        <f>MATCH(C1,'数据-取费表'!A6:A16,0)+5</f>
        <v>7</v>
      </c>
    </row>
    <row r="2" spans="1:33" ht="18" customHeight="1">
      <c r="A2" s="577" t="s">
        <v>816</v>
      </c>
      <c r="B2" s="580">
        <f ca="1">C32</f>
        <v>0</v>
      </c>
      <c r="C2" s="88" t="s">
        <v>1099</v>
      </c>
      <c r="D2" s="652"/>
      <c r="E2" s="652"/>
      <c r="F2" s="652"/>
      <c r="G2" s="652"/>
      <c r="H2" s="652"/>
      <c r="I2" s="652"/>
      <c r="J2" s="652"/>
      <c r="K2" s="652"/>
    </row>
    <row r="3" spans="1:33" ht="18" customHeight="1" thickBot="1">
      <c r="A3" s="579" t="s">
        <v>817</v>
      </c>
      <c r="B3" s="580">
        <f ca="1">ROUND(B2*10000/IF(C1="",'数据-汇总表'!E3,INDIRECT("'数据-取费表'!K"&amp;$K$1)),0)</f>
        <v>0</v>
      </c>
      <c r="C3" s="88" t="s">
        <v>866</v>
      </c>
      <c r="D3" s="652"/>
      <c r="E3" s="652"/>
      <c r="F3" s="652"/>
      <c r="G3" s="652"/>
      <c r="H3" s="652"/>
      <c r="I3" s="652"/>
      <c r="J3" s="652"/>
      <c r="K3" s="652"/>
    </row>
    <row r="4" spans="1:33" s="1810" customFormat="1" ht="16.5" customHeight="1">
      <c r="A4" s="1807" t="s">
        <v>868</v>
      </c>
      <c r="B4" s="1808"/>
      <c r="C4" s="1851">
        <f>SUM(C8:K8)</f>
        <v>0</v>
      </c>
      <c r="D4" s="1808"/>
      <c r="E4" s="1808"/>
      <c r="F4" s="1808"/>
      <c r="G4" s="1808"/>
      <c r="H4" s="1808"/>
      <c r="I4" s="1808"/>
      <c r="J4" s="1808"/>
      <c r="K4" s="1809"/>
    </row>
    <row r="5" spans="1:33" s="1814" customFormat="1" ht="24">
      <c r="A5" s="1811" t="s">
        <v>869</v>
      </c>
      <c r="B5" s="1812" t="s">
        <v>870</v>
      </c>
      <c r="C5" s="1272" t="s">
        <v>203</v>
      </c>
      <c r="D5" s="1272" t="s">
        <v>204</v>
      </c>
      <c r="E5" s="1272" t="s">
        <v>194</v>
      </c>
      <c r="F5" s="1272"/>
      <c r="G5" s="1272"/>
      <c r="H5" s="1272"/>
      <c r="I5" s="1272"/>
      <c r="J5" s="1272"/>
      <c r="K5" s="1272"/>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1932</v>
      </c>
      <c r="B6" s="471" t="s">
        <v>871</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1913</v>
      </c>
      <c r="B7" s="471" t="s">
        <v>872</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1914</v>
      </c>
      <c r="B8" s="509" t="s">
        <v>873</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874</v>
      </c>
      <c r="B9" s="1808"/>
      <c r="C9" s="1808"/>
      <c r="D9" s="1808"/>
      <c r="E9" s="1808"/>
      <c r="F9" s="1808"/>
      <c r="G9" s="1808"/>
      <c r="H9" s="1808"/>
      <c r="I9" s="1808"/>
      <c r="J9" s="1808"/>
      <c r="K9" s="1809"/>
    </row>
    <row r="10" spans="1:33" s="1825" customFormat="1" ht="13.5" customHeight="1">
      <c r="A10" s="1811" t="s">
        <v>869</v>
      </c>
      <c r="B10" s="295" t="s">
        <v>870</v>
      </c>
      <c r="C10" s="1821" t="s">
        <v>875</v>
      </c>
      <c r="D10" s="1822" t="s">
        <v>876</v>
      </c>
      <c r="E10" s="1822" t="s">
        <v>877</v>
      </c>
      <c r="F10" s="1822" t="s">
        <v>878</v>
      </c>
      <c r="G10" s="295"/>
      <c r="H10" s="1823"/>
      <c r="I10" s="1823"/>
      <c r="J10" s="1823"/>
      <c r="K10" s="1824"/>
    </row>
    <row r="11" spans="1:33" s="1830" customFormat="1" ht="13.5" customHeight="1">
      <c r="A11" s="1826" t="s">
        <v>2945</v>
      </c>
      <c r="B11" s="1827" t="s">
        <v>879</v>
      </c>
      <c r="C11" s="655">
        <f ca="1">IF(C1="",'数据-取费表'!P16,INDIRECT("'数据-取费表'!p"&amp;$K$1)+INDIRECT("'数据-取费表'!ar"&amp;$K$1))</f>
        <v>0</v>
      </c>
      <c r="D11" s="1828"/>
      <c r="E11" s="715"/>
      <c r="F11" s="1829">
        <f ca="1">1-IF('数据-取费表'!B24=0,1,IF(C1="",'数据-取费表'!N16,INDIRECT("'数据-取费表'!n"&amp;$K$1)))</f>
        <v>0</v>
      </c>
      <c r="G11" s="295"/>
      <c r="H11" s="1823"/>
      <c r="I11" s="1823"/>
      <c r="J11" s="1823"/>
      <c r="K11" s="1824"/>
    </row>
    <row r="12" spans="1:33" s="1830" customFormat="1" ht="13.5" customHeight="1">
      <c r="A12" s="1826" t="s">
        <v>2946</v>
      </c>
      <c r="B12" s="1827" t="s">
        <v>880</v>
      </c>
      <c r="C12" s="313">
        <f ca="1">ROUND(C11*F12,0)</f>
        <v>0</v>
      </c>
      <c r="D12" s="1828"/>
      <c r="E12" s="715"/>
      <c r="F12" s="1831">
        <f>'数据-取费表'!B33</f>
        <v>0.03</v>
      </c>
      <c r="G12" s="295" t="s">
        <v>881</v>
      </c>
      <c r="H12" s="1823"/>
      <c r="I12" s="1823"/>
      <c r="J12" s="1823"/>
      <c r="K12" s="1824"/>
    </row>
    <row r="13" spans="1:33" s="1830" customFormat="1" ht="13.5" customHeight="1">
      <c r="A13" s="1826" t="s">
        <v>2947</v>
      </c>
      <c r="B13" s="1827" t="s">
        <v>882</v>
      </c>
      <c r="C13" s="313">
        <f ca="1">ROUND(IF(C1="",SUMIF('数据-取费表'!C:C,"住宅",'数据-取费表'!P:P)*F13,IF(INDIRECT("'数据-取费表'!c"&amp;$K$1)="住宅",INDIRECT("'数据-取费表'!P"&amp;$K$1)*F13,0)),0)</f>
        <v>0</v>
      </c>
      <c r="D13" s="1909"/>
      <c r="E13" s="715"/>
      <c r="F13" s="1831">
        <f>'数据-取费表'!B34</f>
        <v>0</v>
      </c>
      <c r="G13" s="295" t="s">
        <v>883</v>
      </c>
      <c r="H13" s="1823"/>
      <c r="I13" s="1823"/>
      <c r="J13" s="1823"/>
      <c r="K13" s="1824"/>
    </row>
    <row r="14" spans="1:33" s="1832" customFormat="1" ht="13.5" customHeight="1">
      <c r="A14" s="1826" t="s">
        <v>2948</v>
      </c>
      <c r="B14" s="1827" t="s">
        <v>884</v>
      </c>
      <c r="C14" s="313">
        <f ca="1">ROUND(D14*E14*F11/10000,0)</f>
        <v>0</v>
      </c>
      <c r="D14" s="1909">
        <f ca="1">IF(C1="",'数据-汇总表'!E3,INDIRECT("'数据-取费表'!K"&amp;$K$1)+INDIRECT("'数据-取费表'!S"&amp;$K$1))</f>
        <v>12736.12000000001</v>
      </c>
      <c r="E14" s="313">
        <f>'数据-取费表'!B35</f>
        <v>200</v>
      </c>
      <c r="F14" s="1831"/>
      <c r="G14" s="295" t="s">
        <v>885</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2949</v>
      </c>
      <c r="B15" s="1827" t="s">
        <v>891</v>
      </c>
      <c r="C15" s="1838">
        <f ca="1">ROUND(C11*F15,0)</f>
        <v>0</v>
      </c>
      <c r="D15" s="1833"/>
      <c r="E15" s="1838"/>
      <c r="F15" s="1839">
        <f>'数据-取费表'!B36</f>
        <v>1.4999999999999999E-2</v>
      </c>
      <c r="G15" s="471" t="s">
        <v>892</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1933</v>
      </c>
      <c r="B16" s="3234" t="s">
        <v>2950</v>
      </c>
      <c r="C16" s="1838">
        <f ca="1">SUM(C11:C15)</f>
        <v>0</v>
      </c>
      <c r="D16" s="1833"/>
      <c r="E16" s="1838"/>
      <c r="F16" s="1839"/>
      <c r="G16" s="471"/>
      <c r="H16" s="3046"/>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1934</v>
      </c>
      <c r="B17" s="1827" t="s">
        <v>886</v>
      </c>
      <c r="C17" s="313">
        <f ca="1">ROUND(D17*E17/10000,0)</f>
        <v>0</v>
      </c>
      <c r="D17" s="1909">
        <f ca="1">D14</f>
        <v>12736.12000000001</v>
      </c>
      <c r="E17" s="313">
        <f>'数据-取费表'!B32</f>
        <v>0</v>
      </c>
      <c r="F17" s="1833"/>
      <c r="G17" s="471" t="s">
        <v>887</v>
      </c>
      <c r="H17" s="3046"/>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2951</v>
      </c>
      <c r="B18" s="1827" t="s">
        <v>888</v>
      </c>
      <c r="C18" s="313">
        <f ca="1">C19+C20-IF(C1="",'数据-取费表'!B29,IF(G18="已全部缴纳",C19+C20,H18))</f>
        <v>0</v>
      </c>
      <c r="D18" s="1909"/>
      <c r="E18" s="313"/>
      <c r="F18" s="1831"/>
      <c r="G18" s="3045"/>
      <c r="H18" s="3043"/>
      <c r="I18" s="3044" t="s">
        <v>2796</v>
      </c>
      <c r="J18" s="1834"/>
      <c r="K18" s="1835"/>
    </row>
    <row r="19" spans="1:33" s="1830" customFormat="1" ht="13.5" customHeight="1">
      <c r="A19" s="1826" t="s">
        <v>1935</v>
      </c>
      <c r="B19" s="1827" t="s">
        <v>889</v>
      </c>
      <c r="C19" s="313">
        <f ca="1">ROUND(D19*E19/10000,0)</f>
        <v>0</v>
      </c>
      <c r="D19" s="1909">
        <f ca="1">IF(C1="",'数据-汇总表'!E5,IF(INDIRECT("'数据-取费表'!c"&amp;$K$1)="住宅",INDIRECT("'数据-取费表'!k"&amp;$K$1),0))</f>
        <v>0</v>
      </c>
      <c r="E19" s="313">
        <f>'数据-取费表'!B27</f>
        <v>0</v>
      </c>
      <c r="F19" s="1831"/>
      <c r="G19" s="303"/>
      <c r="H19" s="3047"/>
      <c r="I19" s="1836"/>
      <c r="J19" s="1836"/>
      <c r="K19" s="1837"/>
    </row>
    <row r="20" spans="1:33" s="1830" customFormat="1" ht="13.5" customHeight="1">
      <c r="A20" s="1826" t="s">
        <v>1936</v>
      </c>
      <c r="B20" s="1827" t="s">
        <v>890</v>
      </c>
      <c r="C20" s="313">
        <f ca="1">ROUND(D20*E20/10000,0)</f>
        <v>204</v>
      </c>
      <c r="D20" s="1909">
        <f ca="1">IF(C1="",'数据-汇总表'!E6,IF(INDIRECT("'数据-取费表'!c"&amp;$K$1)="住宅",INDIRECT("'数据-取费表'!s"&amp;$K$1),INDIRECT("'数据-取费表'!k"&amp;$K$1)+INDIRECT("'数据-取费表'!s"&amp;$K$1)))</f>
        <v>12736.12000000001</v>
      </c>
      <c r="E20" s="313">
        <f>'数据-取费表'!B28</f>
        <v>160</v>
      </c>
      <c r="F20" s="1831"/>
      <c r="G20" s="303"/>
      <c r="H20" s="1836"/>
      <c r="I20" s="1836"/>
      <c r="J20" s="1836"/>
      <c r="K20" s="1837"/>
    </row>
    <row r="21" spans="1:33" s="1830" customFormat="1" ht="13.5" customHeight="1">
      <c r="A21" s="1815" t="s">
        <v>1932</v>
      </c>
      <c r="B21" s="1840" t="s">
        <v>893</v>
      </c>
      <c r="C21" s="1841">
        <f ca="1">C16+C17+C18</f>
        <v>0</v>
      </c>
      <c r="D21" s="1842"/>
      <c r="E21" s="657"/>
      <c r="F21" s="657"/>
      <c r="G21" s="471" t="s">
        <v>2523</v>
      </c>
      <c r="H21" s="1834"/>
      <c r="I21" s="1834"/>
      <c r="J21" s="1834"/>
      <c r="K21" s="1835"/>
    </row>
    <row r="22" spans="1:33" s="1830" customFormat="1" ht="13.5" customHeight="1">
      <c r="A22" s="1820" t="s">
        <v>1913</v>
      </c>
      <c r="B22" s="1840" t="s">
        <v>894</v>
      </c>
      <c r="C22" s="1841">
        <f ca="1">ROUND(C21*F22,0)</f>
        <v>0</v>
      </c>
      <c r="D22" s="657"/>
      <c r="E22" s="657"/>
      <c r="F22" s="1843">
        <f>'数据-取费表'!B37</f>
        <v>0.02</v>
      </c>
      <c r="G22" s="295" t="s">
        <v>895</v>
      </c>
      <c r="H22" s="1823"/>
      <c r="I22" s="1823"/>
      <c r="J22" s="1823"/>
      <c r="K22" s="1824"/>
    </row>
    <row r="23" spans="1:33" s="1830" customFormat="1" ht="13.5" customHeight="1">
      <c r="A23" s="1820" t="s">
        <v>1914</v>
      </c>
      <c r="B23" s="1840" t="s">
        <v>896</v>
      </c>
      <c r="C23" s="1841">
        <f ca="1">ROUND(C4*F23*F11,0)</f>
        <v>0</v>
      </c>
      <c r="D23" s="657"/>
      <c r="E23" s="657"/>
      <c r="F23" s="1843">
        <f>'数据-取费表'!B38</f>
        <v>0.02</v>
      </c>
      <c r="G23" s="295" t="s">
        <v>897</v>
      </c>
      <c r="H23" s="1823"/>
      <c r="I23" s="1823"/>
      <c r="J23" s="1823"/>
      <c r="K23" s="1824"/>
    </row>
    <row r="24" spans="1:33" s="1830" customFormat="1" ht="13.5" customHeight="1">
      <c r="A24" s="1820" t="s">
        <v>1915</v>
      </c>
      <c r="B24" s="1840" t="s">
        <v>898</v>
      </c>
      <c r="C24" s="656">
        <f>ROUND(F24/(1+'数据-取费表'!C42),4)</f>
        <v>2.9000000000000001E-2</v>
      </c>
      <c r="D24" s="657" t="s">
        <v>50</v>
      </c>
      <c r="E24" s="657"/>
      <c r="F24" s="1843">
        <f>'数据-取费表'!B48+'数据-取费表'!B49</f>
        <v>3.0499999999999999E-2</v>
      </c>
      <c r="G24" s="2022" t="s">
        <v>2943</v>
      </c>
      <c r="H24" s="1845"/>
      <c r="I24" s="1845"/>
      <c r="J24" s="1845"/>
      <c r="K24" s="1846"/>
    </row>
    <row r="25" spans="1:33" s="1830" customFormat="1" ht="13.5" customHeight="1">
      <c r="A25" s="1820" t="s">
        <v>1916</v>
      </c>
      <c r="B25" s="1842" t="s">
        <v>899</v>
      </c>
      <c r="C25" s="2702">
        <f ca="1">C27</f>
        <v>0</v>
      </c>
      <c r="D25" s="656">
        <f ca="1">C26</f>
        <v>0</v>
      </c>
      <c r="E25" s="658" t="s">
        <v>50</v>
      </c>
      <c r="F25" s="659">
        <f ca="1">'数据-取费表'!B40</f>
        <v>4.7500000000000001E-2</v>
      </c>
      <c r="G25" s="2701"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1933</v>
      </c>
      <c r="B26" s="1847" t="s">
        <v>900</v>
      </c>
      <c r="C26" s="2703">
        <f ca="1">ROUND(IF('数据-取费表'!B22&lt;=1,(1+C24)*F25*'数据-取费表'!B24,(1+C24)*(POWER((1+F25),'数据-取费表'!B24)-1)),4)</f>
        <v>0</v>
      </c>
      <c r="D26" s="660"/>
      <c r="E26" s="661"/>
      <c r="F26" s="662"/>
      <c r="G26" s="2708"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1934</v>
      </c>
      <c r="B27" s="1847" t="s">
        <v>2613</v>
      </c>
      <c r="C27" s="2704">
        <f ca="1">ROUND(IF('数据-取费表'!B22&lt;=1,(C21+C22+C23)*F25*'数据-取费表'!B24/2,(C21+C22+C23)*(POWER((1+F25),'数据-取费表'!B24/2)-1)),0)</f>
        <v>0</v>
      </c>
      <c r="D27" s="660"/>
      <c r="E27" s="661"/>
      <c r="F27" s="662"/>
      <c r="G27" s="2708" t="str">
        <f>IF('数据-取费表'!B22&lt;=1,"（1）-（3）项×年利率×建设期÷2","（1）-（3）项×((1+年利率)^(建设期÷2)-1)")</f>
        <v>（1）-（3）项×((1+年利率)^(建设期÷2)-1)</v>
      </c>
      <c r="H27" s="1834"/>
      <c r="I27" s="1834"/>
      <c r="J27" s="1834"/>
      <c r="K27" s="1835"/>
    </row>
    <row r="28" spans="1:33" s="665" customFormat="1" ht="13.5" customHeight="1">
      <c r="A28" s="1820" t="s">
        <v>1917</v>
      </c>
      <c r="B28" s="3235" t="s">
        <v>2952</v>
      </c>
      <c r="C28" s="663">
        <f ca="1">C30</f>
        <v>0</v>
      </c>
      <c r="D28" s="656">
        <f ca="1">C29</f>
        <v>0</v>
      </c>
      <c r="E28" s="658" t="s">
        <v>50</v>
      </c>
      <c r="F28" s="664">
        <f ca="1">IF(C1="",'数据-取费表'!Q16,INDIRECT("'数据-取费表'!q"&amp;$K$1))</f>
        <v>0.2</v>
      </c>
      <c r="G28" s="1844"/>
      <c r="H28" s="1845"/>
      <c r="I28" s="1845"/>
      <c r="J28" s="1845"/>
      <c r="K28" s="1846"/>
    </row>
    <row r="29" spans="1:33" s="667" customFormat="1" ht="13.5" customHeight="1">
      <c r="A29" s="1826" t="s">
        <v>1933</v>
      </c>
      <c r="B29" s="1849" t="s">
        <v>901</v>
      </c>
      <c r="C29" s="660">
        <f ca="1">ROUND((1+C24)*F28*'数据-取费表'!B24/'数据-取费表'!B20,4)</f>
        <v>0</v>
      </c>
      <c r="D29" s="660"/>
      <c r="E29" s="661"/>
      <c r="F29" s="666"/>
      <c r="G29" s="471" t="s">
        <v>902</v>
      </c>
      <c r="H29" s="1834"/>
      <c r="I29" s="1834"/>
      <c r="J29" s="1834"/>
      <c r="K29" s="1835"/>
    </row>
    <row r="30" spans="1:33" s="667" customFormat="1" ht="13.5" customHeight="1">
      <c r="A30" s="1826" t="s">
        <v>1934</v>
      </c>
      <c r="B30" s="2709" t="s">
        <v>2614</v>
      </c>
      <c r="C30" s="668">
        <f ca="1">ROUND((C21+C22+C23)*F28,0)</f>
        <v>0</v>
      </c>
      <c r="D30" s="660"/>
      <c r="E30" s="661"/>
      <c r="F30" s="666"/>
      <c r="G30" s="471"/>
      <c r="H30" s="1834"/>
      <c r="I30" s="1834"/>
      <c r="J30" s="1834"/>
      <c r="K30" s="1835"/>
    </row>
    <row r="31" spans="1:33" s="1830" customFormat="1" ht="13.5" customHeight="1" thickBot="1">
      <c r="A31" s="1861" t="s">
        <v>1918</v>
      </c>
      <c r="B31" s="1862" t="s">
        <v>903</v>
      </c>
      <c r="C31" s="1863">
        <f>ROUND(C4*F31/(1+'数据-取费表'!C42),0)</f>
        <v>0</v>
      </c>
      <c r="D31" s="1864"/>
      <c r="E31" s="1865"/>
      <c r="F31" s="1866">
        <f>'数据-取费表'!B41</f>
        <v>5.5000000000000007E-2</v>
      </c>
      <c r="G31" s="1867" t="s">
        <v>904</v>
      </c>
      <c r="H31" s="1868"/>
      <c r="I31" s="1868"/>
      <c r="J31" s="1868"/>
      <c r="K31" s="1869"/>
    </row>
    <row r="32" spans="1:33" s="1825" customFormat="1" ht="13.5" customHeight="1" thickBot="1">
      <c r="A32" s="1856" t="s">
        <v>2944</v>
      </c>
      <c r="B32" s="1857"/>
      <c r="C32" s="1858">
        <f ca="1">ROUND((C4-C21-C22-C23-C25-C28-C31)/(1+C24+D25+D28),0)</f>
        <v>0</v>
      </c>
      <c r="D32" s="1857"/>
      <c r="E32" s="1857"/>
      <c r="F32" s="1857"/>
      <c r="G32" s="1859" t="s">
        <v>905</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zoomScale="80" zoomScaleNormal="80" zoomScaleSheetLayoutView="90" workbookViewId="0">
      <selection activeCell="F42" sqref="F4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906</v>
      </c>
      <c r="B1" s="670"/>
      <c r="C1" s="2392" t="s">
        <v>3163</v>
      </c>
      <c r="D1" s="1273"/>
      <c r="E1" s="2585" t="s">
        <v>2442</v>
      </c>
      <c r="F1" s="2586">
        <f ca="1">J53</f>
        <v>34.31</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816</v>
      </c>
      <c r="B2" s="1406">
        <f ca="1">C40+J29+L46</f>
        <v>32607</v>
      </c>
      <c r="C2" s="1299" t="s">
        <v>1100</v>
      </c>
      <c r="D2" s="1275"/>
      <c r="E2" s="2575"/>
      <c r="F2" s="1276"/>
      <c r="G2" s="2287"/>
      <c r="H2" s="1274"/>
      <c r="I2" s="1274"/>
      <c r="J2" s="1274"/>
      <c r="K2" s="1298"/>
      <c r="L2" s="1274"/>
      <c r="M2" s="1274"/>
    </row>
    <row r="3" spans="1:37" ht="18" customHeight="1" thickBot="1">
      <c r="A3" s="675" t="s">
        <v>817</v>
      </c>
      <c r="B3" s="1407">
        <f ca="1">IF(ISERROR(B2*10000/F43),0,ROUND(B2*10000/F43,0))</f>
        <v>25602</v>
      </c>
      <c r="C3" s="1299" t="s">
        <v>1101</v>
      </c>
      <c r="D3" s="1275"/>
      <c r="E3" s="2575"/>
      <c r="F3" s="1276"/>
      <c r="G3" s="2287"/>
      <c r="H3" s="676" t="s">
        <v>907</v>
      </c>
      <c r="I3" s="1274"/>
      <c r="J3" s="1274"/>
      <c r="K3" s="1298"/>
      <c r="L3" s="1274"/>
      <c r="M3" s="1274"/>
    </row>
    <row r="4" spans="1:37" ht="18" customHeight="1">
      <c r="A4" s="677" t="s">
        <v>908</v>
      </c>
      <c r="B4" s="678" t="s">
        <v>909</v>
      </c>
      <c r="C4" s="678" t="s">
        <v>910</v>
      </c>
      <c r="D4" s="678" t="s">
        <v>911</v>
      </c>
      <c r="E4" s="679" t="s">
        <v>912</v>
      </c>
      <c r="F4" s="680"/>
      <c r="G4" s="2288"/>
      <c r="H4" s="677" t="s">
        <v>908</v>
      </c>
      <c r="I4" s="678" t="s">
        <v>909</v>
      </c>
      <c r="J4" s="678" t="s">
        <v>910</v>
      </c>
      <c r="K4" s="678" t="s">
        <v>911</v>
      </c>
      <c r="L4" s="679" t="s">
        <v>912</v>
      </c>
      <c r="M4" s="680"/>
    </row>
    <row r="5" spans="1:37" ht="18" customHeight="1">
      <c r="A5" s="681">
        <v>1</v>
      </c>
      <c r="B5" s="682" t="s">
        <v>2531</v>
      </c>
      <c r="C5" s="2626">
        <f ca="1">C6+C10+C12</f>
        <v>1574</v>
      </c>
      <c r="D5" s="2636" t="s">
        <v>2533</v>
      </c>
      <c r="E5" s="2627"/>
      <c r="F5" s="2628"/>
      <c r="G5" s="2288"/>
      <c r="H5" s="681">
        <v>1</v>
      </c>
      <c r="I5" s="682" t="s">
        <v>2531</v>
      </c>
      <c r="J5" s="2626">
        <f ca="1">J6+J10+J12</f>
        <v>0</v>
      </c>
      <c r="K5" s="2629" t="s">
        <v>2533</v>
      </c>
      <c r="L5" s="2627"/>
      <c r="M5" s="2628"/>
    </row>
    <row r="6" spans="1:37" ht="18" customHeight="1">
      <c r="A6" s="2622" t="s">
        <v>2538</v>
      </c>
      <c r="B6" s="3625" t="s">
        <v>2532</v>
      </c>
      <c r="C6" s="2631">
        <f ca="1">ROUND(F6*F8*F7*(1-F9)/10000,0)</f>
        <v>1571</v>
      </c>
      <c r="D6" s="2625" t="s">
        <v>2534</v>
      </c>
      <c r="E6" s="684" t="s">
        <v>913</v>
      </c>
      <c r="F6" s="685">
        <f ca="1">INDIRECT("'数据-取费表'!u"&amp;$G$1)</f>
        <v>5.2</v>
      </c>
      <c r="G6" s="2288"/>
      <c r="H6" s="2622" t="s">
        <v>2541</v>
      </c>
      <c r="I6" s="3625" t="s">
        <v>2532</v>
      </c>
      <c r="J6" s="683">
        <f ca="1">ROUND(M6*M8*M7*(1-M9)/10000,0)</f>
        <v>0</v>
      </c>
      <c r="K6" s="2625" t="s">
        <v>2534</v>
      </c>
      <c r="L6" s="684" t="s">
        <v>913</v>
      </c>
      <c r="M6" s="685">
        <f ca="1">INDIRECT("'数据-取费表'!z"&amp;$G$1)</f>
        <v>0</v>
      </c>
    </row>
    <row r="7" spans="1:37" ht="18" customHeight="1">
      <c r="A7" s="2630"/>
      <c r="B7" s="3626"/>
      <c r="C7" s="2632"/>
      <c r="D7" s="2061"/>
      <c r="E7" s="2633" t="s">
        <v>914</v>
      </c>
      <c r="F7" s="685">
        <f ca="1">IF(INDIRECT("'数据-取费表'!ah"&amp;$G$1)="",INDIRECT("'数据-取费表'!k"&amp;$G$1),INDIRECT("'数据-取费表'!ah"&amp;$G$1))</f>
        <v>12736.12000000001</v>
      </c>
      <c r="G7" s="2288"/>
      <c r="H7" s="686"/>
      <c r="I7" s="3626"/>
      <c r="J7" s="688"/>
      <c r="K7" s="689"/>
      <c r="L7" s="684" t="s">
        <v>914</v>
      </c>
      <c r="M7" s="685">
        <f ca="1">F7</f>
        <v>12736.12000000001</v>
      </c>
    </row>
    <row r="8" spans="1:37" ht="18" customHeight="1">
      <c r="A8" s="686"/>
      <c r="B8" s="3626"/>
      <c r="C8" s="688"/>
      <c r="D8" s="689"/>
      <c r="E8" s="684" t="s">
        <v>915</v>
      </c>
      <c r="F8" s="685">
        <f ca="1">INDIRECT("'数据-取费表'!ai"&amp;$G$1)</f>
        <v>365</v>
      </c>
      <c r="G8" s="2288"/>
      <c r="H8" s="686"/>
      <c r="I8" s="3626"/>
      <c r="J8" s="688"/>
      <c r="K8" s="689"/>
      <c r="L8" s="684" t="s">
        <v>915</v>
      </c>
      <c r="M8" s="685">
        <f ca="1">INDIRECT("'数据-取费表'!ai"&amp;$G$1)</f>
        <v>365</v>
      </c>
    </row>
    <row r="9" spans="1:37" ht="18" customHeight="1">
      <c r="A9" s="686"/>
      <c r="B9" s="3627"/>
      <c r="C9" s="688"/>
      <c r="D9" s="689"/>
      <c r="E9" s="684" t="s">
        <v>916</v>
      </c>
      <c r="F9" s="694">
        <f ca="1">INDIRECT("'数据-取费表'!w"&amp;$G$1)</f>
        <v>0.35</v>
      </c>
      <c r="G9" s="2288"/>
      <c r="H9" s="686"/>
      <c r="I9" s="3627"/>
      <c r="J9" s="688"/>
      <c r="K9" s="689"/>
      <c r="L9" s="695" t="s">
        <v>916</v>
      </c>
      <c r="M9" s="696">
        <f ca="1">INDIRECT("'数据-取费表'!ab"&amp;$G$1)</f>
        <v>0</v>
      </c>
    </row>
    <row r="10" spans="1:37" ht="18" customHeight="1">
      <c r="A10" s="2622" t="s">
        <v>2539</v>
      </c>
      <c r="B10" s="2623" t="s">
        <v>2527</v>
      </c>
      <c r="C10" s="698">
        <f ca="1">ROUND(IF(F10="押一",F6*F8*F7/12*F11,IF(F10="押二",F6*F8*F7/12*2*F11,IF(F10="押三",F6*F8*F7/12*3*F11,C11*F11)))/10000,0)</f>
        <v>3</v>
      </c>
      <c r="D10" s="2634" t="s">
        <v>2535</v>
      </c>
      <c r="E10" s="2097" t="s">
        <v>2529</v>
      </c>
      <c r="F10" s="2828" t="s">
        <v>3184</v>
      </c>
      <c r="G10" s="2288"/>
      <c r="H10" s="2622" t="s">
        <v>2542</v>
      </c>
      <c r="I10" s="2623" t="s">
        <v>2527</v>
      </c>
      <c r="J10" s="683">
        <f ca="1">ROUND(IF(M10="押一",M6*M8*M7/12*M11,IF(M10="押二",M6*M8*M7/12*2*M11,IF(M10="押三",M6*M8*M7/12*3*M11,J11*M11)))/10000,0)</f>
        <v>0</v>
      </c>
      <c r="K10" s="2634" t="s">
        <v>2535</v>
      </c>
      <c r="L10" s="2097" t="s">
        <v>2529</v>
      </c>
      <c r="M10" s="2729" t="s">
        <v>2621</v>
      </c>
    </row>
    <row r="11" spans="1:37" ht="18" customHeight="1">
      <c r="A11" s="690"/>
      <c r="B11" s="2624" t="s">
        <v>2694</v>
      </c>
      <c r="C11" s="2415"/>
      <c r="D11" s="2867"/>
      <c r="E11" s="2097" t="s">
        <v>2530</v>
      </c>
      <c r="F11" s="696">
        <f ca="1">'数据-取费表'!B39</f>
        <v>1.4999999999999999E-2</v>
      </c>
      <c r="G11" s="2288"/>
      <c r="H11" s="2635"/>
      <c r="I11" s="2624" t="s">
        <v>2694</v>
      </c>
      <c r="J11" s="2415"/>
      <c r="K11" s="1280"/>
      <c r="L11" s="2097" t="s">
        <v>2530</v>
      </c>
      <c r="M11" s="2096">
        <f ca="1">'数据-取费表'!B39</f>
        <v>1.4999999999999999E-2</v>
      </c>
    </row>
    <row r="12" spans="1:37" ht="18" customHeight="1" thickBot="1">
      <c r="A12" s="2670" t="s">
        <v>2540</v>
      </c>
      <c r="B12" s="2671" t="s">
        <v>2528</v>
      </c>
      <c r="C12" s="2672"/>
      <c r="D12" s="2673"/>
      <c r="E12" s="2674"/>
      <c r="F12" s="2675"/>
      <c r="G12" s="2288"/>
      <c r="H12" s="2670" t="s">
        <v>2543</v>
      </c>
      <c r="I12" s="2671" t="s">
        <v>2528</v>
      </c>
      <c r="J12" s="2672"/>
      <c r="K12" s="2689"/>
      <c r="L12" s="2674"/>
      <c r="M12" s="2690"/>
    </row>
    <row r="13" spans="1:37" ht="18" customHeight="1" thickTop="1">
      <c r="A13" s="2666">
        <v>2</v>
      </c>
      <c r="B13" s="2667" t="s">
        <v>917</v>
      </c>
      <c r="C13" s="692">
        <f ca="1">ROUND(C29*F13,0)</f>
        <v>2413</v>
      </c>
      <c r="D13" s="2668" t="s">
        <v>918</v>
      </c>
      <c r="E13" s="2668" t="s">
        <v>919</v>
      </c>
      <c r="F13" s="2669">
        <f ca="1">INDIRECT("'数据-取费表'!y"&amp;$G$1)</f>
        <v>0.6</v>
      </c>
      <c r="G13" s="2288"/>
      <c r="H13" s="2666">
        <v>2</v>
      </c>
      <c r="I13" s="2667" t="s">
        <v>917</v>
      </c>
      <c r="J13" s="2621">
        <f ca="1">ROUND(J14*J15,0)</f>
        <v>0</v>
      </c>
      <c r="K13" s="2676" t="s">
        <v>918</v>
      </c>
      <c r="L13" s="2687"/>
      <c r="M13" s="2688"/>
    </row>
    <row r="14" spans="1:37" ht="18" customHeight="1">
      <c r="A14" s="2438" t="s">
        <v>2369</v>
      </c>
      <c r="B14" s="684" t="s">
        <v>358</v>
      </c>
      <c r="C14" s="702">
        <f ca="1">INDIRECT("'数据-取费表'!m"&amp;$G$1)+INDIRECT("'数据-取费表'!t"&amp;$G$1)</f>
        <v>2547</v>
      </c>
      <c r="D14" s="2215" t="s">
        <v>920</v>
      </c>
      <c r="E14" s="2214"/>
      <c r="F14" s="703"/>
      <c r="G14" s="2288"/>
      <c r="H14" s="2438" t="s">
        <v>2372</v>
      </c>
      <c r="I14" s="684" t="s">
        <v>921</v>
      </c>
      <c r="J14" s="313">
        <f ca="1">C29</f>
        <v>4022</v>
      </c>
      <c r="K14" s="303"/>
      <c r="L14" s="700"/>
      <c r="M14" s="701"/>
    </row>
    <row r="15" spans="1:37" s="706" customFormat="1" ht="18" customHeight="1" thickBot="1">
      <c r="A15" s="2438" t="s">
        <v>2604</v>
      </c>
      <c r="B15" s="684" t="s">
        <v>359</v>
      </c>
      <c r="C15" s="313">
        <f ca="1">ROUND(C14*F15,0)</f>
        <v>76</v>
      </c>
      <c r="D15" s="704" t="s">
        <v>922</v>
      </c>
      <c r="E15" s="704" t="s">
        <v>923</v>
      </c>
      <c r="F15" s="705">
        <f>'数据-取费表'!B33</f>
        <v>0.03</v>
      </c>
      <c r="G15" s="2289"/>
      <c r="H15" s="2678" t="s">
        <v>2379</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2605</v>
      </c>
      <c r="B16" s="684" t="s">
        <v>360</v>
      </c>
      <c r="C16" s="313">
        <f ca="1">ROUND(INDIRECT("'数据-取费表'!m"&amp;$G$1)*F16,0)</f>
        <v>0</v>
      </c>
      <c r="D16" s="684" t="s">
        <v>922</v>
      </c>
      <c r="E16" s="684" t="s">
        <v>923</v>
      </c>
      <c r="F16" s="707">
        <f ca="1">IF(INDIRECT("'数据-取费表'!c"&amp;$G$1)="住宅",'数据-取费表'!B34,0)</f>
        <v>0</v>
      </c>
      <c r="G16" s="2288"/>
      <c r="H16" s="2666" t="s">
        <v>2337</v>
      </c>
      <c r="I16" s="2667" t="s">
        <v>924</v>
      </c>
      <c r="J16" s="692">
        <f ca="1">ROUND(J17+J22+J23+J24,0)</f>
        <v>106</v>
      </c>
      <c r="K16" s="2676" t="s">
        <v>925</v>
      </c>
      <c r="L16" s="2677"/>
      <c r="M16" s="2628"/>
    </row>
    <row r="17" spans="1:37" s="706" customFormat="1" ht="18" customHeight="1">
      <c r="A17" s="2438" t="s">
        <v>2606</v>
      </c>
      <c r="B17" s="684" t="s">
        <v>361</v>
      </c>
      <c r="C17" s="313">
        <f ca="1">ROUND(F17*(F43+INDIRECT("'数据-取费表'!S"&amp;$G$1))/10000,0)</f>
        <v>255</v>
      </c>
      <c r="D17" s="684" t="s">
        <v>926</v>
      </c>
      <c r="E17" s="684" t="s">
        <v>927</v>
      </c>
      <c r="F17" s="315">
        <f>'数据-取费表'!B35</f>
        <v>200</v>
      </c>
      <c r="G17" s="2289"/>
      <c r="H17" s="2438" t="s">
        <v>2372</v>
      </c>
      <c r="I17" s="684" t="s">
        <v>362</v>
      </c>
      <c r="J17" s="313">
        <f ca="1">ROUND(IF(项目基本情况!B11="自然人",J5*M17,J18+J19+J20),1)</f>
        <v>46.1</v>
      </c>
      <c r="K17" s="2215" t="s">
        <v>928</v>
      </c>
      <c r="L17" s="2213" t="s">
        <v>929</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2607</v>
      </c>
      <c r="B18" s="684" t="s">
        <v>363</v>
      </c>
      <c r="C18" s="313">
        <f ca="1">ROUND(C14*F18,0)</f>
        <v>38</v>
      </c>
      <c r="D18" s="684" t="s">
        <v>922</v>
      </c>
      <c r="E18" s="684" t="s">
        <v>923</v>
      </c>
      <c r="F18" s="707">
        <f>'数据-取费表'!B36</f>
        <v>1.4999999999999999E-2</v>
      </c>
      <c r="G18" s="2289"/>
      <c r="H18" s="2438" t="s">
        <v>2369</v>
      </c>
      <c r="I18" s="684" t="s">
        <v>930</v>
      </c>
      <c r="J18" s="313">
        <f ca="1">ROUND(J5*M18/(1+'数据-取费表'!C42),2)</f>
        <v>0</v>
      </c>
      <c r="K18" s="2213" t="s">
        <v>931</v>
      </c>
      <c r="L18" s="684" t="s">
        <v>923</v>
      </c>
      <c r="M18" s="707">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2538</v>
      </c>
      <c r="B19" s="684" t="s">
        <v>365</v>
      </c>
      <c r="C19" s="313">
        <f ca="1">SUM(C14:C18)</f>
        <v>2916</v>
      </c>
      <c r="D19" s="471" t="s">
        <v>932</v>
      </c>
      <c r="E19" s="2223"/>
      <c r="F19" s="315"/>
      <c r="G19" s="2288"/>
      <c r="H19" s="2438" t="s">
        <v>2604</v>
      </c>
      <c r="I19" s="684" t="s">
        <v>933</v>
      </c>
      <c r="J19" s="313">
        <f ca="1">IF(K19="按租金收入计税",ROUND(J5*M19,2),ROUND(C29*M19*0.7,2))</f>
        <v>33.78</v>
      </c>
      <c r="K19" s="1300" t="s">
        <v>2412</v>
      </c>
      <c r="L19" s="684" t="s">
        <v>923</v>
      </c>
      <c r="M19" s="707">
        <f>IF(K19="按租金收入计税",'数据-取费表'!B51,'数据-取费表'!B50)</f>
        <v>1.2E-2</v>
      </c>
    </row>
    <row r="20" spans="1:37" s="706" customFormat="1" ht="18" customHeight="1">
      <c r="A20" s="2438" t="s">
        <v>2608</v>
      </c>
      <c r="B20" s="684" t="s">
        <v>366</v>
      </c>
      <c r="C20" s="313">
        <f ca="1">ROUND(C19*F20,0)</f>
        <v>58</v>
      </c>
      <c r="D20" s="709" t="s">
        <v>934</v>
      </c>
      <c r="E20" s="684" t="s">
        <v>923</v>
      </c>
      <c r="F20" s="707">
        <f>'数据-取费表'!B37</f>
        <v>0.02</v>
      </c>
      <c r="G20" s="2289"/>
      <c r="H20" s="2438" t="s">
        <v>2605</v>
      </c>
      <c r="I20" s="496" t="s">
        <v>935</v>
      </c>
      <c r="J20" s="314">
        <f ca="1">ROUND(M20*M21/10000,2)</f>
        <v>12.35</v>
      </c>
      <c r="K20" s="710" t="s">
        <v>936</v>
      </c>
      <c r="L20" s="684" t="s">
        <v>937</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2609</v>
      </c>
      <c r="B21" s="684" t="s">
        <v>938</v>
      </c>
      <c r="C21" s="313" t="s">
        <v>71</v>
      </c>
      <c r="D21" s="709" t="s">
        <v>939</v>
      </c>
      <c r="E21" s="684" t="s">
        <v>940</v>
      </c>
      <c r="F21" s="707">
        <f>'数据-取费表'!B38</f>
        <v>0.02</v>
      </c>
      <c r="G21" s="2289"/>
      <c r="H21" s="712"/>
      <c r="I21" s="693"/>
      <c r="J21" s="318"/>
      <c r="K21" s="713"/>
      <c r="L21" s="684" t="s">
        <v>941</v>
      </c>
      <c r="M21" s="685">
        <f ca="1">INDIRECT("'数据-取费表'!r"&amp;$G$1)</f>
        <v>82323.28</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2610</v>
      </c>
      <c r="B22" s="684" t="s">
        <v>942</v>
      </c>
      <c r="C22" s="313"/>
      <c r="D22" s="2701" t="str">
        <f>IF(F23&lt;=1,"单利计息。","复利计息。")&amp;"建造成本、管理费用、销售费用产生的利息。"</f>
        <v>复利计息。建造成本、管理费用、销售费用产生的利息。</v>
      </c>
      <c r="E22" s="2223"/>
      <c r="F22" s="315"/>
      <c r="G22" s="2288"/>
      <c r="H22" s="2438" t="s">
        <v>2379</v>
      </c>
      <c r="I22" s="684" t="s">
        <v>943</v>
      </c>
      <c r="J22" s="313">
        <f ca="1">ROUND(J14*M22,1)</f>
        <v>60.3</v>
      </c>
      <c r="K22" s="2213" t="s">
        <v>944</v>
      </c>
      <c r="L22" s="684" t="s">
        <v>923</v>
      </c>
      <c r="M22" s="714">
        <f ca="1">INDIRECT("'数据-取费表'!Ak"&amp;$G$1)</f>
        <v>1.4999999999999999E-2</v>
      </c>
    </row>
    <row r="23" spans="1:37" s="706" customFormat="1" ht="18" customHeight="1">
      <c r="A23" s="2438" t="s">
        <v>2369</v>
      </c>
      <c r="B23" s="684" t="s">
        <v>2524</v>
      </c>
      <c r="C23" s="313">
        <f ca="1">IF('数据-取费表'!B22&lt;=1,ROUND(C19*F24*F23/2,0)+ROUND(C20*F24*F23/2,0),ROUND(C19*(POWER((1+F24),F23/2)-1),0)+ROUND(C20*(POWER((1+F24),F23/2)-1),0))</f>
        <v>142</v>
      </c>
      <c r="D23" s="2705" t="str">
        <f>IF(F23&lt;=1,"(建造成本+管理费用)×利率×(建设周期÷2)","(建造成本+管理费用)×((1+利率)^(建设周期÷2)-1)")</f>
        <v>(建造成本+管理费用)×((1+利率)^(建设周期÷2)-1)</v>
      </c>
      <c r="E23" s="684" t="s">
        <v>945</v>
      </c>
      <c r="F23" s="711">
        <f>'数据-取费表'!B20</f>
        <v>2</v>
      </c>
      <c r="G23" s="2289"/>
      <c r="H23" s="2438" t="s">
        <v>2609</v>
      </c>
      <c r="I23" s="684" t="s">
        <v>367</v>
      </c>
      <c r="J23" s="313">
        <f ca="1">ROUND(J13*M23,1)</f>
        <v>0</v>
      </c>
      <c r="K23" s="2213" t="s">
        <v>946</v>
      </c>
      <c r="L23" s="684" t="s">
        <v>923</v>
      </c>
      <c r="M23" s="716">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2375</v>
      </c>
      <c r="B24" s="684" t="s">
        <v>947</v>
      </c>
      <c r="C24" s="313">
        <f ca="1">ROUND(IF('数据-取费表'!B22&lt;=1,F21*F24*F23/2,F21*(POWER((1+F24),F23/2)-1)),4)</f>
        <v>1E-3</v>
      </c>
      <c r="D24" s="2705" t="str">
        <f>IF(F23&lt;=1,"销售费用×利率×(建设周期÷2)","销售费用×((1+利率)^(建设周期÷2)-1)")</f>
        <v>销售费用×((1+利率)^(建设周期÷2)-1)</v>
      </c>
      <c r="E24" s="684" t="s">
        <v>948</v>
      </c>
      <c r="F24" s="717">
        <f ca="1">'数据-取费表'!B40</f>
        <v>4.7500000000000001E-2</v>
      </c>
      <c r="G24" s="2289"/>
      <c r="H24" s="2678" t="s">
        <v>2610</v>
      </c>
      <c r="I24" s="2679" t="s">
        <v>366</v>
      </c>
      <c r="J24" s="2680">
        <f ca="1">ROUND(J5*M24,1)</f>
        <v>0</v>
      </c>
      <c r="K24" s="2681" t="s">
        <v>949</v>
      </c>
      <c r="L24" s="2679" t="s">
        <v>923</v>
      </c>
      <c r="M24" s="2675">
        <f ca="1">INDIRECT("'数据-取费表'!Am"&amp;$G$1)</f>
        <v>0.02</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2376</v>
      </c>
      <c r="B25" s="684" t="s">
        <v>371</v>
      </c>
      <c r="C25" s="313"/>
      <c r="D25" s="471" t="s">
        <v>950</v>
      </c>
      <c r="E25" s="2223"/>
      <c r="F25" s="315"/>
      <c r="G25" s="2288"/>
      <c r="H25" s="2666" t="s">
        <v>2352</v>
      </c>
      <c r="I25" s="2683" t="s">
        <v>951</v>
      </c>
      <c r="J25" s="692">
        <f ca="1">J5-J16</f>
        <v>-106</v>
      </c>
      <c r="K25" s="2684" t="s">
        <v>952</v>
      </c>
      <c r="L25" s="2685"/>
      <c r="M25" s="2686"/>
    </row>
    <row r="26" spans="1:37" ht="18" customHeight="1">
      <c r="A26" s="2438" t="s">
        <v>2369</v>
      </c>
      <c r="B26" s="684" t="s">
        <v>2525</v>
      </c>
      <c r="C26" s="313">
        <f ca="1">ROUND((C19+C20)*F26,0)</f>
        <v>595</v>
      </c>
      <c r="D26" s="709" t="s">
        <v>953</v>
      </c>
      <c r="E26" s="695" t="s">
        <v>954</v>
      </c>
      <c r="F26" s="694">
        <f ca="1">INDIRECT("'数据-取费表'!q"&amp;$G$1)</f>
        <v>0.2</v>
      </c>
      <c r="G26" s="2288"/>
      <c r="H26" s="681" t="s">
        <v>2355</v>
      </c>
      <c r="I26" s="682" t="s">
        <v>955</v>
      </c>
      <c r="J26" s="683">
        <f ca="1">IF(J5&lt;&gt;0,ROUND(J25*(1-((1+M28)/(1+M26))^M27)/(M26-M28),0),0)</f>
        <v>0</v>
      </c>
      <c r="K26" s="710" t="s">
        <v>956</v>
      </c>
      <c r="L26" s="684" t="s">
        <v>962</v>
      </c>
      <c r="M26" s="694">
        <f ca="1">INDIRECT("'数据-取费表'!I"&amp;$G$1)</f>
        <v>0.05</v>
      </c>
    </row>
    <row r="27" spans="1:37" ht="18" customHeight="1">
      <c r="A27" s="2438" t="s">
        <v>2375</v>
      </c>
      <c r="B27" s="684" t="s">
        <v>374</v>
      </c>
      <c r="C27" s="313">
        <f ca="1">ROUND(F21*F26,4)</f>
        <v>4.0000000000000001E-3</v>
      </c>
      <c r="D27" s="709" t="s">
        <v>957</v>
      </c>
      <c r="E27" s="704"/>
      <c r="F27" s="705"/>
      <c r="G27" s="2288"/>
      <c r="H27" s="686"/>
      <c r="I27" s="687"/>
      <c r="J27" s="688"/>
      <c r="K27" s="718" t="s">
        <v>958</v>
      </c>
      <c r="L27" s="684" t="s">
        <v>963</v>
      </c>
      <c r="M27" s="719">
        <f ca="1">INDIRECT("'数据-取费表'!ag"&amp;$G$1)</f>
        <v>0</v>
      </c>
    </row>
    <row r="28" spans="1:37" s="706" customFormat="1" ht="18" customHeight="1">
      <c r="A28" s="2438" t="s">
        <v>2377</v>
      </c>
      <c r="B28" s="684" t="s">
        <v>375</v>
      </c>
      <c r="C28" s="313">
        <f>ROUND(F28/(1+'数据-取费表'!C42),4)</f>
        <v>5.2400000000000002E-2</v>
      </c>
      <c r="D28" s="709" t="s">
        <v>964</v>
      </c>
      <c r="E28" s="684" t="s">
        <v>923</v>
      </c>
      <c r="F28" s="707">
        <f>'数据-取费表'!B41</f>
        <v>5.5000000000000007E-2</v>
      </c>
      <c r="G28" s="2289"/>
      <c r="H28" s="690"/>
      <c r="I28" s="691"/>
      <c r="J28" s="692"/>
      <c r="K28" s="713"/>
      <c r="L28" s="684" t="s">
        <v>965</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2378</v>
      </c>
      <c r="B29" s="2679" t="s">
        <v>966</v>
      </c>
      <c r="C29" s="2680">
        <f ca="1">ROUND((C19+C20+C23+C26)/(1-F21-C24-C27-C28),0)</f>
        <v>4022</v>
      </c>
      <c r="D29" s="2681"/>
      <c r="E29" s="2679"/>
      <c r="F29" s="2682"/>
      <c r="G29" s="2289"/>
      <c r="H29" s="720" t="s">
        <v>2362</v>
      </c>
      <c r="I29" s="721" t="s">
        <v>959</v>
      </c>
      <c r="J29" s="722">
        <f ca="1">ROUND(J26/(1+F40)^F41,0)</f>
        <v>0</v>
      </c>
      <c r="K29" s="723" t="s">
        <v>960</v>
      </c>
      <c r="L29" s="724"/>
      <c r="M29" s="725">
        <f ca="1">INDIRECT("'数据-取费表'!k"&amp;$G$1)</f>
        <v>12736.12000000001</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2337</v>
      </c>
      <c r="B30" s="2667" t="s">
        <v>924</v>
      </c>
      <c r="C30" s="692">
        <f ca="1">ROUND(C31+C36+C37+C38,0)</f>
        <v>224</v>
      </c>
      <c r="D30" s="2676" t="s">
        <v>925</v>
      </c>
      <c r="E30" s="2677"/>
      <c r="F30" s="2628"/>
      <c r="G30" s="2288"/>
      <c r="H30" s="1277"/>
      <c r="I30" s="1278"/>
      <c r="J30" s="1279"/>
      <c r="K30" s="1280"/>
      <c r="L30" s="1281"/>
      <c r="M30" s="1282"/>
    </row>
    <row r="31" spans="1:37" ht="18" customHeight="1">
      <c r="A31" s="2438" t="s">
        <v>2538</v>
      </c>
      <c r="B31" s="684" t="s">
        <v>362</v>
      </c>
      <c r="C31" s="313">
        <f ca="1">ROUND(IF(项目基本情况!B11="自然人",C5*F31,C32+C33+C34),1)</f>
        <v>128.6</v>
      </c>
      <c r="D31" s="2215" t="s">
        <v>928</v>
      </c>
      <c r="E31" s="2213" t="s">
        <v>967</v>
      </c>
      <c r="F31" s="708" t="str">
        <f ca="1">IF(项目基本情况!B11="企业","",IF(INDIRECT("'数据-取费表'!c"&amp;$G$1)="住宅",5%,IF(F6*F7*F8/12/(1+'数据-取费表'!C42)&gt;20000,12%,7%)))</f>
        <v/>
      </c>
      <c r="G31" s="2288"/>
      <c r="H31" s="1277"/>
      <c r="I31" s="1278"/>
      <c r="J31" s="1279"/>
      <c r="K31" s="1280"/>
      <c r="L31" s="1281"/>
      <c r="M31" s="1282"/>
    </row>
    <row r="32" spans="1:37" ht="18" customHeight="1">
      <c r="A32" s="2438" t="s">
        <v>2603</v>
      </c>
      <c r="B32" s="684" t="s">
        <v>930</v>
      </c>
      <c r="C32" s="313">
        <f ca="1">IF(项目基本情况!B11="自然人","——",ROUND(C5*F32/(1+'数据-取费表'!C42),2))</f>
        <v>82.45</v>
      </c>
      <c r="D32" s="2213" t="s">
        <v>931</v>
      </c>
      <c r="E32" s="684" t="s">
        <v>923</v>
      </c>
      <c r="F32" s="717">
        <f>'数据-取费表'!B41</f>
        <v>5.5000000000000007E-2</v>
      </c>
      <c r="G32" s="2288"/>
      <c r="H32" s="1283"/>
      <c r="I32" s="1284"/>
      <c r="J32" s="1285"/>
      <c r="K32" s="1286"/>
      <c r="L32" s="1287"/>
      <c r="M32" s="1288"/>
    </row>
    <row r="33" spans="1:18" ht="18" customHeight="1">
      <c r="A33" s="2438" t="s">
        <v>2604</v>
      </c>
      <c r="B33" s="684" t="s">
        <v>933</v>
      </c>
      <c r="C33" s="313">
        <f ca="1">IF(项目基本情况!B11="自然人","——",IF(D33="按租金收入计税",ROUND(C5*F33,2),IF(D33="按房产原值计税",ROUND(C29*F33*0.7,2),INDIRECT("'数据-取费表'!Aj"&amp;$G$1))))</f>
        <v>33.78</v>
      </c>
      <c r="D33" s="1300" t="s">
        <v>2412</v>
      </c>
      <c r="E33" s="684" t="s">
        <v>364</v>
      </c>
      <c r="F33" s="707">
        <f>IF(D33="按票据","——",IF(D33="按租金收入计税",'数据-取费表'!B51,'数据-取费表'!B50))</f>
        <v>1.2E-2</v>
      </c>
      <c r="G33" s="2288"/>
      <c r="H33" s="1289"/>
      <c r="I33" s="2881"/>
      <c r="J33" s="2882"/>
      <c r="K33" s="1290"/>
      <c r="L33" s="1289"/>
      <c r="M33" s="1289"/>
    </row>
    <row r="34" spans="1:18" ht="18" customHeight="1">
      <c r="A34" s="2622" t="s">
        <v>2605</v>
      </c>
      <c r="B34" s="496" t="s">
        <v>968</v>
      </c>
      <c r="C34" s="314">
        <f ca="1">IF(项目基本情况!B11="自然人","——",ROUND(F34*F35/10000,2))</f>
        <v>12.35</v>
      </c>
      <c r="D34" s="710" t="s">
        <v>969</v>
      </c>
      <c r="E34" s="684" t="s">
        <v>970</v>
      </c>
      <c r="F34" s="711">
        <f>'数据-取费表'!B52</f>
        <v>1.5</v>
      </c>
      <c r="G34" s="2288"/>
      <c r="H34" s="1277"/>
      <c r="I34" s="2881"/>
      <c r="J34" s="2882"/>
      <c r="K34" s="1291"/>
      <c r="L34" s="1292"/>
      <c r="M34" s="1292"/>
    </row>
    <row r="35" spans="1:18" ht="18" customHeight="1">
      <c r="A35" s="2696"/>
      <c r="B35" s="2694"/>
      <c r="C35" s="318"/>
      <c r="D35" s="713"/>
      <c r="E35" s="684" t="s">
        <v>941</v>
      </c>
      <c r="F35" s="685">
        <f ca="1">INDIRECT("'数据-取费表'!r"&amp;$G$1)</f>
        <v>82323.28</v>
      </c>
      <c r="G35" s="2288"/>
      <c r="H35" s="1277"/>
      <c r="I35" s="2881"/>
      <c r="J35" s="2882"/>
      <c r="K35" s="1290"/>
      <c r="L35" s="1289"/>
      <c r="M35" s="1289"/>
    </row>
    <row r="36" spans="1:18" ht="18" customHeight="1">
      <c r="A36" s="2695" t="s">
        <v>2379</v>
      </c>
      <c r="B36" s="684" t="s">
        <v>943</v>
      </c>
      <c r="C36" s="313">
        <f ca="1">ROUND(C29*F36,1)</f>
        <v>60.3</v>
      </c>
      <c r="D36" s="2213" t="s">
        <v>973</v>
      </c>
      <c r="E36" s="684" t="s">
        <v>974</v>
      </c>
      <c r="F36" s="714">
        <f ca="1">INDIRECT("'数据-取费表'!Ak"&amp;$G$1)</f>
        <v>1.4999999999999999E-2</v>
      </c>
      <c r="G36" s="2288"/>
      <c r="H36" s="1289"/>
      <c r="I36" s="2881"/>
      <c r="J36" s="2882"/>
      <c r="K36" s="1293"/>
      <c r="L36" s="1289"/>
      <c r="M36" s="1289"/>
    </row>
    <row r="37" spans="1:18" ht="18" customHeight="1">
      <c r="A37" s="2438" t="s">
        <v>2609</v>
      </c>
      <c r="B37" s="684" t="s">
        <v>367</v>
      </c>
      <c r="C37" s="313">
        <f ca="1">ROUND(C13*F37,1)</f>
        <v>3.6</v>
      </c>
      <c r="D37" s="2213" t="s">
        <v>368</v>
      </c>
      <c r="E37" s="684" t="s">
        <v>369</v>
      </c>
      <c r="F37" s="716">
        <f ca="1">INDIRECT("'数据-取费表'!Al"&amp;$G$1)</f>
        <v>1.5E-3</v>
      </c>
      <c r="G37" s="2288"/>
      <c r="H37" s="1289"/>
      <c r="I37" s="2881"/>
      <c r="J37" s="2882"/>
      <c r="K37" s="1293"/>
      <c r="L37" s="1289"/>
      <c r="M37" s="1289"/>
    </row>
    <row r="38" spans="1:18" ht="18" customHeight="1" thickBot="1">
      <c r="A38" s="2678" t="s">
        <v>2610</v>
      </c>
      <c r="B38" s="2679" t="s">
        <v>366</v>
      </c>
      <c r="C38" s="2680">
        <f ca="1">ROUND(C5*F38,1)</f>
        <v>31.5</v>
      </c>
      <c r="D38" s="2681" t="s">
        <v>370</v>
      </c>
      <c r="E38" s="2679" t="s">
        <v>369</v>
      </c>
      <c r="F38" s="2675">
        <f ca="1">INDIRECT("'数据-取费表'!Am"&amp;$G$1)</f>
        <v>0.02</v>
      </c>
      <c r="G38" s="2288"/>
      <c r="H38" s="1289"/>
      <c r="I38" s="2881"/>
      <c r="J38" s="2882"/>
      <c r="K38" s="1294"/>
      <c r="L38" s="1289"/>
      <c r="M38" s="1289"/>
    </row>
    <row r="39" spans="1:18" ht="24.6" customHeight="1" thickTop="1">
      <c r="A39" s="2666" t="s">
        <v>2352</v>
      </c>
      <c r="B39" s="2683" t="s">
        <v>376</v>
      </c>
      <c r="C39" s="692">
        <f ca="1">C5-C30</f>
        <v>1350</v>
      </c>
      <c r="D39" s="2684" t="s">
        <v>377</v>
      </c>
      <c r="E39" s="2685"/>
      <c r="F39" s="2686"/>
      <c r="G39" s="2288"/>
      <c r="H39" s="1289"/>
      <c r="I39" s="2881"/>
      <c r="J39" s="2882"/>
      <c r="K39" s="1294"/>
      <c r="L39" s="1289"/>
      <c r="M39" s="1289"/>
    </row>
    <row r="40" spans="1:18" ht="18" customHeight="1">
      <c r="A40" s="681" t="s">
        <v>2355</v>
      </c>
      <c r="B40" s="682" t="s">
        <v>378</v>
      </c>
      <c r="C40" s="683">
        <f ca="1">ROUND(C39*(1-((1+F42)/(1+F40))^F41)/(F40-F42),0)</f>
        <v>32607</v>
      </c>
      <c r="D40" s="710" t="s">
        <v>372</v>
      </c>
      <c r="E40" s="684" t="s">
        <v>373</v>
      </c>
      <c r="F40" s="694">
        <f ca="1">INDIRECT("'数据-取费表'!I"&amp;$G$1)</f>
        <v>0.05</v>
      </c>
      <c r="G40" s="2288"/>
      <c r="H40" s="1295"/>
      <c r="I40" s="2881"/>
      <c r="J40" s="2882"/>
      <c r="K40" s="1294"/>
      <c r="L40" s="1295"/>
      <c r="M40" s="1295"/>
    </row>
    <row r="41" spans="1:18" ht="18" customHeight="1">
      <c r="A41" s="686"/>
      <c r="B41" s="687"/>
      <c r="C41" s="688"/>
      <c r="D41" s="718" t="s">
        <v>379</v>
      </c>
      <c r="E41" s="684" t="s">
        <v>380</v>
      </c>
      <c r="F41" s="719">
        <f ca="1">IF(INDIRECT("'数据-取费表'!af"&amp;$G$1)=0,INDIRECT("'数据-取费表'!ae"&amp;$G$1),INDIRECT("'数据-取费表'!af"&amp;$G$1))</f>
        <v>34.31</v>
      </c>
      <c r="G41" s="2288"/>
      <c r="H41" s="1191"/>
      <c r="I41" s="2881"/>
      <c r="J41" s="2882"/>
      <c r="K41" s="1293"/>
      <c r="L41" s="1191"/>
      <c r="M41" s="1191"/>
    </row>
    <row r="42" spans="1:18" ht="18" customHeight="1">
      <c r="A42" s="690"/>
      <c r="B42" s="691"/>
      <c r="C42" s="692"/>
      <c r="D42" s="713"/>
      <c r="E42" s="684" t="s">
        <v>381</v>
      </c>
      <c r="F42" s="694">
        <f ca="1">INDIRECT("'数据-取费表'!v"&amp;$G$1)</f>
        <v>0.03</v>
      </c>
      <c r="G42" s="2288"/>
      <c r="H42" s="1191"/>
      <c r="I42" s="2881"/>
      <c r="J42" s="2882"/>
      <c r="K42" s="1293"/>
      <c r="L42" s="1191"/>
      <c r="M42" s="1191"/>
    </row>
    <row r="43" spans="1:18" ht="18" customHeight="1" thickBot="1">
      <c r="A43" s="720" t="s">
        <v>2362</v>
      </c>
      <c r="B43" s="721" t="s">
        <v>382</v>
      </c>
      <c r="C43" s="722">
        <f ca="1">ROUND(C40*10000/F43,0)</f>
        <v>25602</v>
      </c>
      <c r="D43" s="723" t="s">
        <v>383</v>
      </c>
      <c r="E43" s="724" t="s">
        <v>384</v>
      </c>
      <c r="F43" s="725">
        <f ca="1">INDIRECT("'数据-取费表'!k"&amp;$G$1)</f>
        <v>12736.12000000001</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2485</v>
      </c>
      <c r="P45" s="1295"/>
      <c r="Q45" s="1295"/>
      <c r="R45" s="1295"/>
    </row>
    <row r="46" spans="1:18" s="1454" customFormat="1" ht="21" thickBot="1">
      <c r="A46" s="2396" t="s">
        <v>2324</v>
      </c>
      <c r="B46" s="2397"/>
      <c r="C46" s="2725">
        <f ca="1">C68-C40</f>
        <v>-34395</v>
      </c>
      <c r="D46" s="2726" t="str">
        <f>C2</f>
        <v>万元</v>
      </c>
      <c r="E46" s="1432"/>
      <c r="F46" s="1432"/>
      <c r="I46" s="2578" t="s">
        <v>2420</v>
      </c>
      <c r="J46" s="2579"/>
      <c r="K46" s="2580"/>
      <c r="L46" s="2582" t="str">
        <f ca="1">IF(M47="住宅",0,IF(L48&gt;J51,L60,J60))</f>
        <v>0</v>
      </c>
      <c r="O46" s="2594" t="s">
        <v>2463</v>
      </c>
      <c r="P46" s="2595" t="s">
        <v>2464</v>
      </c>
      <c r="Q46" s="2596" t="s">
        <v>2462</v>
      </c>
      <c r="R46" s="2596" t="s">
        <v>2465</v>
      </c>
    </row>
    <row r="47" spans="1:18" s="1454" customFormat="1" ht="15.75" thickBot="1">
      <c r="A47" s="2398" t="s">
        <v>2326</v>
      </c>
      <c r="B47" s="2434" t="s">
        <v>2327</v>
      </c>
      <c r="C47" s="2730" t="s">
        <v>2328</v>
      </c>
      <c r="D47" s="2434" t="s">
        <v>2329</v>
      </c>
      <c r="E47" s="2537" t="s">
        <v>2330</v>
      </c>
      <c r="F47" s="2538"/>
      <c r="G47" s="1456"/>
      <c r="I47" s="2553" t="s">
        <v>2413</v>
      </c>
      <c r="J47" s="2554" t="s">
        <v>3186</v>
      </c>
      <c r="K47" s="2563" t="s">
        <v>2436</v>
      </c>
      <c r="L47" s="2564">
        <f ca="1">INDIRECT("'数据-取费表'!d"&amp;$G$1)</f>
        <v>50</v>
      </c>
      <c r="M47" s="2584" t="str">
        <f>IF(ISNUMBER(FIND("住宅",C1)),"住宅","非住宅")</f>
        <v>非住宅</v>
      </c>
      <c r="O47" s="2587" t="s">
        <v>2448</v>
      </c>
      <c r="P47" s="2597" t="s">
        <v>2466</v>
      </c>
      <c r="Q47" s="2588">
        <f ca="1">C40+J29</f>
        <v>32607</v>
      </c>
      <c r="R47" s="2588" t="s">
        <v>2467</v>
      </c>
    </row>
    <row r="48" spans="1:18" s="1454" customFormat="1" ht="47.25" thickBot="1">
      <c r="A48" s="2711" t="s">
        <v>2615</v>
      </c>
      <c r="B48" s="682" t="s">
        <v>2331</v>
      </c>
      <c r="C48" s="2721">
        <f ca="1">C49+C53+C55</f>
        <v>0</v>
      </c>
      <c r="D48" s="2715"/>
      <c r="E48" s="2716"/>
      <c r="F48" s="2418"/>
      <c r="G48" s="1456"/>
      <c r="H48" s="1457"/>
      <c r="I48" s="2544" t="s">
        <v>2414</v>
      </c>
      <c r="J48" s="2555" t="s">
        <v>2415</v>
      </c>
      <c r="K48" s="2565" t="s">
        <v>2437</v>
      </c>
      <c r="L48" s="2168">
        <f ca="1">INDIRECT("'数据-取费表'!f"&amp;$G$1)</f>
        <v>34.31</v>
      </c>
      <c r="O48" s="2587" t="s">
        <v>2449</v>
      </c>
      <c r="P48" s="2597" t="s">
        <v>2468</v>
      </c>
      <c r="Q48" s="2588" t="str">
        <f ca="1">J60</f>
        <v>0</v>
      </c>
      <c r="R48" s="2588" t="s">
        <v>2476</v>
      </c>
    </row>
    <row r="49" spans="1:18" s="1454" customFormat="1" ht="15.75" thickBot="1">
      <c r="A49" s="2431" t="s">
        <v>2616</v>
      </c>
      <c r="B49" s="2714" t="s">
        <v>2618</v>
      </c>
      <c r="C49" s="2723">
        <f ca="1">ROUND(F49*F51*F50*(1-F52)/10000,0)</f>
        <v>0</v>
      </c>
      <c r="D49" s="2533" t="s">
        <v>2332</v>
      </c>
      <c r="E49" s="2536" t="s">
        <v>2325</v>
      </c>
      <c r="F49" s="2539"/>
      <c r="G49" s="1458"/>
      <c r="H49" s="1457"/>
      <c r="I49" s="2544" t="s">
        <v>2434</v>
      </c>
      <c r="J49" s="2556">
        <v>1996</v>
      </c>
      <c r="K49" s="2566" t="s">
        <v>2439</v>
      </c>
      <c r="L49" s="2567"/>
      <c r="O49" s="2589" t="s">
        <v>2450</v>
      </c>
      <c r="P49" s="2597" t="s">
        <v>2469</v>
      </c>
      <c r="Q49" s="2588">
        <f ca="1">C29</f>
        <v>4022</v>
      </c>
      <c r="R49" s="2588" t="s">
        <v>2467</v>
      </c>
    </row>
    <row r="50" spans="1:18" s="1454" customFormat="1" ht="15.75" thickBot="1">
      <c r="A50" s="2432"/>
      <c r="B50" s="2435"/>
      <c r="C50" s="2731"/>
      <c r="D50" s="2405"/>
      <c r="E50" s="2534" t="s">
        <v>2333</v>
      </c>
      <c r="F50" s="2535">
        <f ca="1">F7</f>
        <v>12736.12000000001</v>
      </c>
      <c r="H50" s="1457"/>
      <c r="I50" s="2544" t="s">
        <v>2416</v>
      </c>
      <c r="J50" s="2557">
        <f>SUMPRODUCT((I63:I65=J47)*(J62:L62=J48)*(J63:L65))</f>
        <v>60</v>
      </c>
      <c r="K50" s="2566" t="s">
        <v>2440</v>
      </c>
      <c r="L50" s="2567"/>
      <c r="M50" s="2561"/>
      <c r="O50" s="2589" t="s">
        <v>2451</v>
      </c>
      <c r="P50" s="2597" t="s">
        <v>2477</v>
      </c>
      <c r="Q50" s="2590" t="e">
        <f ca="1">J58</f>
        <v>#VALUE!</v>
      </c>
      <c r="R50" s="2588"/>
    </row>
    <row r="51" spans="1:18" s="1454" customFormat="1" ht="15.75" thickBot="1">
      <c r="A51" s="2433"/>
      <c r="B51" s="2435"/>
      <c r="C51" s="2436"/>
      <c r="D51" s="2405"/>
      <c r="E51" s="2437" t="s">
        <v>2334</v>
      </c>
      <c r="F51" s="685">
        <f ca="1">F8</f>
        <v>365</v>
      </c>
      <c r="I51" s="2558" t="s">
        <v>2421</v>
      </c>
      <c r="J51" s="2559">
        <f>IF(J49="",J50,J49+J50-YEAR('数据-取费表'!B2))</f>
        <v>39</v>
      </c>
      <c r="K51" s="2568" t="s">
        <v>2441</v>
      </c>
      <c r="L51" s="2581">
        <f ca="1">ROUND(-PV(INDIRECT("'数据-取费表'!h"&amp;$G$1),L48,(C39-C13*C76),0),0)</f>
        <v>19823</v>
      </c>
      <c r="M51" s="2562"/>
      <c r="O51" s="2589" t="s">
        <v>2452</v>
      </c>
      <c r="P51" s="2597" t="s">
        <v>2478</v>
      </c>
      <c r="Q51" s="2590">
        <f>J52</f>
        <v>0.09</v>
      </c>
      <c r="R51" s="2588"/>
    </row>
    <row r="52" spans="1:18" s="1454" customFormat="1" ht="15.75" thickBot="1">
      <c r="A52" s="2433"/>
      <c r="B52" s="2435"/>
      <c r="C52" s="2436"/>
      <c r="D52" s="2405"/>
      <c r="E52" s="2437" t="s">
        <v>2335</v>
      </c>
      <c r="F52" s="2532"/>
      <c r="I52" s="2560" t="s">
        <v>2444</v>
      </c>
      <c r="J52" s="2574">
        <v>0.09</v>
      </c>
      <c r="K52" s="2560" t="s">
        <v>2429</v>
      </c>
      <c r="L52" s="2574"/>
      <c r="M52" s="2397"/>
      <c r="O52" s="2589" t="s">
        <v>2453</v>
      </c>
      <c r="P52" s="2597" t="s">
        <v>2470</v>
      </c>
      <c r="Q52" s="2588">
        <f ca="1">J53</f>
        <v>34.31</v>
      </c>
      <c r="R52" s="2588" t="s">
        <v>2471</v>
      </c>
    </row>
    <row r="53" spans="1:18" s="1454" customFormat="1" ht="43.5" thickBot="1">
      <c r="A53" s="2826" t="s">
        <v>2617</v>
      </c>
      <c r="B53" s="433" t="s">
        <v>2527</v>
      </c>
      <c r="C53" s="698">
        <f ca="1">ROUND(IF(F53="押一",F49*F51*F50/12*F11,IF(F53="押二",F49*F51*F50/12*2*F11,IF(F53="押三",F49*F51*F50/12*3*F11,C54*F11)))/10000,0)</f>
        <v>0</v>
      </c>
      <c r="D53" s="2634" t="s">
        <v>2535</v>
      </c>
      <c r="E53" s="2097" t="s">
        <v>2529</v>
      </c>
      <c r="F53" s="2828"/>
      <c r="I53" s="2570" t="s">
        <v>2446</v>
      </c>
      <c r="J53" s="2571">
        <f ca="1">IF(M47="住宅",J51,MIN(J51,L48))</f>
        <v>34.31</v>
      </c>
      <c r="K53" s="3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4"/>
      <c r="O53" s="2587" t="s">
        <v>2454</v>
      </c>
      <c r="P53" s="2597" t="s">
        <v>2472</v>
      </c>
      <c r="Q53" s="2588">
        <f ca="1">Q47+Q48</f>
        <v>32607</v>
      </c>
      <c r="R53" s="2588" t="s">
        <v>2455</v>
      </c>
    </row>
    <row r="54" spans="1:18" s="1454" customFormat="1" ht="16.5" thickBot="1">
      <c r="A54" s="2827"/>
      <c r="B54" s="2624" t="s">
        <v>2694</v>
      </c>
      <c r="C54" s="2415"/>
      <c r="D54" s="2634"/>
      <c r="E54" s="2778"/>
      <c r="F54" s="2540"/>
      <c r="I54" s="2412"/>
      <c r="J54" s="2569"/>
      <c r="K54" s="2569"/>
      <c r="L54" s="2569"/>
      <c r="M54" s="1458"/>
      <c r="O54" s="2591" t="s">
        <v>2479</v>
      </c>
      <c r="P54" s="1295"/>
      <c r="Q54" s="1295"/>
      <c r="R54" s="1295"/>
    </row>
    <row r="55" spans="1:18" s="1454" customFormat="1" ht="15.75" thickBot="1">
      <c r="A55" s="2670" t="s">
        <v>2540</v>
      </c>
      <c r="B55" s="2671" t="s">
        <v>2528</v>
      </c>
      <c r="C55" s="2672"/>
      <c r="D55" s="2634"/>
      <c r="E55" s="2710"/>
      <c r="F55" s="2540"/>
      <c r="I55" s="3317" t="s">
        <v>2422</v>
      </c>
      <c r="J55" s="3316" t="e">
        <f ca="1">ROUND(IF(J47="钢混",J57/J50,1-(1-2%)*(J50-J57)/J50),3)</f>
        <v>#VALUE!</v>
      </c>
      <c r="K55" s="2551" t="s">
        <v>2423</v>
      </c>
      <c r="L55" s="2573" t="s">
        <v>3185</v>
      </c>
      <c r="O55" s="2594" t="s">
        <v>2463</v>
      </c>
      <c r="P55" s="2595" t="s">
        <v>2464</v>
      </c>
      <c r="Q55" s="2596" t="s">
        <v>2462</v>
      </c>
      <c r="R55" s="2596" t="s">
        <v>2465</v>
      </c>
    </row>
    <row r="56" spans="1:18" s="1454" customFormat="1" ht="44.25" thickTop="1" thickBot="1">
      <c r="A56" s="2409">
        <v>2</v>
      </c>
      <c r="B56" s="2410" t="s">
        <v>2336</v>
      </c>
      <c r="C56" s="608">
        <f ca="1">C13</f>
        <v>2413</v>
      </c>
      <c r="D56" s="2698"/>
      <c r="E56" s="2411"/>
      <c r="F56" s="2540"/>
      <c r="I56" s="2543" t="s">
        <v>2424</v>
      </c>
      <c r="J56" s="2572" t="s">
        <v>3052</v>
      </c>
      <c r="K56" s="2544" t="s">
        <v>2428</v>
      </c>
      <c r="L56" s="2168" t="str">
        <f ca="1">IF(L48&lt;J51,"——",L48-J51)</f>
        <v>——</v>
      </c>
      <c r="O56" s="2587" t="s">
        <v>2448</v>
      </c>
      <c r="P56" s="2597" t="s">
        <v>2466</v>
      </c>
      <c r="Q56" s="2588">
        <f ca="1">C40+J29</f>
        <v>32607</v>
      </c>
      <c r="R56" s="2588" t="s">
        <v>2467</v>
      </c>
    </row>
    <row r="57" spans="1:18" s="1454" customFormat="1" ht="29.25" thickBot="1">
      <c r="A57" s="2541"/>
      <c r="B57" s="2402" t="s">
        <v>2366</v>
      </c>
      <c r="C57" s="614">
        <f ca="1">C29</f>
        <v>4022</v>
      </c>
      <c r="D57" s="2413"/>
      <c r="E57" s="2414"/>
      <c r="F57" s="2542"/>
      <c r="I57" s="2545" t="s">
        <v>2445</v>
      </c>
      <c r="J57" s="2549" t="str">
        <f ca="1">IF(OR(M47="住宅",J51&lt;L48,J56="是"),"——",J51-L48)</f>
        <v>——</v>
      </c>
      <c r="K57" s="2544" t="s">
        <v>2897</v>
      </c>
      <c r="L57" s="2168" t="str">
        <f ca="1">IF(L48&lt;J51,"——",IF(L55="比较法",L49,IF(L55="基准地价",L50,L51)))</f>
        <v>——</v>
      </c>
      <c r="O57" s="2587" t="s">
        <v>2449</v>
      </c>
      <c r="P57" s="2597" t="s">
        <v>2473</v>
      </c>
      <c r="Q57" s="2588">
        <f ca="1">L60</f>
        <v>0</v>
      </c>
      <c r="R57" s="2588" t="s">
        <v>2488</v>
      </c>
    </row>
    <row r="58" spans="1:18" s="1454" customFormat="1" ht="29.25" thickBot="1">
      <c r="A58" s="697" t="s">
        <v>2337</v>
      </c>
      <c r="B58" s="2410" t="s">
        <v>2367</v>
      </c>
      <c r="C58" s="698">
        <f ca="1">ROUND(C59+C64+C65+C66,0)</f>
        <v>110</v>
      </c>
      <c r="D58" s="2416" t="s">
        <v>2368</v>
      </c>
      <c r="E58" s="2417"/>
      <c r="F58" s="2418"/>
      <c r="I58" s="2545" t="s">
        <v>2425</v>
      </c>
      <c r="J58" s="3318" t="e">
        <f ca="1">IF(J55&lt;0.4,0.4,J55)</f>
        <v>#VALUE!</v>
      </c>
      <c r="K58" s="2568" t="s">
        <v>2898</v>
      </c>
      <c r="L58" s="2168">
        <f ca="1">IF(ISERROR(POWER(1+L52,L47-L48)*(POWER(1+L52,L48)-1)/(POWER(1+L52,L47)-1)),0,POWER(1+L52,L47-L48)*(POWER(1+L52,L48)-1)/(POWER(1+L52,L47)-1))</f>
        <v>0</v>
      </c>
      <c r="O58" s="2589" t="s">
        <v>2450</v>
      </c>
      <c r="P58" s="2597" t="s">
        <v>2480</v>
      </c>
      <c r="Q58" s="2588">
        <f>IF(L55="比较法",L49,IF(L55="基准地价",L50,0))</f>
        <v>0</v>
      </c>
      <c r="R58" s="2588" t="s">
        <v>2467</v>
      </c>
    </row>
    <row r="59" spans="1:18" s="1454" customFormat="1" ht="29.25" thickBot="1">
      <c r="A59" s="2438" t="s">
        <v>2372</v>
      </c>
      <c r="B59" s="2402" t="s">
        <v>362</v>
      </c>
      <c r="C59" s="313">
        <f ca="1">ROUND(IF(项目基本情况!B11="自然人",C48*F59,C60+C61+C62),1)</f>
        <v>46.1</v>
      </c>
      <c r="D59" s="2419" t="s">
        <v>2338</v>
      </c>
      <c r="E59" s="2420" t="s">
        <v>2339</v>
      </c>
      <c r="F59" s="708" t="str">
        <f ca="1">IF(项目基本情况!B11="企业","",IF(INDIRECT("'数据-取费表'!c"&amp;$G$1)="住宅",5%,IF(F49*F50*F51/12/(1+'数据-取费表'!C42)&gt;20000,12%,7%)))</f>
        <v/>
      </c>
      <c r="I59" s="2545" t="s">
        <v>2426</v>
      </c>
      <c r="J59" s="2549" t="str">
        <f ca="1">IF(OR(M47="住宅",J51&lt;L48,J56="是"),"——",ROUND(C29*J58,0))</f>
        <v>——</v>
      </c>
      <c r="K59" s="2568" t="s">
        <v>2899</v>
      </c>
      <c r="L59" s="2168">
        <f ca="1">IF(ISERROR(POWER(1+L52,L47-J51)*(POWER(1+L52,J51)-1)/(POWER(1+L52,L47)-1)),0,POWER(1+L52,L47-J51)*(POWER(1+L52,J51)-1)/(POWER(1+L52,L47)-1))</f>
        <v>0</v>
      </c>
      <c r="O59" s="2589" t="s">
        <v>2451</v>
      </c>
      <c r="P59" s="2597" t="s">
        <v>2481</v>
      </c>
      <c r="Q59" s="2590">
        <f>L52</f>
        <v>0</v>
      </c>
      <c r="R59" s="2588"/>
    </row>
    <row r="60" spans="1:18" s="1454" customFormat="1" ht="20.25" thickBot="1">
      <c r="A60" s="2438" t="s">
        <v>2369</v>
      </c>
      <c r="B60" s="2402" t="s">
        <v>2340</v>
      </c>
      <c r="C60" s="313">
        <f ca="1">IF(项目基本情况!B11="自然人","——",ROUND(C48*F60/(1+'数据-取费表'!C42),2))</f>
        <v>0</v>
      </c>
      <c r="D60" s="2420" t="s">
        <v>2341</v>
      </c>
      <c r="E60" s="2402" t="s">
        <v>2342</v>
      </c>
      <c r="F60" s="717">
        <f t="shared" ref="F60:F66" si="0">F32</f>
        <v>5.5000000000000007E-2</v>
      </c>
      <c r="I60" s="2546" t="s">
        <v>2427</v>
      </c>
      <c r="J60" s="2550" t="str">
        <f ca="1">IF(OR(M47="住宅",J51&lt;L48,J56="是"),"0",ROUND(J59/(1+J52)^J53,0))</f>
        <v>0</v>
      </c>
      <c r="K60" s="2552" t="s">
        <v>2430</v>
      </c>
      <c r="L60" s="2550">
        <f ca="1">IF(OR(M47="住宅",L48&lt;J51),0,ROUND(L57*(L58/L59-1),0))</f>
        <v>0</v>
      </c>
      <c r="O60" s="2589" t="s">
        <v>2452</v>
      </c>
      <c r="P60" s="2597" t="s">
        <v>2482</v>
      </c>
      <c r="Q60" s="2588">
        <f ca="1">L58</f>
        <v>0</v>
      </c>
      <c r="R60" s="2588" t="s">
        <v>2457</v>
      </c>
    </row>
    <row r="61" spans="1:18" s="1454" customFormat="1" ht="20.25" thickBot="1">
      <c r="A61" s="2438" t="s">
        <v>2370</v>
      </c>
      <c r="B61" s="2402" t="s">
        <v>2343</v>
      </c>
      <c r="C61" s="313">
        <f ca="1">IF(项目基本情况!B11="自然人","——",IF(D61="按租金收入计税",ROUND(C48*F61,2),IF(D61="按房产原值计税",ROUND(C57*F61*0.7,2),INDIRECT("'数据-取费表'!Aj"&amp;$G$1))))</f>
        <v>33.78</v>
      </c>
      <c r="D61" s="1300" t="s">
        <v>2412</v>
      </c>
      <c r="E61" s="2402" t="s">
        <v>2342</v>
      </c>
      <c r="F61" s="707">
        <f t="shared" si="0"/>
        <v>1.2E-2</v>
      </c>
      <c r="I61" s="2412"/>
      <c r="J61" s="2412"/>
      <c r="K61" s="2412"/>
      <c r="L61" s="2412"/>
      <c r="O61" s="2589" t="s">
        <v>2453</v>
      </c>
      <c r="P61" s="2597" t="s">
        <v>2483</v>
      </c>
      <c r="Q61" s="2588">
        <f ca="1">L59</f>
        <v>0</v>
      </c>
      <c r="R61" s="2588" t="s">
        <v>2458</v>
      </c>
    </row>
    <row r="62" spans="1:18" s="1454" customFormat="1" ht="15.75" thickBot="1">
      <c r="A62" s="2438" t="s">
        <v>2371</v>
      </c>
      <c r="B62" s="2401" t="s">
        <v>2344</v>
      </c>
      <c r="C62" s="314">
        <f ca="1">IF(项目基本情况!B11="自然人","——",ROUND(F62*F63/10000,2))</f>
        <v>12.35</v>
      </c>
      <c r="D62" s="2421" t="s">
        <v>2345</v>
      </c>
      <c r="E62" s="2402" t="s">
        <v>2346</v>
      </c>
      <c r="F62" s="711">
        <f t="shared" si="0"/>
        <v>1.5</v>
      </c>
      <c r="I62" s="2547" t="s">
        <v>2417</v>
      </c>
      <c r="J62" s="2548" t="s">
        <v>2418</v>
      </c>
      <c r="K62" s="2548" t="s">
        <v>2419</v>
      </c>
      <c r="L62" s="2548" t="s">
        <v>2415</v>
      </c>
      <c r="M62" s="3319" t="s">
        <v>3035</v>
      </c>
      <c r="O62" s="2587" t="s">
        <v>2454</v>
      </c>
      <c r="P62" s="2597" t="s">
        <v>2472</v>
      </c>
      <c r="Q62" s="2588">
        <f ca="1">Q56+Q57</f>
        <v>32607</v>
      </c>
      <c r="R62" s="2588" t="s">
        <v>2455</v>
      </c>
    </row>
    <row r="63" spans="1:18" s="1454" customFormat="1" ht="16.5" thickBot="1">
      <c r="A63" s="712"/>
      <c r="B63" s="2408"/>
      <c r="C63" s="318"/>
      <c r="D63" s="2422"/>
      <c r="E63" s="2402" t="s">
        <v>2347</v>
      </c>
      <c r="F63" s="685">
        <f t="shared" ca="1" si="0"/>
        <v>82323.28</v>
      </c>
      <c r="I63" s="2547" t="s">
        <v>2431</v>
      </c>
      <c r="J63" s="3322">
        <v>70</v>
      </c>
      <c r="K63" s="3322">
        <v>50</v>
      </c>
      <c r="L63" s="3322">
        <v>80</v>
      </c>
      <c r="M63" s="3320">
        <v>0.02</v>
      </c>
      <c r="O63" s="2591" t="s">
        <v>2486</v>
      </c>
      <c r="P63" s="1295"/>
      <c r="Q63" s="1295"/>
      <c r="R63" s="1295"/>
    </row>
    <row r="64" spans="1:18" s="1454" customFormat="1" ht="15.75" thickBot="1">
      <c r="A64" s="2438" t="s">
        <v>2379</v>
      </c>
      <c r="B64" s="2402" t="s">
        <v>2348</v>
      </c>
      <c r="C64" s="313">
        <f ca="1">ROUND(C57*F64,1)</f>
        <v>60.3</v>
      </c>
      <c r="D64" s="2420" t="s">
        <v>2349</v>
      </c>
      <c r="E64" s="2402" t="s">
        <v>2342</v>
      </c>
      <c r="F64" s="714">
        <f t="shared" ca="1" si="0"/>
        <v>1.4999999999999999E-2</v>
      </c>
      <c r="I64" s="2547" t="s">
        <v>2432</v>
      </c>
      <c r="J64" s="3322">
        <v>50</v>
      </c>
      <c r="K64" s="3322">
        <v>35</v>
      </c>
      <c r="L64" s="3322">
        <v>60</v>
      </c>
      <c r="M64" s="3321">
        <v>0</v>
      </c>
      <c r="O64" s="2594" t="s">
        <v>2463</v>
      </c>
      <c r="P64" s="2595" t="s">
        <v>2464</v>
      </c>
      <c r="Q64" s="2596" t="s">
        <v>2462</v>
      </c>
      <c r="R64" s="2596" t="s">
        <v>2465</v>
      </c>
    </row>
    <row r="65" spans="1:18" s="1454" customFormat="1" ht="15.75" thickBot="1">
      <c r="A65" s="2438" t="s">
        <v>2373</v>
      </c>
      <c r="B65" s="2402" t="s">
        <v>367</v>
      </c>
      <c r="C65" s="313">
        <f ca="1">ROUND(C56*F65,1)</f>
        <v>3.6</v>
      </c>
      <c r="D65" s="2420" t="s">
        <v>2350</v>
      </c>
      <c r="E65" s="2402" t="s">
        <v>2342</v>
      </c>
      <c r="F65" s="716">
        <f t="shared" ca="1" si="0"/>
        <v>1.5E-3</v>
      </c>
      <c r="I65" s="2547" t="s">
        <v>2433</v>
      </c>
      <c r="J65" s="3322">
        <v>40</v>
      </c>
      <c r="K65" s="3322">
        <v>30</v>
      </c>
      <c r="L65" s="3322">
        <v>50</v>
      </c>
      <c r="M65" s="3320">
        <v>0.02</v>
      </c>
      <c r="O65" s="2587" t="s">
        <v>2448</v>
      </c>
      <c r="P65" s="2597" t="s">
        <v>2466</v>
      </c>
      <c r="Q65" s="2588">
        <f ca="1">C40+J29</f>
        <v>32607</v>
      </c>
      <c r="R65" s="2588" t="s">
        <v>2467</v>
      </c>
    </row>
    <row r="66" spans="1:18" s="1454" customFormat="1" ht="20.25" thickBot="1">
      <c r="A66" s="2438" t="s">
        <v>2374</v>
      </c>
      <c r="B66" s="2402" t="s">
        <v>366</v>
      </c>
      <c r="C66" s="313">
        <f ca="1">ROUND(C48*F66,1)</f>
        <v>0</v>
      </c>
      <c r="D66" s="2420" t="s">
        <v>2351</v>
      </c>
      <c r="E66" s="2402" t="s">
        <v>2342</v>
      </c>
      <c r="F66" s="694">
        <f t="shared" ca="1" si="0"/>
        <v>0.02</v>
      </c>
      <c r="O66" s="2587" t="s">
        <v>2449</v>
      </c>
      <c r="P66" s="2597" t="s">
        <v>2473</v>
      </c>
      <c r="Q66" s="2588">
        <f ca="1">L60</f>
        <v>0</v>
      </c>
      <c r="R66" s="2588" t="s">
        <v>2456</v>
      </c>
    </row>
    <row r="67" spans="1:18" s="1454" customFormat="1" ht="24.75" thickBot="1">
      <c r="A67" s="2409" t="s">
        <v>2352</v>
      </c>
      <c r="B67" s="2423" t="s">
        <v>2353</v>
      </c>
      <c r="C67" s="698">
        <f ca="1">C48-C58</f>
        <v>-110</v>
      </c>
      <c r="D67" s="2419" t="s">
        <v>2354</v>
      </c>
      <c r="E67" s="2424"/>
      <c r="F67" s="2425"/>
      <c r="O67" s="2589" t="s">
        <v>2450</v>
      </c>
      <c r="P67" s="2597" t="s">
        <v>2480</v>
      </c>
      <c r="Q67" s="2592">
        <f ca="1">L51</f>
        <v>19823</v>
      </c>
      <c r="R67" s="2593" t="s">
        <v>2490</v>
      </c>
    </row>
    <row r="68" spans="1:18" s="1454" customFormat="1" ht="20.25" thickBot="1">
      <c r="A68" s="2399" t="s">
        <v>2355</v>
      </c>
      <c r="B68" s="2400" t="s">
        <v>2356</v>
      </c>
      <c r="C68" s="683">
        <f ca="1">ROUND(C67*(1-((1+F70)/(1+F68))^F69)/(F68-F70),0)</f>
        <v>-1788</v>
      </c>
      <c r="D68" s="2421" t="s">
        <v>2357</v>
      </c>
      <c r="E68" s="2402" t="s">
        <v>2358</v>
      </c>
      <c r="F68" s="694">
        <f ca="1">F40</f>
        <v>0.05</v>
      </c>
      <c r="O68" s="2589" t="s">
        <v>2451</v>
      </c>
      <c r="P68" s="2598" t="s">
        <v>2484</v>
      </c>
      <c r="Q68" s="2588">
        <f ca="1">ROUND(Q69-Q70*Q71,0)</f>
        <v>1145</v>
      </c>
      <c r="R68" s="2588" t="s">
        <v>2489</v>
      </c>
    </row>
    <row r="69" spans="1:18" s="1454" customFormat="1" ht="15.75" thickBot="1">
      <c r="A69" s="2403"/>
      <c r="B69" s="2404"/>
      <c r="C69" s="688"/>
      <c r="D69" s="2426" t="s">
        <v>2359</v>
      </c>
      <c r="E69" s="2402" t="s">
        <v>2360</v>
      </c>
      <c r="F69" s="719">
        <f ca="1">F41</f>
        <v>34.31</v>
      </c>
      <c r="O69" s="2589" t="s">
        <v>2459</v>
      </c>
      <c r="P69" s="2598" t="s">
        <v>2474</v>
      </c>
      <c r="Q69" s="2588">
        <f ca="1">C39</f>
        <v>1350</v>
      </c>
      <c r="R69" s="2588" t="s">
        <v>2467</v>
      </c>
    </row>
    <row r="70" spans="1:18" s="1454" customFormat="1" ht="15.75" thickBot="1">
      <c r="A70" s="2406"/>
      <c r="B70" s="2407"/>
      <c r="C70" s="692"/>
      <c r="D70" s="2422"/>
      <c r="E70" s="2402" t="s">
        <v>2361</v>
      </c>
      <c r="F70" s="2532"/>
      <c r="O70" s="2589" t="s">
        <v>2460</v>
      </c>
      <c r="P70" s="2598" t="s">
        <v>2475</v>
      </c>
      <c r="Q70" s="2588">
        <f ca="1">C13</f>
        <v>2413</v>
      </c>
      <c r="R70" s="2588" t="s">
        <v>2467</v>
      </c>
    </row>
    <row r="71" spans="1:18" s="1454" customFormat="1" ht="15.75" thickBot="1">
      <c r="A71" s="2427" t="s">
        <v>2362</v>
      </c>
      <c r="B71" s="2428" t="s">
        <v>2363</v>
      </c>
      <c r="C71" s="722">
        <f ca="1">ROUND(C68*10000/F71,0)</f>
        <v>-1404</v>
      </c>
      <c r="D71" s="2429" t="s">
        <v>2364</v>
      </c>
      <c r="E71" s="2430" t="s">
        <v>2365</v>
      </c>
      <c r="F71" s="725">
        <f ca="1">F43</f>
        <v>12736.12000000001</v>
      </c>
      <c r="I71" s="2397"/>
      <c r="K71" s="2397"/>
      <c r="O71" s="2589" t="s">
        <v>2461</v>
      </c>
      <c r="P71" s="2598" t="s">
        <v>2487</v>
      </c>
      <c r="Q71" s="2590">
        <f ca="1">C76</f>
        <v>8.5000000000000006E-2</v>
      </c>
      <c r="R71" s="2588"/>
    </row>
    <row r="72" spans="1:18" s="1454" customFormat="1" ht="15.75" thickBot="1">
      <c r="B72" s="1459"/>
      <c r="C72" s="1459"/>
      <c r="I72" s="2397"/>
      <c r="O72" s="2589" t="s">
        <v>2452</v>
      </c>
      <c r="P72" s="2597" t="s">
        <v>2481</v>
      </c>
      <c r="Q72" s="2590">
        <f>L52</f>
        <v>0</v>
      </c>
      <c r="R72" s="2588"/>
    </row>
    <row r="73" spans="1:18" ht="20.25" thickBot="1">
      <c r="A73" s="1454"/>
      <c r="B73" s="1459"/>
      <c r="C73" s="1459"/>
      <c r="D73" s="1454"/>
      <c r="E73" s="1454"/>
      <c r="F73" s="1454"/>
      <c r="I73" s="2583"/>
      <c r="O73" s="2589" t="s">
        <v>2453</v>
      </c>
      <c r="P73" s="2597" t="s">
        <v>2482</v>
      </c>
      <c r="Q73" s="2588">
        <f ca="1">L58</f>
        <v>0</v>
      </c>
      <c r="R73" s="2588" t="s">
        <v>2457</v>
      </c>
    </row>
    <row r="74" spans="1:18" ht="20.25" thickBot="1">
      <c r="A74" s="1454"/>
      <c r="B74" s="727" t="s">
        <v>385</v>
      </c>
      <c r="C74" s="728"/>
      <c r="D74" s="1454"/>
      <c r="E74" s="1454"/>
      <c r="F74" s="1454"/>
      <c r="O74" s="2589" t="s">
        <v>2491</v>
      </c>
      <c r="P74" s="2597" t="s">
        <v>2483</v>
      </c>
      <c r="Q74" s="2588">
        <f ca="1">L59</f>
        <v>0</v>
      </c>
      <c r="R74" s="2588" t="s">
        <v>2458</v>
      </c>
    </row>
    <row r="75" spans="1:18" ht="15.75" thickBot="1">
      <c r="A75" s="1454"/>
      <c r="B75" s="729" t="s">
        <v>971</v>
      </c>
      <c r="C75" s="730">
        <f ca="1">ROUND(C13*C76,0)</f>
        <v>205</v>
      </c>
      <c r="D75" s="1454"/>
      <c r="E75" s="1454"/>
      <c r="F75" s="1454"/>
      <c r="K75" s="1455"/>
      <c r="L75" s="1454"/>
      <c r="O75" s="2587" t="s">
        <v>2454</v>
      </c>
      <c r="P75" s="2597" t="s">
        <v>2472</v>
      </c>
      <c r="Q75" s="2588">
        <f ca="1">Q65+Q66</f>
        <v>32607</v>
      </c>
      <c r="R75" s="2588" t="s">
        <v>2455</v>
      </c>
    </row>
    <row r="76" spans="1:18">
      <c r="B76" s="731" t="s">
        <v>972</v>
      </c>
      <c r="C76" s="732">
        <f ca="1">INDIRECT("'数据-取费表'!j"&amp;$G$1)</f>
        <v>8.5000000000000006E-2</v>
      </c>
      <c r="I76" s="1454"/>
      <c r="J76" s="1454"/>
      <c r="K76" s="1455"/>
      <c r="L76" s="1454"/>
    </row>
    <row r="77" spans="1:18">
      <c r="B77" s="733" t="s">
        <v>975</v>
      </c>
      <c r="C77" s="734"/>
      <c r="I77" s="1454"/>
      <c r="J77" s="1454"/>
      <c r="K77" s="1455"/>
      <c r="L77" s="1454"/>
    </row>
    <row r="78" spans="1:18">
      <c r="B78" s="646" t="s">
        <v>2695</v>
      </c>
      <c r="C78" s="735"/>
    </row>
    <row r="79" spans="1:18">
      <c r="B79" s="2873" t="s">
        <v>2699</v>
      </c>
      <c r="C79" s="650">
        <f ca="1">1-C80</f>
        <v>0.84799999999999998</v>
      </c>
    </row>
    <row r="80" spans="1:18">
      <c r="B80" s="2873" t="s">
        <v>2698</v>
      </c>
      <c r="C80" s="650">
        <f ca="1">ROUND(C75/C39,3)</f>
        <v>0.152</v>
      </c>
    </row>
    <row r="81" spans="2:3">
      <c r="B81" s="646" t="s">
        <v>386</v>
      </c>
      <c r="C81" s="647"/>
    </row>
    <row r="82" spans="2:3">
      <c r="B82" s="2872" t="s">
        <v>2697</v>
      </c>
      <c r="C82" s="651">
        <f ca="1">1-C83</f>
        <v>0.92600000000000005</v>
      </c>
    </row>
    <row r="83" spans="2:3">
      <c r="B83" s="2872" t="s">
        <v>2696</v>
      </c>
      <c r="C83" s="650">
        <f ca="1">ROUND(C13/C40,3)</f>
        <v>7.3999999999999996E-2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906</v>
      </c>
      <c r="B1" s="670"/>
      <c r="C1" s="2392"/>
      <c r="D1" s="1273"/>
      <c r="E1" s="2585" t="s">
        <v>538</v>
      </c>
      <c r="F1" s="2586">
        <f ca="1">J53</f>
        <v>0</v>
      </c>
      <c r="G1" s="672">
        <f>MATCH(C1,'数据-取费表'!A6:A16,0)+5</f>
        <v>7</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344</v>
      </c>
      <c r="B2" s="1406" t="e">
        <f ca="1">ROUND(D2/10000,0)</f>
        <v>#DIV/0!</v>
      </c>
      <c r="C2" s="1299" t="s">
        <v>1100</v>
      </c>
      <c r="D2" s="2724" t="e">
        <f ca="1">C40+J29+L46</f>
        <v>#DIV/0!</v>
      </c>
      <c r="E2" s="2575" t="s">
        <v>2619</v>
      </c>
      <c r="F2" s="1276"/>
      <c r="G2" s="2287"/>
      <c r="H2" s="1274"/>
      <c r="I2" s="1274"/>
      <c r="J2" s="1274"/>
      <c r="K2" s="1298"/>
      <c r="L2" s="1274"/>
      <c r="M2" s="1274"/>
    </row>
    <row r="3" spans="1:37" ht="18" customHeight="1" thickBot="1">
      <c r="A3" s="675" t="s">
        <v>345</v>
      </c>
      <c r="B3" s="1407">
        <f ca="1">IF(ISERROR(D2/F43),0,ROUND(D2/F43,0))</f>
        <v>0</v>
      </c>
      <c r="C3" s="1299" t="s">
        <v>1101</v>
      </c>
      <c r="D3" s="1275"/>
      <c r="E3" s="2575"/>
      <c r="F3" s="1276"/>
      <c r="G3" s="2287"/>
      <c r="H3" s="676" t="s">
        <v>907</v>
      </c>
      <c r="I3" s="1274"/>
      <c r="J3" s="1274"/>
      <c r="K3" s="1298"/>
      <c r="L3" s="1274"/>
      <c r="M3" s="1274"/>
    </row>
    <row r="4" spans="1:37" ht="18" customHeight="1">
      <c r="A4" s="677" t="s">
        <v>908</v>
      </c>
      <c r="B4" s="678" t="s">
        <v>909</v>
      </c>
      <c r="C4" s="678" t="s">
        <v>910</v>
      </c>
      <c r="D4" s="678" t="s">
        <v>911</v>
      </c>
      <c r="E4" s="679" t="s">
        <v>912</v>
      </c>
      <c r="F4" s="680"/>
      <c r="G4" s="2288"/>
      <c r="H4" s="677" t="s">
        <v>908</v>
      </c>
      <c r="I4" s="678" t="s">
        <v>909</v>
      </c>
      <c r="J4" s="678" t="s">
        <v>910</v>
      </c>
      <c r="K4" s="678" t="s">
        <v>911</v>
      </c>
      <c r="L4" s="679" t="s">
        <v>912</v>
      </c>
      <c r="M4" s="680"/>
    </row>
    <row r="5" spans="1:37" ht="18" customHeight="1">
      <c r="A5" s="681">
        <v>1</v>
      </c>
      <c r="B5" s="682" t="s">
        <v>2331</v>
      </c>
      <c r="C5" s="2626">
        <f ca="1">C6+C10+C12</f>
        <v>0</v>
      </c>
      <c r="D5" s="2636" t="s">
        <v>2533</v>
      </c>
      <c r="E5" s="2627"/>
      <c r="F5" s="2628"/>
      <c r="G5" s="2288"/>
      <c r="H5" s="681">
        <v>1</v>
      </c>
      <c r="I5" s="682" t="s">
        <v>2331</v>
      </c>
      <c r="J5" s="2626">
        <f ca="1">J6+J10+J12</f>
        <v>0</v>
      </c>
      <c r="K5" s="2629" t="s">
        <v>2533</v>
      </c>
      <c r="L5" s="2627"/>
      <c r="M5" s="2628"/>
    </row>
    <row r="6" spans="1:37" ht="18" customHeight="1">
      <c r="A6" s="2622" t="s">
        <v>2372</v>
      </c>
      <c r="B6" s="3625" t="s">
        <v>2532</v>
      </c>
      <c r="C6" s="2631">
        <f ca="1">ROUND(F6*F8*F7*(1-F9),0)</f>
        <v>0</v>
      </c>
      <c r="D6" s="2625" t="s">
        <v>2534</v>
      </c>
      <c r="E6" s="684" t="s">
        <v>913</v>
      </c>
      <c r="F6" s="685">
        <f ca="1">INDIRECT("'数据-取费表'!u"&amp;$G$1)</f>
        <v>0</v>
      </c>
      <c r="G6" s="2288"/>
      <c r="H6" s="2622" t="s">
        <v>2372</v>
      </c>
      <c r="I6" s="3625" t="s">
        <v>2532</v>
      </c>
      <c r="J6" s="683">
        <f ca="1">ROUND(M6*M8*M7*(1-M9),0)</f>
        <v>0</v>
      </c>
      <c r="K6" s="2625" t="s">
        <v>2534</v>
      </c>
      <c r="L6" s="684" t="s">
        <v>913</v>
      </c>
      <c r="M6" s="685">
        <f ca="1">INDIRECT("'数据-取费表'!z"&amp;$G$1)</f>
        <v>0</v>
      </c>
    </row>
    <row r="7" spans="1:37" ht="18" customHeight="1">
      <c r="A7" s="2630"/>
      <c r="B7" s="3626"/>
      <c r="C7" s="2632"/>
      <c r="D7" s="2061"/>
      <c r="E7" s="2633" t="s">
        <v>914</v>
      </c>
      <c r="F7" s="685">
        <f ca="1">IF(INDIRECT("'数据-取费表'!ah"&amp;$G$1)="",INDIRECT("'数据-取费表'!k"&amp;$G$1),INDIRECT("'数据-取费表'!ah"&amp;$G$1))</f>
        <v>0</v>
      </c>
      <c r="G7" s="2288"/>
      <c r="H7" s="686"/>
      <c r="I7" s="3626"/>
      <c r="J7" s="688"/>
      <c r="K7" s="689"/>
      <c r="L7" s="684" t="s">
        <v>914</v>
      </c>
      <c r="M7" s="685">
        <f ca="1">F7</f>
        <v>0</v>
      </c>
    </row>
    <row r="8" spans="1:37" ht="18" customHeight="1">
      <c r="A8" s="686"/>
      <c r="B8" s="3626"/>
      <c r="C8" s="688"/>
      <c r="D8" s="689"/>
      <c r="E8" s="684" t="s">
        <v>915</v>
      </c>
      <c r="F8" s="685">
        <f ca="1">INDIRECT("'数据-取费表'!ai"&amp;$G$1)</f>
        <v>0</v>
      </c>
      <c r="G8" s="2288"/>
      <c r="H8" s="686"/>
      <c r="I8" s="3626"/>
      <c r="J8" s="688"/>
      <c r="K8" s="689"/>
      <c r="L8" s="684" t="s">
        <v>915</v>
      </c>
      <c r="M8" s="685">
        <f ca="1">INDIRECT("'数据-取费表'!ai"&amp;$G$1)</f>
        <v>0</v>
      </c>
    </row>
    <row r="9" spans="1:37" ht="18" customHeight="1">
      <c r="A9" s="686"/>
      <c r="B9" s="3627"/>
      <c r="C9" s="688"/>
      <c r="D9" s="689"/>
      <c r="E9" s="684" t="s">
        <v>916</v>
      </c>
      <c r="F9" s="694">
        <f ca="1">INDIRECT("'数据-取费表'!w"&amp;$G$1)</f>
        <v>0</v>
      </c>
      <c r="G9" s="2288"/>
      <c r="H9" s="686"/>
      <c r="I9" s="3627"/>
      <c r="J9" s="688"/>
      <c r="K9" s="689"/>
      <c r="L9" s="695" t="s">
        <v>916</v>
      </c>
      <c r="M9" s="696">
        <f ca="1">INDIRECT("'数据-取费表'!ab"&amp;$G$1)</f>
        <v>0</v>
      </c>
    </row>
    <row r="10" spans="1:37" ht="18" customHeight="1">
      <c r="A10" s="2622" t="s">
        <v>2379</v>
      </c>
      <c r="B10" s="2623" t="s">
        <v>2527</v>
      </c>
      <c r="C10" s="698">
        <f ca="1">ROUND(IF(F10="押一",F6*F8*F7/12*F11,IF(F10="押二",F6*F8*F7/12*2*F11,IF(F10="押三",F6*F8*F7/12*3*F11,C11*F11))),0)</f>
        <v>0</v>
      </c>
      <c r="D10" s="2634" t="s">
        <v>2535</v>
      </c>
      <c r="E10" s="2097" t="s">
        <v>2529</v>
      </c>
      <c r="F10" s="2828"/>
      <c r="G10" s="2288"/>
      <c r="H10" s="2622" t="s">
        <v>2379</v>
      </c>
      <c r="I10" s="2623" t="s">
        <v>2527</v>
      </c>
      <c r="J10" s="683">
        <f ca="1">ROUND(IF(M10="押一",M6*M8*M7/12*M11,IF(M10="押二",M6*M8*M7/12*2*M11,IF(M10="押三",M6*M8*M7/12*3*M11,J11*M11))),0)</f>
        <v>0</v>
      </c>
      <c r="K10" s="2634" t="s">
        <v>2535</v>
      </c>
      <c r="L10" s="2097" t="s">
        <v>2529</v>
      </c>
      <c r="M10" s="2828" t="s">
        <v>2691</v>
      </c>
    </row>
    <row r="11" spans="1:37" ht="18" customHeight="1">
      <c r="A11" s="690"/>
      <c r="B11" s="2624" t="s">
        <v>2537</v>
      </c>
      <c r="C11" s="2415"/>
      <c r="D11" s="689"/>
      <c r="E11" s="2097" t="s">
        <v>2530</v>
      </c>
      <c r="F11" s="696">
        <f ca="1">'数据-取费表'!B39</f>
        <v>1.4999999999999999E-2</v>
      </c>
      <c r="G11" s="2288"/>
      <c r="H11" s="2635"/>
      <c r="I11" s="2624" t="s">
        <v>2692</v>
      </c>
      <c r="J11" s="2415"/>
      <c r="K11" s="1280"/>
      <c r="L11" s="2097" t="s">
        <v>2530</v>
      </c>
      <c r="M11" s="2096">
        <f ca="1">'数据-取费表'!B39</f>
        <v>1.4999999999999999E-2</v>
      </c>
    </row>
    <row r="12" spans="1:37" ht="18" customHeight="1" thickBot="1">
      <c r="A12" s="2670" t="s">
        <v>2540</v>
      </c>
      <c r="B12" s="2671" t="s">
        <v>2528</v>
      </c>
      <c r="C12" s="2672"/>
      <c r="D12" s="2673"/>
      <c r="E12" s="2674"/>
      <c r="F12" s="2675"/>
      <c r="G12" s="2288"/>
      <c r="H12" s="2670" t="s">
        <v>2540</v>
      </c>
      <c r="I12" s="2671" t="s">
        <v>2528</v>
      </c>
      <c r="J12" s="2672"/>
      <c r="K12" s="2689"/>
      <c r="L12" s="2674"/>
      <c r="M12" s="2690"/>
    </row>
    <row r="13" spans="1:37" ht="18" customHeight="1" thickTop="1">
      <c r="A13" s="2666">
        <v>2</v>
      </c>
      <c r="B13" s="2667" t="s">
        <v>917</v>
      </c>
      <c r="C13" s="692">
        <f ca="1">ROUND(C29*F13,0)</f>
        <v>0</v>
      </c>
      <c r="D13" s="2668" t="s">
        <v>918</v>
      </c>
      <c r="E13" s="2668" t="s">
        <v>919</v>
      </c>
      <c r="F13" s="2669">
        <f ca="1">INDIRECT("'数据-取费表'!y"&amp;$G$1)</f>
        <v>0</v>
      </c>
      <c r="G13" s="2288"/>
      <c r="H13" s="2666">
        <v>2</v>
      </c>
      <c r="I13" s="2667" t="s">
        <v>917</v>
      </c>
      <c r="J13" s="2621">
        <f ca="1">ROUND(J14*J15,0)</f>
        <v>0</v>
      </c>
      <c r="K13" s="2676" t="s">
        <v>918</v>
      </c>
      <c r="L13" s="2687"/>
      <c r="M13" s="2688"/>
    </row>
    <row r="14" spans="1:37" ht="18" customHeight="1">
      <c r="A14" s="2438" t="s">
        <v>2369</v>
      </c>
      <c r="B14" s="684" t="s">
        <v>358</v>
      </c>
      <c r="C14" s="702">
        <f ca="1">ROUND(INDIRECT("'数据-取费表'!l"&amp;$G$1)*F43+'数据-取费表'!L14*INDIRECT("'数据-取费表'!S"&amp;$G$1),0)</f>
        <v>0</v>
      </c>
      <c r="D14" s="2719" t="s">
        <v>920</v>
      </c>
      <c r="E14" s="2718"/>
      <c r="F14" s="703"/>
      <c r="G14" s="2288"/>
      <c r="H14" s="2438" t="s">
        <v>2372</v>
      </c>
      <c r="I14" s="684" t="s">
        <v>921</v>
      </c>
      <c r="J14" s="313">
        <f ca="1">C29</f>
        <v>0</v>
      </c>
      <c r="K14" s="303"/>
      <c r="L14" s="700"/>
      <c r="M14" s="701"/>
    </row>
    <row r="15" spans="1:37" s="706" customFormat="1" ht="18" customHeight="1" thickBot="1">
      <c r="A15" s="2438" t="s">
        <v>2604</v>
      </c>
      <c r="B15" s="684" t="s">
        <v>359</v>
      </c>
      <c r="C15" s="313">
        <f ca="1">ROUND(C14*F15,0)</f>
        <v>0</v>
      </c>
      <c r="D15" s="704" t="s">
        <v>922</v>
      </c>
      <c r="E15" s="704" t="s">
        <v>364</v>
      </c>
      <c r="F15" s="705">
        <f>'数据-取费表'!B33</f>
        <v>0.03</v>
      </c>
      <c r="G15" s="2289"/>
      <c r="H15" s="2678" t="s">
        <v>2379</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2605</v>
      </c>
      <c r="B16" s="684" t="s">
        <v>360</v>
      </c>
      <c r="C16" s="313">
        <f ca="1">ROUND(INDIRECT("'数据-取费表'!l"&amp;$G$1)*F43*F16,0)</f>
        <v>0</v>
      </c>
      <c r="D16" s="684" t="s">
        <v>922</v>
      </c>
      <c r="E16" s="684" t="s">
        <v>364</v>
      </c>
      <c r="F16" s="707">
        <f ca="1">IF(INDIRECT("'数据-取费表'!c"&amp;$G$1)="住宅",'数据-取费表'!B34,0)</f>
        <v>0</v>
      </c>
      <c r="G16" s="2288"/>
      <c r="H16" s="2666" t="s">
        <v>2337</v>
      </c>
      <c r="I16" s="2667" t="s">
        <v>924</v>
      </c>
      <c r="J16" s="692">
        <f ca="1">ROUND(J17+J22+J23+J24,0)</f>
        <v>0</v>
      </c>
      <c r="K16" s="2676" t="s">
        <v>925</v>
      </c>
      <c r="L16" s="2677"/>
      <c r="M16" s="2628"/>
    </row>
    <row r="17" spans="1:37" s="706" customFormat="1" ht="18" customHeight="1">
      <c r="A17" s="2438" t="s">
        <v>2606</v>
      </c>
      <c r="B17" s="684" t="s">
        <v>361</v>
      </c>
      <c r="C17" s="313">
        <f ca="1">ROUND(F17*(F43+INDIRECT("'数据-取费表'!S"&amp;$G$1)),0)</f>
        <v>0</v>
      </c>
      <c r="D17" s="684" t="s">
        <v>926</v>
      </c>
      <c r="E17" s="684" t="s">
        <v>927</v>
      </c>
      <c r="F17" s="315">
        <f>'数据-取费表'!B35</f>
        <v>200</v>
      </c>
      <c r="G17" s="2289"/>
      <c r="H17" s="2438" t="s">
        <v>2372</v>
      </c>
      <c r="I17" s="684" t="s">
        <v>362</v>
      </c>
      <c r="J17" s="313">
        <f ca="1">ROUND(IF(项目基本情况!B11="自然人",J5*M17,J18+J19+J20),0)</f>
        <v>0</v>
      </c>
      <c r="K17" s="2719" t="s">
        <v>928</v>
      </c>
      <c r="L17" s="2720" t="s">
        <v>929</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8" t="s">
        <v>2607</v>
      </c>
      <c r="B18" s="684" t="s">
        <v>363</v>
      </c>
      <c r="C18" s="313">
        <f ca="1">ROUND(C14*F18,0)</f>
        <v>0</v>
      </c>
      <c r="D18" s="684" t="s">
        <v>922</v>
      </c>
      <c r="E18" s="684" t="s">
        <v>364</v>
      </c>
      <c r="F18" s="707">
        <f>'数据-取费表'!B36</f>
        <v>1.4999999999999999E-2</v>
      </c>
      <c r="G18" s="2289"/>
      <c r="H18" s="2438" t="s">
        <v>2369</v>
      </c>
      <c r="I18" s="684" t="s">
        <v>930</v>
      </c>
      <c r="J18" s="313">
        <f ca="1">ROUND(J5*M18/(1+'数据-取费表'!C42),0)</f>
        <v>0</v>
      </c>
      <c r="K18" s="2720" t="s">
        <v>931</v>
      </c>
      <c r="L18" s="684" t="s">
        <v>364</v>
      </c>
      <c r="M18" s="707">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2372</v>
      </c>
      <c r="B19" s="684" t="s">
        <v>365</v>
      </c>
      <c r="C19" s="313">
        <f ca="1">SUM(C14:C18)</f>
        <v>0</v>
      </c>
      <c r="D19" s="471" t="s">
        <v>932</v>
      </c>
      <c r="E19" s="2722"/>
      <c r="F19" s="315"/>
      <c r="G19" s="2288"/>
      <c r="H19" s="2438" t="s">
        <v>2604</v>
      </c>
      <c r="I19" s="684" t="s">
        <v>933</v>
      </c>
      <c r="J19" s="313">
        <f ca="1">IF(K19="按租金收入计税",ROUND(J5*M19,0),ROUND(C29*M19*0.7,0))</f>
        <v>0</v>
      </c>
      <c r="K19" s="1300" t="s">
        <v>2412</v>
      </c>
      <c r="L19" s="684" t="s">
        <v>364</v>
      </c>
      <c r="M19" s="707">
        <f>IF(K19="按租金收入计税",'数据-取费表'!B51,'数据-取费表'!B50)</f>
        <v>1.2E-2</v>
      </c>
    </row>
    <row r="20" spans="1:37" s="706" customFormat="1" ht="18" customHeight="1">
      <c r="A20" s="2438" t="s">
        <v>2608</v>
      </c>
      <c r="B20" s="684" t="s">
        <v>366</v>
      </c>
      <c r="C20" s="313">
        <f ca="1">ROUND(C19*F20,0)</f>
        <v>0</v>
      </c>
      <c r="D20" s="709" t="s">
        <v>934</v>
      </c>
      <c r="E20" s="684" t="s">
        <v>364</v>
      </c>
      <c r="F20" s="707">
        <f>'数据-取费表'!B37</f>
        <v>0.02</v>
      </c>
      <c r="G20" s="2289"/>
      <c r="H20" s="2438" t="s">
        <v>2605</v>
      </c>
      <c r="I20" s="496" t="s">
        <v>935</v>
      </c>
      <c r="J20" s="314">
        <f ca="1">ROUND(M20*M21,0)</f>
        <v>0</v>
      </c>
      <c r="K20" s="710" t="s">
        <v>936</v>
      </c>
      <c r="L20" s="684" t="s">
        <v>937</v>
      </c>
      <c r="M20" s="711">
        <f>'数据-取费表'!B52</f>
        <v>1.5</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8" t="s">
        <v>2609</v>
      </c>
      <c r="B21" s="684" t="s">
        <v>938</v>
      </c>
      <c r="C21" s="313" t="s">
        <v>23</v>
      </c>
      <c r="D21" s="709" t="s">
        <v>939</v>
      </c>
      <c r="E21" s="684" t="s">
        <v>940</v>
      </c>
      <c r="F21" s="707">
        <f>'数据-取费表'!B38</f>
        <v>0.02</v>
      </c>
      <c r="G21" s="2289"/>
      <c r="H21" s="712"/>
      <c r="I21" s="693"/>
      <c r="J21" s="318"/>
      <c r="K21" s="713"/>
      <c r="L21" s="684" t="s">
        <v>941</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2610</v>
      </c>
      <c r="B22" s="684" t="s">
        <v>942</v>
      </c>
      <c r="C22" s="313"/>
      <c r="D22" s="2701" t="str">
        <f>IF(F23&lt;=1,"单利计息。","复利计息。")&amp;"建造成本、管理费用、销售费用产生的利息。"</f>
        <v>复利计息。建造成本、管理费用、销售费用产生的利息。</v>
      </c>
      <c r="E22" s="2722"/>
      <c r="F22" s="315"/>
      <c r="G22" s="2288"/>
      <c r="H22" s="2438" t="s">
        <v>2379</v>
      </c>
      <c r="I22" s="684" t="s">
        <v>943</v>
      </c>
      <c r="J22" s="313">
        <f ca="1">ROUND(J14*M22,0)</f>
        <v>0</v>
      </c>
      <c r="K22" s="2720" t="s">
        <v>944</v>
      </c>
      <c r="L22" s="684" t="s">
        <v>364</v>
      </c>
      <c r="M22" s="714">
        <f ca="1">INDIRECT("'数据-取费表'!Ak"&amp;$G$1)</f>
        <v>0</v>
      </c>
    </row>
    <row r="23" spans="1:37" s="706" customFormat="1" ht="18" customHeight="1">
      <c r="A23" s="2438" t="s">
        <v>2369</v>
      </c>
      <c r="B23" s="684" t="s">
        <v>2524</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4" t="s">
        <v>945</v>
      </c>
      <c r="F23" s="711">
        <f>'数据-取费表'!B20</f>
        <v>2</v>
      </c>
      <c r="G23" s="2289"/>
      <c r="H23" s="2438" t="s">
        <v>2609</v>
      </c>
      <c r="I23" s="684" t="s">
        <v>367</v>
      </c>
      <c r="J23" s="313">
        <f ca="1">ROUND(J13*M23,0)</f>
        <v>0</v>
      </c>
      <c r="K23" s="2720" t="s">
        <v>368</v>
      </c>
      <c r="L23" s="684" t="s">
        <v>364</v>
      </c>
      <c r="M23" s="716">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8" t="s">
        <v>2375</v>
      </c>
      <c r="B24" s="684" t="s">
        <v>947</v>
      </c>
      <c r="C24" s="313">
        <f ca="1">ROUND(IF('数据-取费表'!B22&lt;=1,F21*F24*F23/2,F21*(POWER((1+F24),F23/2)-1)),4)</f>
        <v>1E-3</v>
      </c>
      <c r="D24" s="2705" t="str">
        <f>IF(F23&lt;=1,"销售费用×利率×(建设周期÷2)","销售费用×((1+利率)^(建设周期÷2)-1)")</f>
        <v>销售费用×((1+利率)^(建设周期÷2)-1)</v>
      </c>
      <c r="E24" s="684" t="s">
        <v>948</v>
      </c>
      <c r="F24" s="717">
        <f ca="1">'数据-取费表'!B40</f>
        <v>4.7500000000000001E-2</v>
      </c>
      <c r="G24" s="2289"/>
      <c r="H24" s="2678" t="s">
        <v>2610</v>
      </c>
      <c r="I24" s="2679" t="s">
        <v>366</v>
      </c>
      <c r="J24" s="2680">
        <f ca="1">ROUND(J5*M24,0)</f>
        <v>0</v>
      </c>
      <c r="K24" s="2681" t="s">
        <v>370</v>
      </c>
      <c r="L24" s="2679" t="s">
        <v>364</v>
      </c>
      <c r="M24" s="2675">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2376</v>
      </c>
      <c r="B25" s="684" t="s">
        <v>371</v>
      </c>
      <c r="C25" s="313"/>
      <c r="D25" s="471" t="s">
        <v>950</v>
      </c>
      <c r="E25" s="2722"/>
      <c r="F25" s="315"/>
      <c r="G25" s="2288"/>
      <c r="H25" s="2666" t="s">
        <v>2352</v>
      </c>
      <c r="I25" s="2683" t="s">
        <v>376</v>
      </c>
      <c r="J25" s="692">
        <f ca="1">J5-J16</f>
        <v>0</v>
      </c>
      <c r="K25" s="2684" t="s">
        <v>377</v>
      </c>
      <c r="L25" s="2685"/>
      <c r="M25" s="2686"/>
    </row>
    <row r="26" spans="1:37" ht="18" customHeight="1">
      <c r="A26" s="2438" t="s">
        <v>2369</v>
      </c>
      <c r="B26" s="684" t="s">
        <v>2525</v>
      </c>
      <c r="C26" s="313">
        <f ca="1">ROUND((C19+C20)*F26,0)</f>
        <v>0</v>
      </c>
      <c r="D26" s="709" t="s">
        <v>953</v>
      </c>
      <c r="E26" s="695" t="s">
        <v>954</v>
      </c>
      <c r="F26" s="694">
        <f ca="1">INDIRECT("'数据-取费表'!q"&amp;$G$1)</f>
        <v>0</v>
      </c>
      <c r="G26" s="2288"/>
      <c r="H26" s="681" t="s">
        <v>2355</v>
      </c>
      <c r="I26" s="682" t="s">
        <v>955</v>
      </c>
      <c r="J26" s="683">
        <f ca="1">IF(J5&lt;&gt;0,ROUND(J25*(1-((1+M28)/(1+M26))^M27)/(M26-M28),0),0)</f>
        <v>0</v>
      </c>
      <c r="K26" s="710" t="s">
        <v>372</v>
      </c>
      <c r="L26" s="684" t="s">
        <v>373</v>
      </c>
      <c r="M26" s="694">
        <f ca="1">INDIRECT("'数据-取费表'!I"&amp;$G$1)</f>
        <v>0</v>
      </c>
    </row>
    <row r="27" spans="1:37" ht="18" customHeight="1">
      <c r="A27" s="2438" t="s">
        <v>2375</v>
      </c>
      <c r="B27" s="684" t="s">
        <v>374</v>
      </c>
      <c r="C27" s="313">
        <f ca="1">ROUND(F21*F26,4)</f>
        <v>0</v>
      </c>
      <c r="D27" s="709" t="s">
        <v>957</v>
      </c>
      <c r="E27" s="704"/>
      <c r="F27" s="705"/>
      <c r="G27" s="2288"/>
      <c r="H27" s="686"/>
      <c r="I27" s="687"/>
      <c r="J27" s="688"/>
      <c r="K27" s="718" t="s">
        <v>958</v>
      </c>
      <c r="L27" s="684" t="s">
        <v>380</v>
      </c>
      <c r="M27" s="719">
        <f ca="1">INDIRECT("'数据-取费表'!ag"&amp;$G$1)</f>
        <v>0</v>
      </c>
    </row>
    <row r="28" spans="1:37" s="706" customFormat="1" ht="18" customHeight="1">
      <c r="A28" s="2438" t="s">
        <v>2377</v>
      </c>
      <c r="B28" s="684" t="s">
        <v>375</v>
      </c>
      <c r="C28" s="313">
        <f>ROUND(F28/(1+'数据-取费表'!C42),4)</f>
        <v>5.2400000000000002E-2</v>
      </c>
      <c r="D28" s="709" t="s">
        <v>964</v>
      </c>
      <c r="E28" s="684" t="s">
        <v>364</v>
      </c>
      <c r="F28" s="707">
        <f>'数据-取费表'!B41</f>
        <v>5.5000000000000007E-2</v>
      </c>
      <c r="G28" s="2289"/>
      <c r="H28" s="690"/>
      <c r="I28" s="691"/>
      <c r="J28" s="692"/>
      <c r="K28" s="713"/>
      <c r="L28" s="684" t="s">
        <v>381</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8" t="s">
        <v>2378</v>
      </c>
      <c r="B29" s="2679" t="s">
        <v>966</v>
      </c>
      <c r="C29" s="2680">
        <f ca="1">ROUND((C19+C20+C23+C26)/(1-F21-C24-C27-C28),0)</f>
        <v>0</v>
      </c>
      <c r="D29" s="2681"/>
      <c r="E29" s="2679"/>
      <c r="F29" s="2682"/>
      <c r="G29" s="2289"/>
      <c r="H29" s="720" t="s">
        <v>2362</v>
      </c>
      <c r="I29" s="721" t="s">
        <v>959</v>
      </c>
      <c r="J29" s="722">
        <f ca="1">ROUND(J26/(1+F40)^F41,0)</f>
        <v>0</v>
      </c>
      <c r="K29" s="723" t="s">
        <v>960</v>
      </c>
      <c r="L29" s="724"/>
      <c r="M29" s="725">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2337</v>
      </c>
      <c r="B30" s="2667" t="s">
        <v>924</v>
      </c>
      <c r="C30" s="692">
        <f ca="1">ROUND(C31+C36+C37+C38,0)</f>
        <v>0</v>
      </c>
      <c r="D30" s="2676" t="s">
        <v>925</v>
      </c>
      <c r="E30" s="2677"/>
      <c r="F30" s="2628"/>
      <c r="G30" s="2288"/>
      <c r="H30" s="1277"/>
      <c r="I30" s="1278"/>
      <c r="J30" s="1279"/>
      <c r="K30" s="1280"/>
      <c r="L30" s="1281"/>
      <c r="M30" s="1282"/>
    </row>
    <row r="31" spans="1:37" ht="18" customHeight="1">
      <c r="A31" s="2438" t="s">
        <v>2372</v>
      </c>
      <c r="B31" s="684" t="s">
        <v>362</v>
      </c>
      <c r="C31" s="313">
        <f ca="1">ROUND(IF(项目基本情况!B11="自然人",C5*F31,C32+C33+C34),0)</f>
        <v>0</v>
      </c>
      <c r="D31" s="2719" t="s">
        <v>928</v>
      </c>
      <c r="E31" s="2720" t="s">
        <v>967</v>
      </c>
      <c r="F31" s="708" t="str">
        <f ca="1">IF(项目基本情况!B11="企业","",IF(INDIRECT("'数据-取费表'!c"&amp;$G$1)="住宅",5%,IF(F6*F7*F8/12/(1+'数据-取费表'!C42)&gt;20000,12%,7%)))</f>
        <v/>
      </c>
      <c r="G31" s="2288"/>
      <c r="H31" s="1277"/>
      <c r="I31" s="1278"/>
      <c r="J31" s="1279"/>
      <c r="K31" s="1280"/>
      <c r="L31" s="1281"/>
      <c r="M31" s="1282"/>
    </row>
    <row r="32" spans="1:37" ht="18" customHeight="1">
      <c r="A32" s="2438" t="s">
        <v>2369</v>
      </c>
      <c r="B32" s="684" t="s">
        <v>930</v>
      </c>
      <c r="C32" s="313">
        <f ca="1">IF(项目基本情况!B11="自然人","——",ROUND(C5*F32/(1+'数据-取费表'!C42),0))</f>
        <v>0</v>
      </c>
      <c r="D32" s="2720" t="s">
        <v>931</v>
      </c>
      <c r="E32" s="684" t="s">
        <v>364</v>
      </c>
      <c r="F32" s="717">
        <f>'数据-取费表'!B41</f>
        <v>5.5000000000000007E-2</v>
      </c>
      <c r="G32" s="2288"/>
      <c r="H32" s="1283"/>
      <c r="I32" s="1284"/>
      <c r="J32" s="1285"/>
      <c r="K32" s="1286"/>
      <c r="L32" s="1287"/>
      <c r="M32" s="1288"/>
    </row>
    <row r="33" spans="1:18" ht="18" customHeight="1">
      <c r="A33" s="2438" t="s">
        <v>2604</v>
      </c>
      <c r="B33" s="684" t="s">
        <v>933</v>
      </c>
      <c r="C33" s="313">
        <f ca="1">IF(项目基本情况!B11="自然人","——",IF(D33="按租金收入计税",ROUND(C5*F33,0),IF(D33="按房产原值计税",ROUND(C29*F33*0.7,0),INDIRECT("'数据-取费表'!Aj"&amp;$G$1))))</f>
        <v>0</v>
      </c>
      <c r="D33" s="1300" t="s">
        <v>2412</v>
      </c>
      <c r="E33" s="684" t="s">
        <v>364</v>
      </c>
      <c r="F33" s="707">
        <f>IF(D33="按票据","——",IF(D33="按租金收入计税",'数据-取费表'!B51,'数据-取费表'!B50))</f>
        <v>1.2E-2</v>
      </c>
      <c r="G33" s="2288"/>
      <c r="H33" s="1289"/>
      <c r="I33" s="2881"/>
      <c r="J33" s="2882"/>
      <c r="K33" s="1290"/>
      <c r="L33" s="1289"/>
      <c r="M33" s="1289"/>
    </row>
    <row r="34" spans="1:18" ht="18" customHeight="1">
      <c r="A34" s="2622" t="s">
        <v>2605</v>
      </c>
      <c r="B34" s="496" t="s">
        <v>935</v>
      </c>
      <c r="C34" s="314">
        <f ca="1">IF(项目基本情况!B11="自然人","——",ROUND(F34*F35,))</f>
        <v>0</v>
      </c>
      <c r="D34" s="710" t="s">
        <v>936</v>
      </c>
      <c r="E34" s="684" t="s">
        <v>937</v>
      </c>
      <c r="F34" s="711">
        <f>'数据-取费表'!B52</f>
        <v>1.5</v>
      </c>
      <c r="G34" s="2288"/>
      <c r="H34" s="1277"/>
      <c r="I34" s="2881"/>
      <c r="J34" s="2882"/>
      <c r="K34" s="1291"/>
      <c r="L34" s="1292"/>
      <c r="M34" s="1292"/>
    </row>
    <row r="35" spans="1:18" ht="18" customHeight="1">
      <c r="A35" s="2696"/>
      <c r="B35" s="2694"/>
      <c r="C35" s="318"/>
      <c r="D35" s="713"/>
      <c r="E35" s="684" t="s">
        <v>941</v>
      </c>
      <c r="F35" s="685">
        <f ca="1">INDIRECT("'数据-取费表'!r"&amp;$G$1)</f>
        <v>0</v>
      </c>
      <c r="G35" s="2288"/>
      <c r="H35" s="1277"/>
      <c r="I35" s="2881"/>
      <c r="J35" s="2882"/>
      <c r="K35" s="1290"/>
      <c r="L35" s="1289"/>
      <c r="M35" s="1289"/>
    </row>
    <row r="36" spans="1:18" ht="18" customHeight="1">
      <c r="A36" s="2695" t="s">
        <v>2379</v>
      </c>
      <c r="B36" s="684" t="s">
        <v>943</v>
      </c>
      <c r="C36" s="313">
        <f ca="1">ROUND(C29*F36,0)</f>
        <v>0</v>
      </c>
      <c r="D36" s="2720" t="s">
        <v>973</v>
      </c>
      <c r="E36" s="684" t="s">
        <v>364</v>
      </c>
      <c r="F36" s="714">
        <f ca="1">INDIRECT("'数据-取费表'!Ak"&amp;$G$1)</f>
        <v>0</v>
      </c>
      <c r="G36" s="2288"/>
      <c r="H36" s="1289"/>
      <c r="I36" s="2881"/>
      <c r="J36" s="2882"/>
      <c r="K36" s="1293"/>
      <c r="L36" s="1289"/>
      <c r="M36" s="1289"/>
    </row>
    <row r="37" spans="1:18" ht="18" customHeight="1">
      <c r="A37" s="2438" t="s">
        <v>2609</v>
      </c>
      <c r="B37" s="684" t="s">
        <v>367</v>
      </c>
      <c r="C37" s="313">
        <f ca="1">ROUND(C13*F37,0)</f>
        <v>0</v>
      </c>
      <c r="D37" s="2720" t="s">
        <v>368</v>
      </c>
      <c r="E37" s="684" t="s">
        <v>364</v>
      </c>
      <c r="F37" s="716">
        <f ca="1">INDIRECT("'数据-取费表'!Al"&amp;$G$1)</f>
        <v>0</v>
      </c>
      <c r="G37" s="2288"/>
      <c r="H37" s="1289"/>
      <c r="I37" s="2881"/>
      <c r="J37" s="2882"/>
      <c r="K37" s="1293"/>
      <c r="L37" s="1289"/>
      <c r="M37" s="1289"/>
    </row>
    <row r="38" spans="1:18" ht="18" customHeight="1" thickBot="1">
      <c r="A38" s="2678" t="s">
        <v>2610</v>
      </c>
      <c r="B38" s="2679" t="s">
        <v>366</v>
      </c>
      <c r="C38" s="2680">
        <f ca="1">ROUND(C5*F38,1)</f>
        <v>0</v>
      </c>
      <c r="D38" s="2681" t="s">
        <v>370</v>
      </c>
      <c r="E38" s="2679" t="s">
        <v>364</v>
      </c>
      <c r="F38" s="2675">
        <f ca="1">INDIRECT("'数据-取费表'!Am"&amp;$G$1)</f>
        <v>0</v>
      </c>
      <c r="G38" s="2288"/>
      <c r="H38" s="1289"/>
      <c r="I38" s="2881"/>
      <c r="J38" s="2882"/>
      <c r="K38" s="1294"/>
      <c r="L38" s="1289"/>
      <c r="M38" s="1289"/>
    </row>
    <row r="39" spans="1:18" ht="24.6" customHeight="1" thickTop="1">
      <c r="A39" s="2666" t="s">
        <v>2352</v>
      </c>
      <c r="B39" s="2683" t="s">
        <v>376</v>
      </c>
      <c r="C39" s="692">
        <f ca="1">C5-C30</f>
        <v>0</v>
      </c>
      <c r="D39" s="2684" t="s">
        <v>377</v>
      </c>
      <c r="E39" s="2685"/>
      <c r="F39" s="2686"/>
      <c r="G39" s="2288"/>
      <c r="H39" s="1289"/>
      <c r="I39" s="2881"/>
      <c r="J39" s="2882"/>
      <c r="K39" s="1294"/>
      <c r="L39" s="1289"/>
      <c r="M39" s="1289"/>
    </row>
    <row r="40" spans="1:18" ht="18" customHeight="1">
      <c r="A40" s="681" t="s">
        <v>2355</v>
      </c>
      <c r="B40" s="682" t="s">
        <v>378</v>
      </c>
      <c r="C40" s="683" t="e">
        <f ca="1">ROUND(C39*(1-((1+F42)/(1+F40))^F41)/(F40-F42),0)</f>
        <v>#DIV/0!</v>
      </c>
      <c r="D40" s="710" t="s">
        <v>372</v>
      </c>
      <c r="E40" s="684" t="s">
        <v>373</v>
      </c>
      <c r="F40" s="694">
        <f ca="1">INDIRECT("'数据-取费表'!I"&amp;$G$1)</f>
        <v>0</v>
      </c>
      <c r="G40" s="2288"/>
      <c r="H40" s="1295"/>
      <c r="I40" s="2881"/>
      <c r="J40" s="2882"/>
      <c r="K40" s="1294"/>
      <c r="L40" s="1295"/>
      <c r="M40" s="1295"/>
    </row>
    <row r="41" spans="1:18" ht="18" customHeight="1">
      <c r="A41" s="686"/>
      <c r="B41" s="687"/>
      <c r="C41" s="688"/>
      <c r="D41" s="718" t="s">
        <v>379</v>
      </c>
      <c r="E41" s="684" t="s">
        <v>380</v>
      </c>
      <c r="F41" s="719">
        <f ca="1">IF(INDIRECT("'数据-取费表'!af"&amp;$G$1)=0,INDIRECT("'数据-取费表'!ae"&amp;$G$1),INDIRECT("'数据-取费表'!af"&amp;$G$1))</f>
        <v>0</v>
      </c>
      <c r="G41" s="2288"/>
      <c r="H41" s="1191"/>
      <c r="I41" s="2881"/>
      <c r="J41" s="2882"/>
      <c r="K41" s="1293"/>
      <c r="L41" s="1191"/>
      <c r="M41" s="1191"/>
    </row>
    <row r="42" spans="1:18" ht="18" customHeight="1">
      <c r="A42" s="690"/>
      <c r="B42" s="691"/>
      <c r="C42" s="692"/>
      <c r="D42" s="713"/>
      <c r="E42" s="684" t="s">
        <v>381</v>
      </c>
      <c r="F42" s="694">
        <f ca="1">INDIRECT("'数据-取费表'!v"&amp;$G$1)</f>
        <v>0</v>
      </c>
      <c r="G42" s="2288"/>
      <c r="H42" s="1191"/>
      <c r="I42" s="2881"/>
      <c r="J42" s="2882"/>
      <c r="K42" s="1293"/>
      <c r="L42" s="1191"/>
      <c r="M42" s="1191"/>
    </row>
    <row r="43" spans="1:18" ht="18" customHeight="1" thickBot="1">
      <c r="A43" s="720" t="s">
        <v>2362</v>
      </c>
      <c r="B43" s="721" t="s">
        <v>382</v>
      </c>
      <c r="C43" s="722" t="e">
        <f ca="1">ROUND(C40/F43,0)</f>
        <v>#DIV/0!</v>
      </c>
      <c r="D43" s="723" t="s">
        <v>383</v>
      </c>
      <c r="E43" s="724" t="s">
        <v>384</v>
      </c>
      <c r="F43" s="725">
        <f ca="1">INDIRECT("'数据-取费表'!k"&amp;$G$1)</f>
        <v>0</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7" t="e">
        <f ca="1">C68-C40</f>
        <v>#DIV/0!</v>
      </c>
      <c r="D45" s="2728" t="s">
        <v>2620</v>
      </c>
      <c r="E45" s="1432"/>
      <c r="F45" s="1432"/>
      <c r="O45" s="2591" t="s">
        <v>2485</v>
      </c>
      <c r="P45" s="1295"/>
      <c r="Q45" s="1295"/>
      <c r="R45" s="1295"/>
    </row>
    <row r="46" spans="1:18" s="1454" customFormat="1" ht="21" thickBot="1">
      <c r="A46" s="2396" t="s">
        <v>2324</v>
      </c>
      <c r="B46" s="2397"/>
      <c r="C46" s="2725" t="e">
        <f ca="1">ROUND(C45/10000,0)</f>
        <v>#DIV/0!</v>
      </c>
      <c r="D46" s="2726" t="str">
        <f>C2</f>
        <v>万元</v>
      </c>
      <c r="I46" s="2578" t="s">
        <v>2420</v>
      </c>
      <c r="J46" s="2579"/>
      <c r="K46" s="2580"/>
      <c r="L46" s="2582" t="e">
        <f ca="1">IF(M47="住宅",0,IF(L48&gt;J51,L60,J60))</f>
        <v>#DIV/0!</v>
      </c>
      <c r="O46" s="2594" t="s">
        <v>2463</v>
      </c>
      <c r="P46" s="2595" t="s">
        <v>2464</v>
      </c>
      <c r="Q46" s="2596" t="s">
        <v>2462</v>
      </c>
      <c r="R46" s="2596" t="s">
        <v>2465</v>
      </c>
    </row>
    <row r="47" spans="1:18" s="1454" customFormat="1" ht="15.75" thickBot="1">
      <c r="A47" s="2398" t="s">
        <v>908</v>
      </c>
      <c r="B47" s="2434" t="s">
        <v>909</v>
      </c>
      <c r="C47" s="2434" t="s">
        <v>910</v>
      </c>
      <c r="D47" s="2434" t="s">
        <v>911</v>
      </c>
      <c r="E47" s="2537" t="s">
        <v>912</v>
      </c>
      <c r="F47" s="2538"/>
      <c r="G47" s="1456"/>
      <c r="I47" s="2553" t="s">
        <v>2413</v>
      </c>
      <c r="J47" s="2554"/>
      <c r="K47" s="2563" t="s">
        <v>2436</v>
      </c>
      <c r="L47" s="2564">
        <f ca="1">INDIRECT("'数据-取费表'!d"&amp;$G$1)</f>
        <v>0</v>
      </c>
      <c r="M47" s="2584" t="str">
        <f>IF(ISNUMBER(FIND("住宅",C1)),"住宅","非住宅")</f>
        <v>非住宅</v>
      </c>
      <c r="O47" s="2587" t="s">
        <v>2448</v>
      </c>
      <c r="P47" s="2597" t="s">
        <v>2466</v>
      </c>
      <c r="Q47" s="2588" t="e">
        <f ca="1">C40+J29</f>
        <v>#DIV/0!</v>
      </c>
      <c r="R47" s="2588" t="s">
        <v>2467</v>
      </c>
    </row>
    <row r="48" spans="1:18" s="1454" customFormat="1" ht="47.25" thickBot="1">
      <c r="A48" s="2711" t="s">
        <v>2615</v>
      </c>
      <c r="B48" s="682" t="s">
        <v>2331</v>
      </c>
      <c r="C48" s="2721">
        <f ca="1">C49+C53+C55</f>
        <v>0</v>
      </c>
      <c r="D48" s="2715"/>
      <c r="E48" s="2716"/>
      <c r="F48" s="2418"/>
      <c r="G48" s="1456"/>
      <c r="H48" s="1457"/>
      <c r="I48" s="2544" t="s">
        <v>2414</v>
      </c>
      <c r="J48" s="2555"/>
      <c r="K48" s="2565" t="s">
        <v>682</v>
      </c>
      <c r="L48" s="2168">
        <f ca="1">INDIRECT("'数据-取费表'!f"&amp;$G$1)</f>
        <v>0</v>
      </c>
      <c r="O48" s="2587" t="s">
        <v>2449</v>
      </c>
      <c r="P48" s="2597" t="s">
        <v>2468</v>
      </c>
      <c r="Q48" s="2588" t="e">
        <f ca="1">J60</f>
        <v>#DIV/0!</v>
      </c>
      <c r="R48" s="2588" t="s">
        <v>2476</v>
      </c>
    </row>
    <row r="49" spans="1:18" s="1454" customFormat="1" ht="15.75" thickBot="1">
      <c r="A49" s="2431" t="s">
        <v>2616</v>
      </c>
      <c r="B49" s="2714" t="s">
        <v>2618</v>
      </c>
      <c r="C49" s="2723">
        <f ca="1">ROUND(F49*F51*F50*(1-F52),0)</f>
        <v>0</v>
      </c>
      <c r="D49" s="2533" t="s">
        <v>2332</v>
      </c>
      <c r="E49" s="2536" t="s">
        <v>2325</v>
      </c>
      <c r="F49" s="2539"/>
      <c r="G49" s="1458"/>
      <c r="H49" s="1457"/>
      <c r="I49" s="2544" t="s">
        <v>2434</v>
      </c>
      <c r="J49" s="2556"/>
      <c r="K49" s="2566" t="s">
        <v>2439</v>
      </c>
      <c r="L49" s="2567"/>
      <c r="O49" s="2589" t="s">
        <v>2450</v>
      </c>
      <c r="P49" s="2597" t="s">
        <v>2469</v>
      </c>
      <c r="Q49" s="2588">
        <f ca="1">C29</f>
        <v>0</v>
      </c>
      <c r="R49" s="2588" t="s">
        <v>2467</v>
      </c>
    </row>
    <row r="50" spans="1:18" s="1454" customFormat="1" ht="15.75" thickBot="1">
      <c r="A50" s="2432"/>
      <c r="B50" s="2435"/>
      <c r="C50" s="2436"/>
      <c r="D50" s="2405"/>
      <c r="E50" s="2534" t="s">
        <v>914</v>
      </c>
      <c r="F50" s="2535">
        <f ca="1">F7</f>
        <v>0</v>
      </c>
      <c r="H50" s="1457"/>
      <c r="I50" s="2544" t="s">
        <v>2416</v>
      </c>
      <c r="J50" s="2557">
        <f>SUMPRODUCT((I63:I65=J47)*(J62:L62=J48)*(J63:L65))</f>
        <v>0</v>
      </c>
      <c r="K50" s="2566" t="s">
        <v>2440</v>
      </c>
      <c r="L50" s="2567"/>
      <c r="M50" s="2561"/>
      <c r="O50" s="2589" t="s">
        <v>2451</v>
      </c>
      <c r="P50" s="2597" t="s">
        <v>2477</v>
      </c>
      <c r="Q50" s="2590" t="e">
        <f ca="1">J58</f>
        <v>#DIV/0!</v>
      </c>
      <c r="R50" s="2588"/>
    </row>
    <row r="51" spans="1:18" s="1454" customFormat="1" ht="15.75" thickBot="1">
      <c r="A51" s="2433"/>
      <c r="B51" s="2435"/>
      <c r="C51" s="2436"/>
      <c r="D51" s="2405"/>
      <c r="E51" s="2437" t="s">
        <v>915</v>
      </c>
      <c r="F51" s="685">
        <f ca="1">F8</f>
        <v>0</v>
      </c>
      <c r="I51" s="2558" t="s">
        <v>2421</v>
      </c>
      <c r="J51" s="2559">
        <f>IF(J49="",J50,J49+J50-YEAR('数据-取费表'!B2))</f>
        <v>0</v>
      </c>
      <c r="K51" s="2568" t="s">
        <v>2441</v>
      </c>
      <c r="L51" s="2581">
        <f ca="1">ROUND(-PV(INDIRECT("'数据-取费表'!h"&amp;$G$1),L48,(C39-C13*C76),0),0)</f>
        <v>0</v>
      </c>
      <c r="M51" s="2562"/>
      <c r="O51" s="2589" t="s">
        <v>2452</v>
      </c>
      <c r="P51" s="2597" t="s">
        <v>2478</v>
      </c>
      <c r="Q51" s="2590">
        <f>J52</f>
        <v>0</v>
      </c>
      <c r="R51" s="2588"/>
    </row>
    <row r="52" spans="1:18" s="1454" customFormat="1" ht="15.75" thickBot="1">
      <c r="A52" s="2433"/>
      <c r="B52" s="2435"/>
      <c r="C52" s="2436"/>
      <c r="D52" s="2405"/>
      <c r="E52" s="2437" t="s">
        <v>916</v>
      </c>
      <c r="F52" s="2532"/>
      <c r="I52" s="2560" t="s">
        <v>2444</v>
      </c>
      <c r="J52" s="2574"/>
      <c r="K52" s="2560" t="s">
        <v>2429</v>
      </c>
      <c r="L52" s="2574"/>
      <c r="M52" s="2397"/>
      <c r="O52" s="2589" t="s">
        <v>2453</v>
      </c>
      <c r="P52" s="2597" t="s">
        <v>2470</v>
      </c>
      <c r="Q52" s="2588">
        <f ca="1">J53</f>
        <v>0</v>
      </c>
      <c r="R52" s="2588" t="s">
        <v>2471</v>
      </c>
    </row>
    <row r="53" spans="1:18" s="1454" customFormat="1" ht="43.5" thickBot="1">
      <c r="A53" s="2712" t="s">
        <v>2617</v>
      </c>
      <c r="B53" s="2713" t="s">
        <v>2527</v>
      </c>
      <c r="C53" s="698">
        <f ca="1">ROUND(IF(F53="押一",F49*F51*F50/12*F11,IF(F53="押二",F49*F51*F50/12*2*F11,IF(F53="押三",F49*F51*F50/12*3*F11,C54*F11))),0)</f>
        <v>0</v>
      </c>
      <c r="D53" s="2634" t="s">
        <v>2535</v>
      </c>
      <c r="E53" s="2097" t="s">
        <v>2529</v>
      </c>
      <c r="F53" s="2828"/>
      <c r="I53" s="2570" t="s">
        <v>2446</v>
      </c>
      <c r="J53" s="2571">
        <f ca="1">IF(M47="住宅",J51,MIN(J51,L48))</f>
        <v>0</v>
      </c>
      <c r="K53" s="3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4"/>
      <c r="O53" s="2587" t="s">
        <v>2454</v>
      </c>
      <c r="P53" s="2597" t="s">
        <v>2472</v>
      </c>
      <c r="Q53" s="2588" t="e">
        <f ca="1">Q47+Q48</f>
        <v>#DIV/0!</v>
      </c>
      <c r="R53" s="2588" t="s">
        <v>2455</v>
      </c>
    </row>
    <row r="54" spans="1:18" s="1454" customFormat="1" ht="16.5" thickBot="1">
      <c r="A54" s="2431"/>
      <c r="B54" s="2825" t="s">
        <v>2692</v>
      </c>
      <c r="C54" s="2415"/>
      <c r="D54" s="2634"/>
      <c r="E54" s="2778"/>
      <c r="F54" s="2540"/>
      <c r="I54" s="2412"/>
      <c r="J54" s="2569"/>
      <c r="K54" s="2569"/>
      <c r="L54" s="2569"/>
      <c r="M54" s="1458"/>
      <c r="O54" s="2591" t="s">
        <v>2479</v>
      </c>
      <c r="P54" s="1295"/>
      <c r="Q54" s="1295"/>
      <c r="R54" s="1295"/>
    </row>
    <row r="55" spans="1:18" s="1454" customFormat="1" ht="15.75" thickBot="1">
      <c r="A55" s="2670" t="s">
        <v>2540</v>
      </c>
      <c r="B55" s="2671" t="s">
        <v>2528</v>
      </c>
      <c r="C55" s="2672"/>
      <c r="D55" s="2634"/>
      <c r="E55" s="2717"/>
      <c r="F55" s="2540"/>
      <c r="I55" s="3317" t="s">
        <v>2422</v>
      </c>
      <c r="J55" s="3316" t="e">
        <f ca="1">ROUND(IF(J47="钢混",J57/J50,1-(1-2%)*(J50-J57)/J50),3)</f>
        <v>#DIV/0!</v>
      </c>
      <c r="K55" s="2551" t="s">
        <v>2423</v>
      </c>
      <c r="L55" s="2573"/>
      <c r="O55" s="2594" t="s">
        <v>2463</v>
      </c>
      <c r="P55" s="2595" t="s">
        <v>2464</v>
      </c>
      <c r="Q55" s="2596" t="s">
        <v>2462</v>
      </c>
      <c r="R55" s="2596" t="s">
        <v>2465</v>
      </c>
    </row>
    <row r="56" spans="1:18" s="1454" customFormat="1" ht="44.25" thickTop="1" thickBot="1">
      <c r="A56" s="2409">
        <v>2</v>
      </c>
      <c r="B56" s="2410" t="s">
        <v>917</v>
      </c>
      <c r="C56" s="608">
        <f ca="1">C13</f>
        <v>0</v>
      </c>
      <c r="D56" s="2698"/>
      <c r="E56" s="2411"/>
      <c r="F56" s="2540"/>
      <c r="I56" s="2543" t="s">
        <v>2424</v>
      </c>
      <c r="J56" s="2572"/>
      <c r="K56" s="2544" t="s">
        <v>2428</v>
      </c>
      <c r="L56" s="2168">
        <f ca="1">IF(L48&lt;J51,"——",L48-J51)</f>
        <v>0</v>
      </c>
      <c r="O56" s="2587" t="s">
        <v>2448</v>
      </c>
      <c r="P56" s="2597" t="s">
        <v>2466</v>
      </c>
      <c r="Q56" s="2588" t="e">
        <f ca="1">C40+J29</f>
        <v>#DIV/0!</v>
      </c>
      <c r="R56" s="2588" t="s">
        <v>2467</v>
      </c>
    </row>
    <row r="57" spans="1:18" s="1454" customFormat="1" ht="29.25" thickBot="1">
      <c r="A57" s="2541"/>
      <c r="B57" s="2402" t="s">
        <v>966</v>
      </c>
      <c r="C57" s="614">
        <f ca="1">C29</f>
        <v>0</v>
      </c>
      <c r="D57" s="2413"/>
      <c r="E57" s="2414"/>
      <c r="F57" s="2542"/>
      <c r="I57" s="2545" t="s">
        <v>2445</v>
      </c>
      <c r="J57" s="2549">
        <f ca="1">IF(OR(M47="住宅",J51&lt;L48,J56="是"),"——",J51-L48)</f>
        <v>0</v>
      </c>
      <c r="K57" s="2544" t="s">
        <v>2438</v>
      </c>
      <c r="L57" s="2168">
        <f ca="1">IF(L48&lt;J51,"——",IF(L55="比较法",L49,IF(L55="基准地价",L50,L51)))</f>
        <v>0</v>
      </c>
      <c r="O57" s="2587" t="s">
        <v>2449</v>
      </c>
      <c r="P57" s="2597" t="s">
        <v>2473</v>
      </c>
      <c r="Q57" s="2588" t="e">
        <f ca="1">L60</f>
        <v>#DIV/0!</v>
      </c>
      <c r="R57" s="2588" t="s">
        <v>2488</v>
      </c>
    </row>
    <row r="58" spans="1:18" s="1454" customFormat="1" ht="29.25" thickBot="1">
      <c r="A58" s="697" t="s">
        <v>2337</v>
      </c>
      <c r="B58" s="2410" t="s">
        <v>924</v>
      </c>
      <c r="C58" s="698">
        <f ca="1">ROUND(C59+C64+C65+C66,0)</f>
        <v>0</v>
      </c>
      <c r="D58" s="2416" t="s">
        <v>925</v>
      </c>
      <c r="E58" s="2417"/>
      <c r="F58" s="2418"/>
      <c r="I58" s="2545" t="s">
        <v>2425</v>
      </c>
      <c r="J58" s="3318" t="e">
        <f ca="1">IF(J55&lt;0.4,0.4,J55)</f>
        <v>#DIV/0!</v>
      </c>
      <c r="K58" s="2568" t="s">
        <v>2447</v>
      </c>
      <c r="L58" s="2168">
        <f ca="1">IF(ISERROR(POWER(1+L52,L47-L48)*(POWER(1+L52,L48)-1)/(POWER(1+L52,L47)-1)),0,POWER(1+L52,L47-L48)*(POWER(1+L52,L48)-1)/(POWER(1+L52,L47)-1))</f>
        <v>0</v>
      </c>
      <c r="O58" s="2589" t="s">
        <v>2450</v>
      </c>
      <c r="P58" s="2597" t="s">
        <v>2480</v>
      </c>
      <c r="Q58" s="2588">
        <f>IF(L55="比较法",L49,IF(L55="基准地价",L50,0))</f>
        <v>0</v>
      </c>
      <c r="R58" s="2588" t="s">
        <v>2467</v>
      </c>
    </row>
    <row r="59" spans="1:18" s="1454" customFormat="1" ht="29.25" thickBot="1">
      <c r="A59" s="2438" t="s">
        <v>2372</v>
      </c>
      <c r="B59" s="2402" t="s">
        <v>362</v>
      </c>
      <c r="C59" s="313">
        <f ca="1">ROUND(IF(项目基本情况!B11="自然人",C48*F59,C60+C61+C62),0)</f>
        <v>0</v>
      </c>
      <c r="D59" s="2419" t="s">
        <v>928</v>
      </c>
      <c r="E59" s="2420" t="s">
        <v>929</v>
      </c>
      <c r="F59" s="708" t="str">
        <f ca="1">IF(项目基本情况!B11="企业","",IF(INDIRECT("'数据-取费表'!c"&amp;$G$1)="住宅",5%,IF(F49*F50*F51/12/(1+'数据-取费表'!C42)&gt;20000,12%,7%)))</f>
        <v/>
      </c>
      <c r="I59" s="2545" t="s">
        <v>2426</v>
      </c>
      <c r="J59" s="2549" t="e">
        <f ca="1">IF(OR(M47="住宅",J51&lt;L48,J56="是"),"——",ROUND(C29*J58,0))</f>
        <v>#DIV/0!</v>
      </c>
      <c r="K59" s="2568" t="s">
        <v>2435</v>
      </c>
      <c r="L59" s="2168">
        <f ca="1">IF(ISERROR(POWER(1+L52,L47-J51)*(POWER(1+L52,J51)-1)/(POWER(1+L52,L47)-1)),0,POWER(1+L52,L47-J51)*(POWER(1+L52,J51)-1)/(POWER(1+L52,L47)-1))</f>
        <v>0</v>
      </c>
      <c r="O59" s="2589" t="s">
        <v>2451</v>
      </c>
      <c r="P59" s="2597" t="s">
        <v>2481</v>
      </c>
      <c r="Q59" s="2590">
        <f>L52</f>
        <v>0</v>
      </c>
      <c r="R59" s="2588"/>
    </row>
    <row r="60" spans="1:18" s="1454" customFormat="1" ht="20.25" thickBot="1">
      <c r="A60" s="2438" t="s">
        <v>2369</v>
      </c>
      <c r="B60" s="2402" t="s">
        <v>930</v>
      </c>
      <c r="C60" s="313">
        <f ca="1">IF(项目基本情况!B11="自然人","——",ROUND(C48*F60/(1+'数据-取费表'!C42),0))</f>
        <v>0</v>
      </c>
      <c r="D60" s="2420" t="s">
        <v>931</v>
      </c>
      <c r="E60" s="2402" t="s">
        <v>364</v>
      </c>
      <c r="F60" s="717">
        <f t="shared" ref="F60:F66" si="0">F32</f>
        <v>5.5000000000000007E-2</v>
      </c>
      <c r="I60" s="2546" t="s">
        <v>2427</v>
      </c>
      <c r="J60" s="2550" t="e">
        <f ca="1">IF(OR(M47="住宅",J51&lt;L48,J56="是"),"0",ROUND(J59/(1+J52)^J53,0))</f>
        <v>#DIV/0!</v>
      </c>
      <c r="K60" s="2552" t="s">
        <v>2430</v>
      </c>
      <c r="L60" s="2550" t="e">
        <f ca="1">IF(OR(M47="住宅",L48&lt;J51),0,ROUND(L57*(L58/L59-1),0))</f>
        <v>#DIV/0!</v>
      </c>
      <c r="O60" s="2589" t="s">
        <v>2452</v>
      </c>
      <c r="P60" s="2597" t="s">
        <v>2482</v>
      </c>
      <c r="Q60" s="2588">
        <f ca="1">L58</f>
        <v>0</v>
      </c>
      <c r="R60" s="2588" t="s">
        <v>2457</v>
      </c>
    </row>
    <row r="61" spans="1:18" s="1454" customFormat="1" ht="20.25" thickBot="1">
      <c r="A61" s="2438" t="s">
        <v>2370</v>
      </c>
      <c r="B61" s="2402" t="s">
        <v>933</v>
      </c>
      <c r="C61" s="313">
        <f ca="1">IF(项目基本情况!B11="自然人","——",IF(D61="按租金收入计税",ROUND(C48*F61,0),IF(D61="按房产原值计税",ROUND(C57*F61*0.7,0),INDIRECT("'数据-取费表'!Aj"&amp;$G$1))))</f>
        <v>0</v>
      </c>
      <c r="D61" s="1300" t="s">
        <v>2412</v>
      </c>
      <c r="E61" s="2402" t="s">
        <v>364</v>
      </c>
      <c r="F61" s="707">
        <f t="shared" si="0"/>
        <v>1.2E-2</v>
      </c>
      <c r="I61" s="2412"/>
      <c r="J61" s="2412"/>
      <c r="K61" s="2412"/>
      <c r="L61" s="2412"/>
      <c r="O61" s="2589" t="s">
        <v>2453</v>
      </c>
      <c r="P61" s="2597" t="s">
        <v>2483</v>
      </c>
      <c r="Q61" s="2588">
        <f ca="1">L59</f>
        <v>0</v>
      </c>
      <c r="R61" s="2588" t="s">
        <v>2458</v>
      </c>
    </row>
    <row r="62" spans="1:18" s="1454" customFormat="1" ht="15.75" thickBot="1">
      <c r="A62" s="2438" t="s">
        <v>2371</v>
      </c>
      <c r="B62" s="2401" t="s">
        <v>935</v>
      </c>
      <c r="C62" s="314">
        <f ca="1">IF(项目基本情况!B11="自然人","——",ROUND(F62*F63,0))</f>
        <v>0</v>
      </c>
      <c r="D62" s="2421" t="s">
        <v>936</v>
      </c>
      <c r="E62" s="2402" t="s">
        <v>937</v>
      </c>
      <c r="F62" s="711">
        <f t="shared" si="0"/>
        <v>1.5</v>
      </c>
      <c r="I62" s="2547" t="s">
        <v>2417</v>
      </c>
      <c r="J62" s="2548" t="s">
        <v>2418</v>
      </c>
      <c r="K62" s="2548" t="s">
        <v>2419</v>
      </c>
      <c r="L62" s="2548" t="s">
        <v>2415</v>
      </c>
      <c r="M62" s="3319" t="s">
        <v>3035</v>
      </c>
      <c r="O62" s="2587" t="s">
        <v>2454</v>
      </c>
      <c r="P62" s="2597" t="s">
        <v>2472</v>
      </c>
      <c r="Q62" s="2588" t="e">
        <f ca="1">Q56+Q57</f>
        <v>#DIV/0!</v>
      </c>
      <c r="R62" s="2588" t="s">
        <v>2455</v>
      </c>
    </row>
    <row r="63" spans="1:18" s="1454" customFormat="1" ht="16.5" thickBot="1">
      <c r="A63" s="712"/>
      <c r="B63" s="2408"/>
      <c r="C63" s="318"/>
      <c r="D63" s="2422"/>
      <c r="E63" s="2402" t="s">
        <v>941</v>
      </c>
      <c r="F63" s="685">
        <f t="shared" ca="1" si="0"/>
        <v>0</v>
      </c>
      <c r="I63" s="2547" t="s">
        <v>2431</v>
      </c>
      <c r="J63" s="3322">
        <v>70</v>
      </c>
      <c r="K63" s="3322">
        <v>50</v>
      </c>
      <c r="L63" s="3322">
        <v>80</v>
      </c>
      <c r="M63" s="3320">
        <v>0.02</v>
      </c>
      <c r="O63" s="2591" t="s">
        <v>2486</v>
      </c>
      <c r="P63" s="1295"/>
      <c r="Q63" s="1295"/>
      <c r="R63" s="1295"/>
    </row>
    <row r="64" spans="1:18" s="1454" customFormat="1" ht="15.75" thickBot="1">
      <c r="A64" s="2438" t="s">
        <v>2379</v>
      </c>
      <c r="B64" s="2402" t="s">
        <v>943</v>
      </c>
      <c r="C64" s="313">
        <f ca="1">ROUND(C57*F64,0)</f>
        <v>0</v>
      </c>
      <c r="D64" s="2420" t="s">
        <v>973</v>
      </c>
      <c r="E64" s="2402" t="s">
        <v>364</v>
      </c>
      <c r="F64" s="714">
        <f t="shared" ca="1" si="0"/>
        <v>0</v>
      </c>
      <c r="I64" s="2547" t="s">
        <v>107</v>
      </c>
      <c r="J64" s="3322">
        <v>50</v>
      </c>
      <c r="K64" s="3322">
        <v>35</v>
      </c>
      <c r="L64" s="3322">
        <v>60</v>
      </c>
      <c r="M64" s="3321">
        <v>0</v>
      </c>
      <c r="O64" s="2594" t="s">
        <v>2463</v>
      </c>
      <c r="P64" s="2595" t="s">
        <v>2464</v>
      </c>
      <c r="Q64" s="2596" t="s">
        <v>2462</v>
      </c>
      <c r="R64" s="2596" t="s">
        <v>2465</v>
      </c>
    </row>
    <row r="65" spans="1:18" s="1454" customFormat="1" ht="15.75" thickBot="1">
      <c r="A65" s="2438" t="s">
        <v>2373</v>
      </c>
      <c r="B65" s="2402" t="s">
        <v>367</v>
      </c>
      <c r="C65" s="313">
        <f ca="1">ROUND(C56*F65,0)</f>
        <v>0</v>
      </c>
      <c r="D65" s="2420" t="s">
        <v>368</v>
      </c>
      <c r="E65" s="2402" t="s">
        <v>364</v>
      </c>
      <c r="F65" s="716">
        <f t="shared" ca="1" si="0"/>
        <v>0</v>
      </c>
      <c r="I65" s="2547" t="s">
        <v>2433</v>
      </c>
      <c r="J65" s="3322">
        <v>40</v>
      </c>
      <c r="K65" s="3322">
        <v>30</v>
      </c>
      <c r="L65" s="3322">
        <v>50</v>
      </c>
      <c r="M65" s="3320">
        <v>0.02</v>
      </c>
      <c r="O65" s="2587" t="s">
        <v>2448</v>
      </c>
      <c r="P65" s="2597" t="s">
        <v>2466</v>
      </c>
      <c r="Q65" s="2588" t="e">
        <f ca="1">C40+J29</f>
        <v>#DIV/0!</v>
      </c>
      <c r="R65" s="2588" t="s">
        <v>2467</v>
      </c>
    </row>
    <row r="66" spans="1:18" s="1454" customFormat="1" ht="20.25" thickBot="1">
      <c r="A66" s="2438" t="s">
        <v>2374</v>
      </c>
      <c r="B66" s="2402" t="s">
        <v>366</v>
      </c>
      <c r="C66" s="313">
        <f ca="1">ROUND(C48*F66,0)</f>
        <v>0</v>
      </c>
      <c r="D66" s="2420" t="s">
        <v>370</v>
      </c>
      <c r="E66" s="2402" t="s">
        <v>364</v>
      </c>
      <c r="F66" s="694">
        <f t="shared" ca="1" si="0"/>
        <v>0</v>
      </c>
      <c r="O66" s="2587" t="s">
        <v>2449</v>
      </c>
      <c r="P66" s="2597" t="s">
        <v>2473</v>
      </c>
      <c r="Q66" s="2588" t="e">
        <f ca="1">L60</f>
        <v>#DIV/0!</v>
      </c>
      <c r="R66" s="2588" t="s">
        <v>2456</v>
      </c>
    </row>
    <row r="67" spans="1:18" s="1454" customFormat="1" ht="24.75" thickBot="1">
      <c r="A67" s="2409" t="s">
        <v>2352</v>
      </c>
      <c r="B67" s="2423" t="s">
        <v>376</v>
      </c>
      <c r="C67" s="698">
        <f ca="1">C48-C58</f>
        <v>0</v>
      </c>
      <c r="D67" s="2419" t="s">
        <v>377</v>
      </c>
      <c r="E67" s="2424"/>
      <c r="F67" s="2425"/>
      <c r="O67" s="2589" t="s">
        <v>2450</v>
      </c>
      <c r="P67" s="2597" t="s">
        <v>2480</v>
      </c>
      <c r="Q67" s="2592">
        <f ca="1">L51</f>
        <v>0</v>
      </c>
      <c r="R67" s="2593" t="s">
        <v>2490</v>
      </c>
    </row>
    <row r="68" spans="1:18" s="1454" customFormat="1" ht="20.25" thickBot="1">
      <c r="A68" s="2399" t="s">
        <v>2355</v>
      </c>
      <c r="B68" s="2400" t="s">
        <v>378</v>
      </c>
      <c r="C68" s="683" t="e">
        <f ca="1">ROUND(C67*(1-((1+F70)/(1+F68))^F69)/(F68-F70),0)</f>
        <v>#DIV/0!</v>
      </c>
      <c r="D68" s="2421" t="s">
        <v>372</v>
      </c>
      <c r="E68" s="2402" t="s">
        <v>373</v>
      </c>
      <c r="F68" s="694">
        <f ca="1">F40</f>
        <v>0</v>
      </c>
      <c r="O68" s="2589" t="s">
        <v>2451</v>
      </c>
      <c r="P68" s="2598" t="s">
        <v>2484</v>
      </c>
      <c r="Q68" s="2588">
        <f ca="1">ROUND(Q69-Q70*Q71,0)</f>
        <v>0</v>
      </c>
      <c r="R68" s="2588" t="s">
        <v>2489</v>
      </c>
    </row>
    <row r="69" spans="1:18" s="1454" customFormat="1" ht="15.75" thickBot="1">
      <c r="A69" s="2403"/>
      <c r="B69" s="2404"/>
      <c r="C69" s="688"/>
      <c r="D69" s="2426" t="s">
        <v>958</v>
      </c>
      <c r="E69" s="2402" t="s">
        <v>380</v>
      </c>
      <c r="F69" s="719">
        <f ca="1">F41</f>
        <v>0</v>
      </c>
      <c r="O69" s="2589" t="s">
        <v>2459</v>
      </c>
      <c r="P69" s="2598" t="s">
        <v>2474</v>
      </c>
      <c r="Q69" s="2588">
        <f ca="1">C39</f>
        <v>0</v>
      </c>
      <c r="R69" s="2588" t="s">
        <v>2467</v>
      </c>
    </row>
    <row r="70" spans="1:18" s="1454" customFormat="1" ht="15.75" thickBot="1">
      <c r="A70" s="2406"/>
      <c r="B70" s="2407"/>
      <c r="C70" s="692"/>
      <c r="D70" s="2422"/>
      <c r="E70" s="2402" t="s">
        <v>381</v>
      </c>
      <c r="F70" s="2532">
        <f ca="1">F42</f>
        <v>0</v>
      </c>
      <c r="O70" s="2589" t="s">
        <v>2460</v>
      </c>
      <c r="P70" s="2598" t="s">
        <v>2475</v>
      </c>
      <c r="Q70" s="2588">
        <f ca="1">C13</f>
        <v>0</v>
      </c>
      <c r="R70" s="2588" t="s">
        <v>2467</v>
      </c>
    </row>
    <row r="71" spans="1:18" s="1454" customFormat="1" ht="15.75" thickBot="1">
      <c r="A71" s="2427" t="s">
        <v>2362</v>
      </c>
      <c r="B71" s="2428" t="s">
        <v>382</v>
      </c>
      <c r="C71" s="722" t="e">
        <f ca="1">ROUND(C68/F71,0)</f>
        <v>#DIV/0!</v>
      </c>
      <c r="D71" s="2429" t="s">
        <v>383</v>
      </c>
      <c r="E71" s="2430" t="s">
        <v>384</v>
      </c>
      <c r="F71" s="725">
        <f ca="1">F43</f>
        <v>0</v>
      </c>
      <c r="I71" s="2397"/>
      <c r="K71" s="2397"/>
      <c r="O71" s="2589" t="s">
        <v>2461</v>
      </c>
      <c r="P71" s="2598" t="s">
        <v>2487</v>
      </c>
      <c r="Q71" s="2590">
        <f ca="1">C76</f>
        <v>0</v>
      </c>
      <c r="R71" s="2588"/>
    </row>
    <row r="72" spans="1:18" s="1454" customFormat="1" ht="15.75" thickBot="1">
      <c r="B72" s="1459"/>
      <c r="C72" s="1459"/>
      <c r="I72" s="2397"/>
      <c r="O72" s="2589" t="s">
        <v>2452</v>
      </c>
      <c r="P72" s="2597" t="s">
        <v>2481</v>
      </c>
      <c r="Q72" s="2590">
        <f>L52</f>
        <v>0</v>
      </c>
      <c r="R72" s="2588"/>
    </row>
    <row r="73" spans="1:18" ht="20.25" thickBot="1">
      <c r="A73" s="1454"/>
      <c r="B73" s="1459"/>
      <c r="C73" s="1459"/>
      <c r="D73" s="1454"/>
      <c r="E73" s="1454"/>
      <c r="F73" s="1454"/>
      <c r="I73" s="2583"/>
      <c r="O73" s="2589" t="s">
        <v>2453</v>
      </c>
      <c r="P73" s="2597" t="s">
        <v>2482</v>
      </c>
      <c r="Q73" s="2588">
        <f ca="1">L58</f>
        <v>0</v>
      </c>
      <c r="R73" s="2588" t="s">
        <v>2457</v>
      </c>
    </row>
    <row r="74" spans="1:18" ht="20.25" thickBot="1">
      <c r="A74" s="1454"/>
      <c r="B74" s="727" t="s">
        <v>385</v>
      </c>
      <c r="C74" s="728"/>
      <c r="D74" s="1454"/>
      <c r="E74" s="1454"/>
      <c r="F74" s="1454"/>
      <c r="O74" s="2589" t="s">
        <v>2491</v>
      </c>
      <c r="P74" s="2597" t="s">
        <v>2483</v>
      </c>
      <c r="Q74" s="2588">
        <f ca="1">L59</f>
        <v>0</v>
      </c>
      <c r="R74" s="2588" t="s">
        <v>2458</v>
      </c>
    </row>
    <row r="75" spans="1:18" ht="15.75" thickBot="1">
      <c r="A75" s="1454"/>
      <c r="B75" s="729" t="s">
        <v>971</v>
      </c>
      <c r="C75" s="730">
        <f ca="1">ROUND(C13*C76,0)</f>
        <v>0</v>
      </c>
      <c r="D75" s="1454"/>
      <c r="E75" s="1454"/>
      <c r="F75" s="1454"/>
      <c r="K75" s="1455"/>
      <c r="L75" s="1454"/>
      <c r="O75" s="2587" t="s">
        <v>2454</v>
      </c>
      <c r="P75" s="2597" t="s">
        <v>2472</v>
      </c>
      <c r="Q75" s="2588" t="e">
        <f ca="1">Q65+Q66</f>
        <v>#DIV/0!</v>
      </c>
      <c r="R75" s="2588" t="s">
        <v>2455</v>
      </c>
    </row>
    <row r="76" spans="1:18">
      <c r="B76" s="731" t="s">
        <v>972</v>
      </c>
      <c r="C76" s="732">
        <f ca="1">INDIRECT("'数据-取费表'!j"&amp;$G$1)</f>
        <v>0</v>
      </c>
      <c r="I76" s="1454"/>
      <c r="J76" s="1454"/>
      <c r="K76" s="1455"/>
      <c r="L76" s="1454"/>
    </row>
    <row r="77" spans="1:18">
      <c r="B77" s="733" t="s">
        <v>975</v>
      </c>
      <c r="C77" s="734"/>
      <c r="I77" s="1454"/>
      <c r="J77" s="1454"/>
      <c r="K77" s="1455"/>
      <c r="L77" s="1454"/>
    </row>
    <row r="78" spans="1:18">
      <c r="B78" s="646" t="s">
        <v>961</v>
      </c>
      <c r="C78" s="735"/>
    </row>
    <row r="79" spans="1:18">
      <c r="B79" s="2873" t="s">
        <v>2699</v>
      </c>
      <c r="C79" s="650" t="e">
        <f ca="1">1-C80</f>
        <v>#DIV/0!</v>
      </c>
    </row>
    <row r="80" spans="1:18">
      <c r="B80" s="2873" t="s">
        <v>2700</v>
      </c>
      <c r="C80" s="650" t="e">
        <f ca="1">ROUND(C75/C39,3)</f>
        <v>#DIV/0!</v>
      </c>
    </row>
    <row r="81" spans="2:3">
      <c r="B81" s="646" t="s">
        <v>386</v>
      </c>
      <c r="C81" s="647"/>
    </row>
    <row r="82" spans="2:3">
      <c r="B82" s="2872" t="s">
        <v>2697</v>
      </c>
      <c r="C82" s="651" t="e">
        <f ca="1">1-C83</f>
        <v>#DIV/0!</v>
      </c>
    </row>
    <row r="83" spans="2:3">
      <c r="B83" s="2872" t="s">
        <v>2696</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2670</v>
      </c>
      <c r="B1" s="2784"/>
      <c r="C1" s="2784"/>
      <c r="D1" s="2784"/>
      <c r="E1" s="2785"/>
    </row>
    <row r="2" spans="1:6" ht="14.25">
      <c r="A2" s="2786" t="s">
        <v>2671</v>
      </c>
      <c r="B2" s="2780">
        <f ca="1">SUMIF(B6:B13,"&lt;&gt;#ref!",B6:B13)</f>
        <v>32607</v>
      </c>
      <c r="C2" s="2781" t="s">
        <v>2668</v>
      </c>
      <c r="D2" s="2782" t="s">
        <v>2673</v>
      </c>
      <c r="E2" s="2790">
        <f>SUM(E6:E13)</f>
        <v>12736.12000000001</v>
      </c>
    </row>
    <row r="3" spans="1:6" ht="14.25">
      <c r="A3" s="2786" t="s">
        <v>2672</v>
      </c>
      <c r="B3" s="2780">
        <f ca="1">ROUND(B2*10000/E2,0)</f>
        <v>25602</v>
      </c>
      <c r="C3" s="2781" t="s">
        <v>2669</v>
      </c>
      <c r="D3" s="2787"/>
      <c r="E3" s="2791"/>
    </row>
    <row r="4" spans="1:6" ht="14.25">
      <c r="A4" s="2792"/>
      <c r="B4" s="2787"/>
      <c r="C4" s="2787"/>
      <c r="D4" s="2787"/>
      <c r="E4" s="2791"/>
    </row>
    <row r="5" spans="1:6">
      <c r="A5" s="2796" t="s">
        <v>2675</v>
      </c>
      <c r="B5" s="3628" t="s">
        <v>2677</v>
      </c>
      <c r="C5" s="3628"/>
      <c r="D5" s="2795"/>
      <c r="E5" s="3336" t="s">
        <v>2676</v>
      </c>
      <c r="F5" s="3337" t="s">
        <v>3051</v>
      </c>
    </row>
    <row r="6" spans="1:6">
      <c r="A6" s="2793" t="str">
        <f>'数据-取费表'!AN6</f>
        <v>收益法</v>
      </c>
      <c r="B6" s="2789">
        <f ca="1">IF(F6="是",'数据-取费表'!AO6,0)</f>
        <v>32607</v>
      </c>
      <c r="C6" s="2781" t="s">
        <v>2668</v>
      </c>
      <c r="D6" s="2787"/>
      <c r="E6" s="1542">
        <f>IF(OR(A6=0,F6="否"),0,'数据-取费表'!K6+'数据-取费表'!S6)</f>
        <v>12736.12000000001</v>
      </c>
      <c r="F6" s="3338" t="s">
        <v>3052</v>
      </c>
    </row>
    <row r="7" spans="1:6">
      <c r="A7" s="2793">
        <f>'数据-取费表'!AN7</f>
        <v>0</v>
      </c>
      <c r="B7" s="2789" t="e">
        <f ca="1">IF(F7="是",'数据-取费表'!AO7,0)</f>
        <v>#REF!</v>
      </c>
      <c r="C7" s="2781" t="s">
        <v>2668</v>
      </c>
      <c r="D7" s="2787"/>
      <c r="E7" s="1542">
        <f>IF(OR(A7=0,F7="否"),0,'数据-取费表'!K7+'数据-取费表'!S7)</f>
        <v>0</v>
      </c>
      <c r="F7" s="3338" t="s">
        <v>3052</v>
      </c>
    </row>
    <row r="8" spans="1:6">
      <c r="A8" s="2793">
        <f>'数据-取费表'!AN8</f>
        <v>0</v>
      </c>
      <c r="B8" s="2789" t="e">
        <f ca="1">IF(F8="是",'数据-取费表'!AO8,0)</f>
        <v>#REF!</v>
      </c>
      <c r="C8" s="2781" t="s">
        <v>2668</v>
      </c>
      <c r="D8" s="2787"/>
      <c r="E8" s="1542">
        <f>IF(OR(A8=0,F8="否"),0,'数据-取费表'!K8+'数据-取费表'!S8)</f>
        <v>0</v>
      </c>
      <c r="F8" s="3338" t="s">
        <v>3052</v>
      </c>
    </row>
    <row r="9" spans="1:6">
      <c r="A9" s="2793">
        <f>'数据-取费表'!AN9</f>
        <v>0</v>
      </c>
      <c r="B9" s="2789" t="e">
        <f ca="1">IF(F9="是",'数据-取费表'!AO9,0)</f>
        <v>#REF!</v>
      </c>
      <c r="C9" s="2781" t="s">
        <v>2668</v>
      </c>
      <c r="D9" s="2787"/>
      <c r="E9" s="1542">
        <f>IF(OR(A9=0,F9="否"),0,'数据-取费表'!K9+'数据-取费表'!S9)</f>
        <v>0</v>
      </c>
      <c r="F9" s="3338" t="s">
        <v>3052</v>
      </c>
    </row>
    <row r="10" spans="1:6">
      <c r="A10" s="2793">
        <f>'数据-取费表'!AN10</f>
        <v>0</v>
      </c>
      <c r="B10" s="2789" t="e">
        <f ca="1">IF(F10="是",'数据-取费表'!AO10,0)</f>
        <v>#REF!</v>
      </c>
      <c r="C10" s="2781" t="s">
        <v>2668</v>
      </c>
      <c r="D10" s="2787"/>
      <c r="E10" s="1542">
        <f>IF(OR(A10=0,F10="否"),0,'数据-取费表'!K10+'数据-取费表'!S10)</f>
        <v>0</v>
      </c>
      <c r="F10" s="3338" t="s">
        <v>3052</v>
      </c>
    </row>
    <row r="11" spans="1:6">
      <c r="A11" s="2793">
        <f>'数据-取费表'!AN11</f>
        <v>0</v>
      </c>
      <c r="B11" s="2789" t="e">
        <f ca="1">IF(F11="是",'数据-取费表'!AO11,0)</f>
        <v>#REF!</v>
      </c>
      <c r="C11" s="2781" t="s">
        <v>2668</v>
      </c>
      <c r="D11" s="2787"/>
      <c r="E11" s="1542">
        <f>IF(OR(A11=0,F11="否"),0,'数据-取费表'!K11+'数据-取费表'!S11)</f>
        <v>0</v>
      </c>
      <c r="F11" s="3338" t="s">
        <v>3052</v>
      </c>
    </row>
    <row r="12" spans="1:6">
      <c r="A12" s="2793">
        <f>'数据-取费表'!AN12</f>
        <v>0</v>
      </c>
      <c r="B12" s="2789" t="e">
        <f ca="1">IF(F12="是",'数据-取费表'!AO12,0)</f>
        <v>#REF!</v>
      </c>
      <c r="C12" s="2781" t="s">
        <v>2668</v>
      </c>
      <c r="D12" s="2787"/>
      <c r="E12" s="1542">
        <f>IF(OR(A12=0,F12="否"),0,'数据-取费表'!K12+'数据-取费表'!S12)</f>
        <v>0</v>
      </c>
      <c r="F12" s="3338" t="s">
        <v>3052</v>
      </c>
    </row>
    <row r="13" spans="1:6" ht="14.25" thickBot="1">
      <c r="A13" s="2794">
        <f>'数据-取费表'!AN13</f>
        <v>0</v>
      </c>
      <c r="B13" s="2789" t="e">
        <f ca="1">IF(F13="是",'数据-取费表'!AO13,0)</f>
        <v>#REF!</v>
      </c>
      <c r="C13" s="2797" t="s">
        <v>2668</v>
      </c>
      <c r="D13" s="2788"/>
      <c r="E13" s="1542">
        <f>IF(OR(A13=0,F13="否"),0,'数据-取费表'!K13+'数据-取费表'!S13)</f>
        <v>0</v>
      </c>
      <c r="F13" s="3338" t="s">
        <v>3052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29" t="s">
        <v>2544</v>
      </c>
      <c r="B1" s="3630"/>
      <c r="C1" s="3631"/>
      <c r="D1" s="3632">
        <f>SUM(I10,I15,I20,I21,I23)</f>
        <v>0</v>
      </c>
      <c r="E1" s="3632"/>
      <c r="F1" s="3632"/>
      <c r="G1" s="3632"/>
      <c r="H1" s="3632"/>
      <c r="I1" s="3633"/>
    </row>
    <row r="2" spans="1:9">
      <c r="A2" s="3634" t="s">
        <v>2545</v>
      </c>
      <c r="B2" s="3635" t="s">
        <v>2546</v>
      </c>
      <c r="C2" s="3635"/>
      <c r="D2" s="2638" t="s">
        <v>2547</v>
      </c>
      <c r="E2" s="2638" t="s">
        <v>2548</v>
      </c>
      <c r="F2" s="2638" t="s">
        <v>2549</v>
      </c>
      <c r="G2" s="2638" t="s">
        <v>2550</v>
      </c>
      <c r="H2" s="2638" t="s">
        <v>2551</v>
      </c>
      <c r="I2" s="2639" t="s">
        <v>2552</v>
      </c>
    </row>
    <row r="3" spans="1:9">
      <c r="A3" s="3634"/>
      <c r="B3" s="3635" t="s">
        <v>2553</v>
      </c>
      <c r="C3" s="3635"/>
      <c r="D3" s="2640"/>
      <c r="E3" s="2638"/>
      <c r="F3" s="2641"/>
      <c r="G3" s="2641"/>
      <c r="H3" s="2642"/>
      <c r="I3" s="2643">
        <f>ROUND(D3*E3*F3*G3*H3/10000,0)</f>
        <v>0</v>
      </c>
    </row>
    <row r="4" spans="1:9">
      <c r="A4" s="3634"/>
      <c r="B4" s="3635" t="s">
        <v>2554</v>
      </c>
      <c r="C4" s="3635"/>
      <c r="D4" s="2640"/>
      <c r="E4" s="2638"/>
      <c r="F4" s="2641"/>
      <c r="G4" s="2641"/>
      <c r="H4" s="2642"/>
      <c r="I4" s="2643">
        <f t="shared" ref="I4:I9" si="0">ROUND(D4*E4*F4*G4*H4/10000,0)</f>
        <v>0</v>
      </c>
    </row>
    <row r="5" spans="1:9">
      <c r="A5" s="3634"/>
      <c r="B5" s="3635" t="s">
        <v>2555</v>
      </c>
      <c r="C5" s="3635"/>
      <c r="D5" s="2640"/>
      <c r="E5" s="2638"/>
      <c r="F5" s="2641"/>
      <c r="G5" s="2641"/>
      <c r="H5" s="2642"/>
      <c r="I5" s="2643">
        <f t="shared" si="0"/>
        <v>0</v>
      </c>
    </row>
    <row r="6" spans="1:9">
      <c r="A6" s="3634"/>
      <c r="B6" s="3635" t="s">
        <v>2556</v>
      </c>
      <c r="C6" s="3635"/>
      <c r="D6" s="2640"/>
      <c r="E6" s="2638"/>
      <c r="F6" s="2641"/>
      <c r="G6" s="2641"/>
      <c r="H6" s="2642"/>
      <c r="I6" s="2643">
        <f t="shared" si="0"/>
        <v>0</v>
      </c>
    </row>
    <row r="7" spans="1:9">
      <c r="A7" s="3634"/>
      <c r="B7" s="3635" t="s">
        <v>2557</v>
      </c>
      <c r="C7" s="3635"/>
      <c r="D7" s="2640"/>
      <c r="E7" s="2638"/>
      <c r="F7" s="2641"/>
      <c r="G7" s="2641"/>
      <c r="H7" s="2642"/>
      <c r="I7" s="2643">
        <f t="shared" si="0"/>
        <v>0</v>
      </c>
    </row>
    <row r="8" spans="1:9">
      <c r="A8" s="3634"/>
      <c r="B8" s="3635" t="s">
        <v>2558</v>
      </c>
      <c r="C8" s="3635"/>
      <c r="D8" s="2640"/>
      <c r="E8" s="2638"/>
      <c r="F8" s="2641"/>
      <c r="G8" s="2641"/>
      <c r="H8" s="2642"/>
      <c r="I8" s="2643">
        <f t="shared" si="0"/>
        <v>0</v>
      </c>
    </row>
    <row r="9" spans="1:9">
      <c r="A9" s="3634"/>
      <c r="B9" s="3635" t="s">
        <v>2559</v>
      </c>
      <c r="C9" s="3635"/>
      <c r="D9" s="2640"/>
      <c r="E9" s="2638"/>
      <c r="F9" s="2641"/>
      <c r="G9" s="2641"/>
      <c r="H9" s="2642"/>
      <c r="I9" s="2643">
        <f t="shared" si="0"/>
        <v>0</v>
      </c>
    </row>
    <row r="10" spans="1:9">
      <c r="A10" s="3634"/>
      <c r="B10" s="3636" t="s">
        <v>2560</v>
      </c>
      <c r="C10" s="3636"/>
      <c r="D10" s="2644"/>
      <c r="E10" s="2644" t="e">
        <f>ROUND(D1*10000/D10/H9,0)</f>
        <v>#DIV/0!</v>
      </c>
      <c r="F10" s="2645"/>
      <c r="G10" s="2645"/>
      <c r="H10" s="2646"/>
      <c r="I10" s="2647">
        <f>SUM(I3:I9)</f>
        <v>0</v>
      </c>
    </row>
    <row r="11" spans="1:9" ht="14.25">
      <c r="A11" s="3634" t="s">
        <v>2561</v>
      </c>
      <c r="B11" s="3635" t="s">
        <v>2562</v>
      </c>
      <c r="C11" s="3635"/>
      <c r="D11" s="2640" t="s">
        <v>2563</v>
      </c>
      <c r="E11" s="2640" t="s">
        <v>2564</v>
      </c>
      <c r="F11" s="2641" t="s">
        <v>2565</v>
      </c>
      <c r="G11" s="2641" t="s">
        <v>2551</v>
      </c>
      <c r="H11" s="2648" t="s">
        <v>2566</v>
      </c>
      <c r="I11" s="2639" t="s">
        <v>2552</v>
      </c>
    </row>
    <row r="12" spans="1:9">
      <c r="A12" s="3634"/>
      <c r="B12" s="3635" t="s">
        <v>2567</v>
      </c>
      <c r="C12" s="3635"/>
      <c r="D12" s="2640"/>
      <c r="E12" s="2640"/>
      <c r="F12" s="2641"/>
      <c r="G12" s="2642"/>
      <c r="H12" s="2649"/>
      <c r="I12" s="2639">
        <f>ROUND(D12*E12*F12*G12/10000,0)</f>
        <v>0</v>
      </c>
    </row>
    <row r="13" spans="1:9">
      <c r="A13" s="3634"/>
      <c r="B13" s="3635" t="s">
        <v>2568</v>
      </c>
      <c r="C13" s="3635"/>
      <c r="D13" s="2640"/>
      <c r="E13" s="2640"/>
      <c r="F13" s="2641"/>
      <c r="G13" s="2642"/>
      <c r="H13" s="2649"/>
      <c r="I13" s="2639">
        <f>ROUND(D13*E13*F13*G13/10000,0)</f>
        <v>0</v>
      </c>
    </row>
    <row r="14" spans="1:9">
      <c r="A14" s="3634"/>
      <c r="B14" s="3635" t="s">
        <v>2569</v>
      </c>
      <c r="C14" s="3635"/>
      <c r="D14" s="2640"/>
      <c r="E14" s="2640"/>
      <c r="F14" s="2641"/>
      <c r="G14" s="2642"/>
      <c r="H14" s="2649"/>
      <c r="I14" s="2639">
        <f>ROUND(D14*E14*F14*G14/10000,0)</f>
        <v>0</v>
      </c>
    </row>
    <row r="15" spans="1:9">
      <c r="A15" s="3634"/>
      <c r="B15" s="3636" t="s">
        <v>2560</v>
      </c>
      <c r="C15" s="3636"/>
      <c r="D15" s="2644"/>
      <c r="E15" s="2644">
        <f>SUM(E12:E14)</f>
        <v>0</v>
      </c>
      <c r="F15" s="2645"/>
      <c r="G15" s="2642"/>
      <c r="H15" s="2649"/>
      <c r="I15" s="2650">
        <f>SUM(I12:I14)</f>
        <v>0</v>
      </c>
    </row>
    <row r="16" spans="1:9" ht="24">
      <c r="A16" s="3634" t="s">
        <v>2570</v>
      </c>
      <c r="B16" s="3635" t="s">
        <v>2571</v>
      </c>
      <c r="C16" s="3635"/>
      <c r="D16" s="2640" t="s">
        <v>2547</v>
      </c>
      <c r="E16" s="2651" t="s">
        <v>2572</v>
      </c>
      <c r="F16" s="2641" t="s">
        <v>2573</v>
      </c>
      <c r="G16" s="2642" t="s">
        <v>2551</v>
      </c>
      <c r="H16" s="2648" t="s">
        <v>2566</v>
      </c>
      <c r="I16" s="2639" t="s">
        <v>2552</v>
      </c>
    </row>
    <row r="17" spans="1:9" ht="14.25">
      <c r="A17" s="3634"/>
      <c r="B17" s="3635" t="s">
        <v>2574</v>
      </c>
      <c r="C17" s="3635"/>
      <c r="D17" s="2640"/>
      <c r="E17" s="2640"/>
      <c r="F17" s="2641"/>
      <c r="G17" s="2642"/>
      <c r="H17" s="2652"/>
      <c r="I17" s="2653">
        <f>ROUND(D17*E17*F17*G17/10000,0)</f>
        <v>0</v>
      </c>
    </row>
    <row r="18" spans="1:9" ht="14.25">
      <c r="A18" s="3634"/>
      <c r="B18" s="3635" t="s">
        <v>2575</v>
      </c>
      <c r="C18" s="3635"/>
      <c r="D18" s="2640"/>
      <c r="E18" s="2640"/>
      <c r="F18" s="2641"/>
      <c r="G18" s="2642"/>
      <c r="H18" s="2652"/>
      <c r="I18" s="2653">
        <f>ROUND(D18*E18*F18*G18/10000,0)</f>
        <v>0</v>
      </c>
    </row>
    <row r="19" spans="1:9" ht="14.25">
      <c r="A19" s="3634"/>
      <c r="B19" s="3635" t="s">
        <v>2576</v>
      </c>
      <c r="C19" s="3635"/>
      <c r="D19" s="2640"/>
      <c r="E19" s="2640"/>
      <c r="F19" s="2641"/>
      <c r="G19" s="2642"/>
      <c r="H19" s="2652"/>
      <c r="I19" s="2653">
        <f>ROUND(D19*E19*F19*G19/10000,0)</f>
        <v>0</v>
      </c>
    </row>
    <row r="20" spans="1:9">
      <c r="A20" s="3634"/>
      <c r="B20" s="3636" t="s">
        <v>2560</v>
      </c>
      <c r="C20" s="3636"/>
      <c r="D20" s="2644">
        <f>SUM(D17:D19)</f>
        <v>0</v>
      </c>
      <c r="E20" s="2644"/>
      <c r="F20" s="2645"/>
      <c r="G20" s="2642"/>
      <c r="H20" s="2649"/>
      <c r="I20" s="2650">
        <f>SUM(I17:I19)</f>
        <v>0</v>
      </c>
    </row>
    <row r="21" spans="1:9">
      <c r="A21" s="3634" t="s">
        <v>2577</v>
      </c>
      <c r="B21" s="3638"/>
      <c r="C21" s="3638"/>
      <c r="D21" s="3638"/>
      <c r="E21" s="3638"/>
      <c r="F21" s="3638"/>
      <c r="G21" s="3638"/>
      <c r="H21" s="3297">
        <v>0.1</v>
      </c>
      <c r="I21" s="2647">
        <f>ROUND(I10*H21,0)</f>
        <v>0</v>
      </c>
    </row>
    <row r="22" spans="1:9" ht="14.25">
      <c r="A22" s="3639" t="s">
        <v>2578</v>
      </c>
      <c r="B22" s="3640"/>
      <c r="C22" s="3641"/>
      <c r="D22" s="2654" t="s">
        <v>2579</v>
      </c>
      <c r="E22" s="2654" t="s">
        <v>2580</v>
      </c>
      <c r="F22" s="2655" t="s">
        <v>2581</v>
      </c>
      <c r="G22" s="2655" t="s">
        <v>2582</v>
      </c>
      <c r="H22" s="2648" t="s">
        <v>2583</v>
      </c>
      <c r="I22" s="2639" t="s">
        <v>2584</v>
      </c>
    </row>
    <row r="23" spans="1:9" ht="14.25" thickBot="1">
      <c r="A23" s="3642"/>
      <c r="B23" s="3643"/>
      <c r="C23" s="3644"/>
      <c r="D23" s="2656"/>
      <c r="E23" s="2656"/>
      <c r="F23" s="2656"/>
      <c r="G23" s="2657"/>
      <c r="H23" s="2658"/>
      <c r="I23" s="2659">
        <f>ROUND(E23*D23*F23*(1-G23)/10000,0)</f>
        <v>0</v>
      </c>
    </row>
    <row r="26" spans="1:9">
      <c r="A26" s="2660" t="s">
        <v>2585</v>
      </c>
      <c r="B26" s="2660"/>
      <c r="C26" s="2660"/>
      <c r="D26" s="2660"/>
      <c r="E26" s="3645">
        <f>C27-C30-C31-C32</f>
        <v>0</v>
      </c>
      <c r="F26" s="3645"/>
      <c r="G26" s="3645"/>
      <c r="H26" s="3249" t="s">
        <v>2956</v>
      </c>
    </row>
    <row r="27" spans="1:9">
      <c r="A27" s="2661">
        <v>1</v>
      </c>
      <c r="B27" s="2662" t="s">
        <v>2586</v>
      </c>
      <c r="C27" s="2662">
        <f>C28+C29</f>
        <v>0</v>
      </c>
      <c r="D27" s="2662"/>
      <c r="E27" s="3646"/>
      <c r="F27" s="3646"/>
      <c r="G27" s="3646"/>
    </row>
    <row r="28" spans="1:9">
      <c r="A28" s="2663" t="s">
        <v>2587</v>
      </c>
      <c r="B28" s="2662" t="s">
        <v>2588</v>
      </c>
      <c r="C28" s="2662"/>
      <c r="D28" s="2662"/>
      <c r="E28" s="3646"/>
      <c r="F28" s="3646"/>
      <c r="G28" s="3646"/>
    </row>
    <row r="29" spans="1:9">
      <c r="A29" s="2663" t="s">
        <v>2589</v>
      </c>
      <c r="B29" s="2662" t="s">
        <v>2590</v>
      </c>
      <c r="C29" s="2662"/>
      <c r="D29" s="2662"/>
      <c r="E29" s="2662" t="s">
        <v>2591</v>
      </c>
      <c r="F29" s="2662"/>
      <c r="G29" s="2662"/>
    </row>
    <row r="30" spans="1:9">
      <c r="A30" s="2661">
        <v>2</v>
      </c>
      <c r="B30" s="2662" t="s">
        <v>2592</v>
      </c>
      <c r="C30" s="2662">
        <f>C27*D30</f>
        <v>0</v>
      </c>
      <c r="D30" s="2664">
        <v>0.2</v>
      </c>
      <c r="E30" s="2662" t="s">
        <v>2593</v>
      </c>
      <c r="F30" s="2662"/>
      <c r="G30" s="2662"/>
    </row>
    <row r="31" spans="1:9">
      <c r="A31" s="2661">
        <v>3</v>
      </c>
      <c r="B31" s="2662" t="s">
        <v>2594</v>
      </c>
      <c r="C31" s="2662">
        <f>C25*D31</f>
        <v>0</v>
      </c>
      <c r="D31" s="2664">
        <v>0.15</v>
      </c>
      <c r="E31" s="2662" t="s">
        <v>2595</v>
      </c>
      <c r="F31" s="2662"/>
      <c r="G31" s="2662"/>
    </row>
    <row r="32" spans="1:9">
      <c r="A32" s="2661">
        <v>4</v>
      </c>
      <c r="B32" s="2662" t="s">
        <v>2596</v>
      </c>
      <c r="C32" s="2662">
        <f>C27*D32</f>
        <v>0</v>
      </c>
      <c r="D32" s="2664">
        <v>0.05</v>
      </c>
      <c r="E32" s="3637"/>
      <c r="F32" s="3637"/>
      <c r="G32" s="3637"/>
    </row>
    <row r="33" spans="1:7" hidden="1">
      <c r="A33" s="3647" t="s">
        <v>2597</v>
      </c>
      <c r="B33" s="3648"/>
      <c r="C33" s="3648"/>
      <c r="D33" s="3649"/>
      <c r="E33" s="3645"/>
      <c r="F33" s="3645"/>
      <c r="G33" s="3645"/>
    </row>
    <row r="34" spans="1:7" hidden="1">
      <c r="A34" s="2665">
        <v>1</v>
      </c>
      <c r="B34" s="2662" t="s">
        <v>2598</v>
      </c>
      <c r="C34" s="2662"/>
      <c r="D34" s="2662"/>
      <c r="E34" s="3646"/>
      <c r="F34" s="3646"/>
      <c r="G34" s="3646"/>
    </row>
    <row r="35" spans="1:7" hidden="1">
      <c r="A35" s="2665">
        <v>2</v>
      </c>
      <c r="B35" s="2662" t="s">
        <v>2599</v>
      </c>
      <c r="C35" s="2662"/>
      <c r="D35" s="2662"/>
      <c r="E35" s="3646"/>
      <c r="F35" s="3646"/>
      <c r="G35" s="3646"/>
    </row>
    <row r="36" spans="1:7" hidden="1">
      <c r="A36" s="2665">
        <v>3</v>
      </c>
      <c r="B36" s="2662" t="s">
        <v>2600</v>
      </c>
      <c r="C36" s="2662"/>
      <c r="D36" s="2662"/>
      <c r="E36" s="3646"/>
      <c r="F36" s="3646"/>
      <c r="G36" s="3646"/>
    </row>
    <row r="37" spans="1:7" hidden="1">
      <c r="A37" s="2665">
        <v>4</v>
      </c>
      <c r="B37" s="2662" t="s">
        <v>2601</v>
      </c>
      <c r="C37" s="2662"/>
      <c r="D37" s="2662"/>
      <c r="E37" s="3646"/>
      <c r="F37" s="3646"/>
      <c r="G37" s="3646"/>
    </row>
    <row r="38" spans="1:7" hidden="1">
      <c r="A38" s="3647" t="s">
        <v>2602</v>
      </c>
      <c r="B38" s="3648"/>
      <c r="C38" s="3648"/>
      <c r="D38" s="3649"/>
      <c r="E38" s="3645"/>
      <c r="F38" s="3645"/>
      <c r="G38" s="36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976</v>
      </c>
      <c r="B1" s="3100" t="s">
        <v>977</v>
      </c>
      <c r="C1" s="3101" t="s">
        <v>978</v>
      </c>
      <c r="D1" s="3102"/>
      <c r="E1" s="3103"/>
      <c r="F1" s="3104" t="s">
        <v>2693</v>
      </c>
      <c r="G1" s="3106" t="s">
        <v>979</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980</v>
      </c>
      <c r="B2" s="2844" t="e">
        <f ca="1">IF(C2="——",ROUND(C49*D3/10000,0),ROUND(C49*D3/10000,0)-D2)</f>
        <v>#DIV/0!</v>
      </c>
      <c r="C2" s="3096"/>
      <c r="D2" s="2724" t="e">
        <f ca="1">SUMIF(INDIRECT("'"&amp;F2&amp;"'"&amp;"!A:A"),"承租人权益价值",INDIRECT("'"&amp;F2&amp;"'"&amp;"!c:c"))</f>
        <v>#REF!</v>
      </c>
      <c r="E2" s="3097" t="s">
        <v>865</v>
      </c>
      <c r="F2" s="3098"/>
      <c r="G2" s="2290"/>
      <c r="H2" s="2290"/>
      <c r="I2" s="2290"/>
      <c r="J2" s="2290"/>
      <c r="K2" s="2292"/>
      <c r="L2" s="2293"/>
      <c r="M2" s="2294"/>
      <c r="N2" s="2294"/>
      <c r="O2" s="2294"/>
      <c r="P2" s="1336"/>
      <c r="Q2" s="1335"/>
      <c r="R2" s="1335"/>
      <c r="S2" s="1335"/>
      <c r="T2" s="1335"/>
      <c r="U2" s="1335"/>
      <c r="V2" s="1335"/>
      <c r="W2" s="1335"/>
      <c r="X2" s="1335"/>
      <c r="Y2" s="1335"/>
      <c r="Z2" s="1335"/>
      <c r="AA2" s="1335"/>
      <c r="AB2" s="1335"/>
      <c r="AC2" s="1337"/>
    </row>
    <row r="3" spans="1:29" s="89" customFormat="1" ht="28.5" customHeight="1" thickBot="1">
      <c r="A3" s="87" t="s">
        <v>981</v>
      </c>
      <c r="B3" s="742" t="e">
        <f ca="1">IF(C2="——",C49,ROUND(B2*10000/D3,0))</f>
        <v>#DIV/0!</v>
      </c>
      <c r="C3" s="142" t="s">
        <v>982</v>
      </c>
      <c r="D3" s="742">
        <f>IF(D1="",'数据-汇总表'!E3,SUMIF('数据-汇总表'!$C19:$C33,D1,'数据-汇总表'!$E19:$E33))</f>
        <v>12736.12000000001</v>
      </c>
      <c r="E3" s="2290"/>
      <c r="F3" s="2291"/>
      <c r="G3" s="2290"/>
      <c r="H3" s="2290"/>
      <c r="I3" s="2290"/>
      <c r="J3" s="2290"/>
      <c r="K3" s="2292"/>
      <c r="L3" s="2293"/>
      <c r="M3" s="2294"/>
      <c r="N3" s="2294"/>
      <c r="O3" s="2294"/>
      <c r="P3" s="1336"/>
      <c r="Q3" s="1335"/>
      <c r="R3" s="1335"/>
      <c r="S3" s="1335"/>
      <c r="T3" s="1335"/>
      <c r="U3" s="1335"/>
      <c r="V3" s="1335"/>
      <c r="W3" s="1335"/>
      <c r="X3" s="1335"/>
      <c r="Y3" s="1335"/>
      <c r="Z3" s="1335"/>
      <c r="AA3" s="1335"/>
      <c r="AB3" s="1335"/>
      <c r="AC3" s="1338"/>
    </row>
    <row r="4" spans="1:29">
      <c r="A4" s="143" t="s">
        <v>983</v>
      </c>
      <c r="B4" s="144"/>
      <c r="C4" s="3668" t="s">
        <v>984</v>
      </c>
      <c r="D4" s="3669"/>
      <c r="E4" s="3670" t="s">
        <v>985</v>
      </c>
      <c r="F4" s="3671"/>
      <c r="G4" s="3668" t="s">
        <v>986</v>
      </c>
      <c r="H4" s="3669"/>
      <c r="I4" s="3668" t="s">
        <v>987</v>
      </c>
      <c r="J4" s="3669"/>
      <c r="K4" s="145" t="s">
        <v>988</v>
      </c>
      <c r="L4" s="2295"/>
      <c r="M4" s="2296"/>
      <c r="N4" s="2296"/>
      <c r="O4" s="2296"/>
      <c r="P4" s="3672" t="s">
        <v>983</v>
      </c>
      <c r="Q4" s="3673"/>
      <c r="R4" s="3655" t="s">
        <v>985</v>
      </c>
      <c r="S4" s="3656"/>
      <c r="T4" s="3655" t="s">
        <v>986</v>
      </c>
      <c r="U4" s="3656"/>
      <c r="V4" s="3680" t="s">
        <v>987</v>
      </c>
      <c r="W4" s="3680"/>
      <c r="X4" s="1339"/>
      <c r="Y4" s="3655" t="s">
        <v>983</v>
      </c>
      <c r="Z4" s="3656"/>
      <c r="AA4" s="3650" t="s">
        <v>985</v>
      </c>
      <c r="AB4" s="3650" t="s">
        <v>986</v>
      </c>
      <c r="AC4" s="3650" t="s">
        <v>987</v>
      </c>
    </row>
    <row r="5" spans="1:29">
      <c r="A5" s="146"/>
      <c r="B5" s="147"/>
      <c r="C5" s="3661" t="s">
        <v>989</v>
      </c>
      <c r="D5" s="3662"/>
      <c r="E5" s="3659" t="s">
        <v>990</v>
      </c>
      <c r="F5" s="3660"/>
      <c r="G5" s="3661" t="s">
        <v>991</v>
      </c>
      <c r="H5" s="3662"/>
      <c r="I5" s="3661" t="s">
        <v>992</v>
      </c>
      <c r="J5" s="3662"/>
      <c r="K5" s="152"/>
      <c r="L5" s="2295"/>
      <c r="M5" s="2296"/>
      <c r="N5" s="2296"/>
      <c r="O5" s="2296"/>
      <c r="P5" s="3674"/>
      <c r="Q5" s="3675"/>
      <c r="R5" s="3657"/>
      <c r="S5" s="3658"/>
      <c r="T5" s="3657"/>
      <c r="U5" s="3658"/>
      <c r="V5" s="3680"/>
      <c r="W5" s="3680"/>
      <c r="X5" s="1339"/>
      <c r="Y5" s="3657"/>
      <c r="Z5" s="3658"/>
      <c r="AA5" s="3651"/>
      <c r="AB5" s="3651"/>
      <c r="AC5" s="3651"/>
    </row>
    <row r="6" spans="1:29" ht="14.25" thickBot="1">
      <c r="A6" s="148"/>
      <c r="B6" s="149"/>
      <c r="C6" s="3663" t="s">
        <v>993</v>
      </c>
      <c r="D6" s="3664"/>
      <c r="E6" s="3665" t="s">
        <v>993</v>
      </c>
      <c r="F6" s="3666"/>
      <c r="G6" s="3663" t="s">
        <v>993</v>
      </c>
      <c r="H6" s="3664"/>
      <c r="I6" s="3663" t="s">
        <v>993</v>
      </c>
      <c r="J6" s="3664"/>
      <c r="K6" s="152" t="s">
        <v>994</v>
      </c>
      <c r="L6" s="2295"/>
      <c r="M6" s="2296"/>
      <c r="N6" s="2296"/>
      <c r="O6" s="2296"/>
      <c r="P6" s="3676"/>
      <c r="Q6" s="3677"/>
      <c r="R6" s="3657"/>
      <c r="S6" s="3658"/>
      <c r="T6" s="3678"/>
      <c r="U6" s="3679"/>
      <c r="V6" s="3680"/>
      <c r="W6" s="3680"/>
      <c r="X6" s="1339"/>
      <c r="Y6" s="3678"/>
      <c r="Z6" s="3679"/>
      <c r="AA6" s="3652"/>
      <c r="AB6" s="3652"/>
      <c r="AC6" s="3652"/>
    </row>
    <row r="7" spans="1:29" s="40" customFormat="1" ht="15" thickBot="1">
      <c r="A7" s="1013" t="s">
        <v>995</v>
      </c>
      <c r="B7" s="1014"/>
      <c r="C7" s="1015">
        <f>'数据-取费表'!B2</f>
        <v>42986</v>
      </c>
      <c r="D7" s="754">
        <v>100</v>
      </c>
      <c r="E7" s="1016"/>
      <c r="F7" s="756">
        <f>SUMIF(58:58,YEAR(E7)&amp;"-"&amp;MONTH(E7),59:59)</f>
        <v>0</v>
      </c>
      <c r="G7" s="1016"/>
      <c r="H7" s="754">
        <f>SUMIF(58:58,YEAR(G7)&amp;"-"&amp;MONTH(G7),59:59)</f>
        <v>0</v>
      </c>
      <c r="I7" s="1016"/>
      <c r="J7" s="754">
        <f>SUMIF(58:58,YEAR(I7)&amp;"-"&amp;MONTH(I7),59:59)</f>
        <v>0</v>
      </c>
      <c r="K7" s="1340"/>
      <c r="L7" s="2297"/>
      <c r="M7" s="2259"/>
      <c r="N7" s="2259"/>
      <c r="O7" s="2259"/>
      <c r="P7" s="3653" t="s">
        <v>995</v>
      </c>
      <c r="Q7" s="3681"/>
      <c r="R7" s="1341" t="s">
        <v>115</v>
      </c>
      <c r="S7" s="1342">
        <f t="shared" ref="S7:S15" si="0">F7</f>
        <v>0</v>
      </c>
      <c r="T7" s="1341" t="s">
        <v>115</v>
      </c>
      <c r="U7" s="1342">
        <f t="shared" ref="U7:U15" si="1">H7</f>
        <v>0</v>
      </c>
      <c r="V7" s="1341" t="s">
        <v>115</v>
      </c>
      <c r="W7" s="1342">
        <f t="shared" ref="W7:W15" si="2">J7</f>
        <v>0</v>
      </c>
      <c r="X7" s="287"/>
      <c r="Y7" s="3653" t="s">
        <v>995</v>
      </c>
      <c r="Z7" s="3654"/>
      <c r="AA7" s="1343" t="e">
        <f>D7/F7</f>
        <v>#DIV/0!</v>
      </c>
      <c r="AB7" s="1343" t="e">
        <f>D7/H7</f>
        <v>#DIV/0!</v>
      </c>
      <c r="AC7" s="1343" t="e">
        <f>D7/J7</f>
        <v>#DIV/0!</v>
      </c>
    </row>
    <row r="8" spans="1:29" s="40" customFormat="1" ht="15" thickBot="1">
      <c r="A8" s="1013" t="s">
        <v>996</v>
      </c>
      <c r="B8" s="1014"/>
      <c r="C8" s="1019" t="s">
        <v>155</v>
      </c>
      <c r="D8" s="754">
        <v>100</v>
      </c>
      <c r="E8" s="1344"/>
      <c r="F8" s="756">
        <f>SUMIF(61:61,E8,62:62)-SUMIF(61:61,C8,62:62)+100</f>
        <v>0</v>
      </c>
      <c r="G8" s="1019"/>
      <c r="H8" s="754">
        <f>SUMIF(61:61,G8,62:62)-SUMIF(61:61,C8,62:62)+100</f>
        <v>0</v>
      </c>
      <c r="I8" s="1344"/>
      <c r="J8" s="754">
        <f>SUMIF(61:61,I8,62:62)-SUMIF(61:61,C8,62:62)+100</f>
        <v>0</v>
      </c>
      <c r="K8" s="1340"/>
      <c r="L8" s="2297"/>
      <c r="M8" s="2259"/>
      <c r="N8" s="2259"/>
      <c r="O8" s="2259"/>
      <c r="P8" s="3653" t="s">
        <v>996</v>
      </c>
      <c r="Q8" s="3654"/>
      <c r="R8" s="1341" t="s">
        <v>115</v>
      </c>
      <c r="S8" s="1342">
        <f t="shared" si="0"/>
        <v>0</v>
      </c>
      <c r="T8" s="1341" t="s">
        <v>115</v>
      </c>
      <c r="U8" s="1342">
        <f t="shared" si="1"/>
        <v>0</v>
      </c>
      <c r="V8" s="1341" t="s">
        <v>115</v>
      </c>
      <c r="W8" s="1342">
        <f t="shared" si="2"/>
        <v>0</v>
      </c>
      <c r="X8" s="287"/>
      <c r="Y8" s="3653" t="s">
        <v>996</v>
      </c>
      <c r="Z8" s="3654"/>
      <c r="AA8" s="1343" t="e">
        <f t="shared" ref="AA8:AA19" si="3">D8/F8</f>
        <v>#DIV/0!</v>
      </c>
      <c r="AB8" s="1343" t="e">
        <f t="shared" ref="AB8:AB19" si="4">D8/H8</f>
        <v>#DIV/0!</v>
      </c>
      <c r="AC8" s="1343" t="e">
        <f t="shared" ref="AC8:AC19" si="5">D8/J8</f>
        <v>#DIV/0!</v>
      </c>
    </row>
    <row r="9" spans="1:29" s="40" customFormat="1" ht="14.25">
      <c r="A9" s="1020" t="s">
        <v>997</v>
      </c>
      <c r="B9" s="62" t="s">
        <v>998</v>
      </c>
      <c r="C9" s="1345"/>
      <c r="D9" s="425">
        <v>100</v>
      </c>
      <c r="E9" s="1346"/>
      <c r="F9" s="761">
        <f>SUMIF(63:63,E9,64:64)-SUMIF(63:63,C9,64:64)+100</f>
        <v>100</v>
      </c>
      <c r="G9" s="1347"/>
      <c r="H9" s="425">
        <f>SUMIF(63:63,G9,64:64)-SUMIF(63:63,C9,64:64)+100</f>
        <v>100</v>
      </c>
      <c r="I9" s="1347"/>
      <c r="J9" s="425">
        <f>SUMIF(63:63,I9,64:64)-SUMIF(63:63,C9,64:64)+100</f>
        <v>100</v>
      </c>
      <c r="K9" s="1340"/>
      <c r="L9" s="2297"/>
      <c r="M9" s="2259"/>
      <c r="N9" s="2259"/>
      <c r="O9" s="2259"/>
      <c r="P9" s="3667" t="s">
        <v>67</v>
      </c>
      <c r="Q9" s="7" t="str">
        <f t="shared" ref="Q9:Q15" si="6">B9</f>
        <v>用途</v>
      </c>
      <c r="R9" s="1341" t="s">
        <v>65</v>
      </c>
      <c r="S9" s="1342">
        <f t="shared" si="0"/>
        <v>100</v>
      </c>
      <c r="T9" s="1341" t="s">
        <v>65</v>
      </c>
      <c r="U9" s="1342">
        <f t="shared" si="1"/>
        <v>100</v>
      </c>
      <c r="V9" s="1341" t="s">
        <v>65</v>
      </c>
      <c r="W9" s="1342">
        <f t="shared" si="2"/>
        <v>100</v>
      </c>
      <c r="X9" s="287"/>
      <c r="Y9" s="3491"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8">
        <f>SUMIF(65:65,E10,66:66)-SUMIF(65:65,C10,66:66)+100</f>
        <v>100</v>
      </c>
      <c r="G10" s="1348"/>
      <c r="H10" s="426">
        <f>SUMIF(65:65,G10,66:66)-SUMIF(65:65,C10,66:66)+100</f>
        <v>100</v>
      </c>
      <c r="I10" s="1348"/>
      <c r="J10" s="426">
        <f>SUMIF(65:65,I10,66:66)-SUMIF(65:65,C10,66:66)+100</f>
        <v>100</v>
      </c>
      <c r="K10" s="769"/>
      <c r="L10" s="2298"/>
      <c r="M10" s="2299"/>
      <c r="N10" s="2299"/>
      <c r="O10" s="2299"/>
      <c r="P10" s="3667"/>
      <c r="Q10" s="7" t="str">
        <f t="shared" si="6"/>
        <v>土地使用年限（年）</v>
      </c>
      <c r="R10" s="1341" t="s">
        <v>65</v>
      </c>
      <c r="S10" s="1342">
        <f t="shared" si="0"/>
        <v>100</v>
      </c>
      <c r="T10" s="1341" t="s">
        <v>65</v>
      </c>
      <c r="U10" s="1342">
        <f t="shared" si="1"/>
        <v>100</v>
      </c>
      <c r="V10" s="1341" t="s">
        <v>65</v>
      </c>
      <c r="W10" s="1342">
        <f t="shared" si="2"/>
        <v>100</v>
      </c>
      <c r="X10" s="287"/>
      <c r="Y10" s="3491"/>
      <c r="Z10" s="288" t="str">
        <f t="shared" si="7"/>
        <v>土地使用年限（年）</v>
      </c>
      <c r="AA10" s="1343">
        <f t="shared" si="3"/>
        <v>1</v>
      </c>
      <c r="AB10" s="1343">
        <f t="shared" si="4"/>
        <v>1</v>
      </c>
      <c r="AC10" s="1343">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67"/>
      <c r="Q11" s="7" t="str">
        <f t="shared" si="6"/>
        <v>容积率</v>
      </c>
      <c r="R11" s="1341" t="s">
        <v>104</v>
      </c>
      <c r="S11" s="1342" t="e">
        <f t="shared" si="0"/>
        <v>#N/A</v>
      </c>
      <c r="T11" s="1341" t="s">
        <v>104</v>
      </c>
      <c r="U11" s="1342" t="e">
        <f t="shared" si="1"/>
        <v>#N/A</v>
      </c>
      <c r="V11" s="1341" t="s">
        <v>104</v>
      </c>
      <c r="W11" s="1342" t="e">
        <f t="shared" si="2"/>
        <v>#N/A</v>
      </c>
      <c r="X11" s="287"/>
      <c r="Y11" s="3491"/>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1023"/>
      <c r="F12" s="768">
        <f>SUMIF(70:70,E12,71:71)-SUMIF(70:70,C12,71:71)+100</f>
        <v>100</v>
      </c>
      <c r="G12" s="1023"/>
      <c r="H12" s="426">
        <f>SUMIF(70:70,G12,71:71)-SUMIF(70:70,C12,71:71)+100</f>
        <v>100</v>
      </c>
      <c r="I12" s="1023"/>
      <c r="J12" s="426">
        <f>SUMIF(70:70,I12,71:71)-SUMIF(70:70,C12,71:71)+100</f>
        <v>100</v>
      </c>
      <c r="K12" s="153"/>
      <c r="L12" s="2297"/>
      <c r="M12" s="2259"/>
      <c r="N12" s="2259"/>
      <c r="O12" s="2259"/>
      <c r="P12" s="3667"/>
      <c r="Q12" s="7">
        <f t="shared" si="6"/>
        <v>111</v>
      </c>
      <c r="R12" s="1341" t="s">
        <v>104</v>
      </c>
      <c r="S12" s="1342">
        <f t="shared" si="0"/>
        <v>100</v>
      </c>
      <c r="T12" s="1341" t="s">
        <v>104</v>
      </c>
      <c r="U12" s="1342">
        <f t="shared" si="1"/>
        <v>100</v>
      </c>
      <c r="V12" s="1341" t="s">
        <v>104</v>
      </c>
      <c r="W12" s="1342">
        <f t="shared" si="2"/>
        <v>100</v>
      </c>
      <c r="X12" s="287"/>
      <c r="Y12" s="3491"/>
      <c r="Z12" s="288">
        <f t="shared" si="7"/>
        <v>111</v>
      </c>
      <c r="AA12" s="1343">
        <f>D12/F12</f>
        <v>1</v>
      </c>
      <c r="AB12" s="1343">
        <f>D12/H12</f>
        <v>1</v>
      </c>
      <c r="AC12" s="1343">
        <f>D12/J12</f>
        <v>1</v>
      </c>
    </row>
    <row r="13" spans="1:29" ht="14.25">
      <c r="A13" s="151"/>
      <c r="B13" s="1030">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67"/>
      <c r="Q13" s="7">
        <f t="shared" si="6"/>
        <v>111</v>
      </c>
      <c r="R13" s="1341" t="s">
        <v>104</v>
      </c>
      <c r="S13" s="1342">
        <f t="shared" si="0"/>
        <v>100</v>
      </c>
      <c r="T13" s="1341" t="s">
        <v>104</v>
      </c>
      <c r="U13" s="1342">
        <f t="shared" si="1"/>
        <v>100</v>
      </c>
      <c r="V13" s="1341" t="s">
        <v>104</v>
      </c>
      <c r="W13" s="1342">
        <f t="shared" si="2"/>
        <v>100</v>
      </c>
      <c r="X13" s="287"/>
      <c r="Y13" s="3491"/>
      <c r="Z13" s="288">
        <f t="shared" si="7"/>
        <v>111</v>
      </c>
      <c r="AA13" s="1343">
        <f t="shared" si="3"/>
        <v>1</v>
      </c>
      <c r="AB13" s="1343">
        <f t="shared" si="4"/>
        <v>1</v>
      </c>
      <c r="AC13" s="1343">
        <f t="shared" si="5"/>
        <v>1</v>
      </c>
    </row>
    <row r="14" spans="1:29" ht="15" thickBot="1">
      <c r="A14" s="154"/>
      <c r="B14" s="1031">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67"/>
      <c r="Q14" s="7">
        <f t="shared" si="6"/>
        <v>111</v>
      </c>
      <c r="R14" s="1341" t="s">
        <v>104</v>
      </c>
      <c r="S14" s="1342">
        <f t="shared" si="0"/>
        <v>100</v>
      </c>
      <c r="T14" s="1341" t="s">
        <v>104</v>
      </c>
      <c r="U14" s="1342">
        <f t="shared" si="1"/>
        <v>100</v>
      </c>
      <c r="V14" s="1341" t="s">
        <v>104</v>
      </c>
      <c r="W14" s="1342">
        <f t="shared" si="2"/>
        <v>100</v>
      </c>
      <c r="X14" s="287"/>
      <c r="Y14" s="3491"/>
      <c r="Z14" s="288">
        <f t="shared" si="7"/>
        <v>111</v>
      </c>
      <c r="AA14" s="1343">
        <f t="shared" si="3"/>
        <v>1</v>
      </c>
      <c r="AB14" s="1343">
        <f t="shared" si="4"/>
        <v>1</v>
      </c>
      <c r="AC14" s="1343">
        <f t="shared" si="5"/>
        <v>1</v>
      </c>
    </row>
    <row r="15" spans="1:29" ht="15">
      <c r="A15" s="155" t="s">
        <v>69</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94" t="s">
        <v>69</v>
      </c>
      <c r="Q15" s="1350" t="str">
        <f t="shared" si="6"/>
        <v>居住社区成熟度</v>
      </c>
      <c r="R15" s="1351" t="s">
        <v>104</v>
      </c>
      <c r="S15" s="1352">
        <f t="shared" si="0"/>
        <v>100</v>
      </c>
      <c r="T15" s="1351" t="s">
        <v>104</v>
      </c>
      <c r="U15" s="1352">
        <f t="shared" si="1"/>
        <v>100</v>
      </c>
      <c r="V15" s="1351" t="s">
        <v>104</v>
      </c>
      <c r="W15" s="1352">
        <f t="shared" si="2"/>
        <v>100</v>
      </c>
      <c r="X15" s="1339"/>
      <c r="Y15" s="3687" t="s">
        <v>69</v>
      </c>
      <c r="Z15" s="1353" t="str">
        <f t="shared" si="7"/>
        <v>居住社区成熟度</v>
      </c>
      <c r="AA15" s="1354">
        <f t="shared" si="3"/>
        <v>1</v>
      </c>
      <c r="AB15" s="1354">
        <f t="shared" si="4"/>
        <v>1</v>
      </c>
      <c r="AC15" s="1354">
        <f t="shared" si="5"/>
        <v>1</v>
      </c>
    </row>
    <row r="16" spans="1:29" ht="14.25">
      <c r="A16" s="151"/>
      <c r="B16" s="156"/>
      <c r="C16" s="97"/>
      <c r="D16" s="791"/>
      <c r="E16" s="99"/>
      <c r="F16" s="791"/>
      <c r="G16" s="98"/>
      <c r="H16" s="793"/>
      <c r="I16" s="98"/>
      <c r="J16" s="791"/>
      <c r="K16" s="159"/>
      <c r="L16" s="2301"/>
      <c r="M16" s="2296"/>
      <c r="N16" s="2296"/>
      <c r="O16" s="2296"/>
      <c r="P16" s="3695"/>
      <c r="Q16" s="1350"/>
      <c r="R16" s="1351"/>
      <c r="S16" s="1352"/>
      <c r="T16" s="1351"/>
      <c r="U16" s="1352"/>
      <c r="V16" s="1351"/>
      <c r="W16" s="1352"/>
      <c r="X16" s="1339"/>
      <c r="Y16" s="3688"/>
      <c r="Z16" s="1353"/>
      <c r="AA16" s="1354">
        <v>1</v>
      </c>
      <c r="AB16" s="1354">
        <v>1</v>
      </c>
      <c r="AC16" s="1354">
        <v>1</v>
      </c>
    </row>
    <row r="17" spans="1:29" ht="162">
      <c r="A17" s="151"/>
      <c r="B17" s="1355" t="s">
        <v>72</v>
      </c>
      <c r="C17" s="158" t="str">
        <f>估价对象房地状况!C6</f>
        <v>估价对象紧邻城市次干道——怀耿路，半径1公里内有866、H07、H09、H44路等公交线路，周边有怀耿路、杨雁路两条城市次干道，西北距离怀柔火车站4公里，交通便捷度较差</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95"/>
      <c r="Q17" s="1350" t="str">
        <f>B17</f>
        <v>交通便捷度</v>
      </c>
      <c r="R17" s="1351" t="s">
        <v>104</v>
      </c>
      <c r="S17" s="1352">
        <f>F17</f>
        <v>100</v>
      </c>
      <c r="T17" s="1351" t="s">
        <v>104</v>
      </c>
      <c r="U17" s="1352">
        <f>H17</f>
        <v>100</v>
      </c>
      <c r="V17" s="1351" t="s">
        <v>104</v>
      </c>
      <c r="W17" s="1352">
        <f>J17</f>
        <v>100</v>
      </c>
      <c r="X17" s="1339"/>
      <c r="Y17" s="3688"/>
      <c r="Z17" s="1353" t="str">
        <f>Q17</f>
        <v>交通便捷度</v>
      </c>
      <c r="AA17" s="1354">
        <f t="shared" si="3"/>
        <v>1</v>
      </c>
      <c r="AB17" s="1354">
        <f t="shared" si="4"/>
        <v>1</v>
      </c>
      <c r="AC17" s="1354">
        <f t="shared" si="5"/>
        <v>1</v>
      </c>
    </row>
    <row r="18" spans="1:29" ht="14.25">
      <c r="A18" s="151"/>
      <c r="B18" s="1039"/>
      <c r="C18" s="102"/>
      <c r="D18" s="793"/>
      <c r="E18" s="104"/>
      <c r="F18" s="793"/>
      <c r="G18" s="103"/>
      <c r="H18" s="791"/>
      <c r="I18" s="103"/>
      <c r="J18" s="791"/>
      <c r="K18" s="159"/>
      <c r="L18" s="2301"/>
      <c r="M18" s="2296"/>
      <c r="N18" s="2296"/>
      <c r="O18" s="2296"/>
      <c r="P18" s="3695"/>
      <c r="Q18" s="1350"/>
      <c r="R18" s="1351"/>
      <c r="S18" s="1352"/>
      <c r="T18" s="1351"/>
      <c r="U18" s="1352"/>
      <c r="V18" s="1351"/>
      <c r="W18" s="1352"/>
      <c r="X18" s="1339"/>
      <c r="Y18" s="3688"/>
      <c r="Z18" s="1353"/>
      <c r="AA18" s="1354">
        <v>1</v>
      </c>
      <c r="AB18" s="1354">
        <v>1</v>
      </c>
      <c r="AC18" s="1354">
        <v>1</v>
      </c>
    </row>
    <row r="19" spans="1:29" ht="189">
      <c r="A19" s="151"/>
      <c r="B19" s="1355" t="s">
        <v>2629</v>
      </c>
      <c r="C19" s="158" t="str">
        <f>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95"/>
      <c r="Q19" s="1350" t="str">
        <f>B19</f>
        <v>公共配套设施</v>
      </c>
      <c r="R19" s="1351" t="s">
        <v>104</v>
      </c>
      <c r="S19" s="1352">
        <f>F19</f>
        <v>100</v>
      </c>
      <c r="T19" s="1351" t="s">
        <v>104</v>
      </c>
      <c r="U19" s="1352">
        <f>H19</f>
        <v>100</v>
      </c>
      <c r="V19" s="1351" t="s">
        <v>104</v>
      </c>
      <c r="W19" s="1352">
        <f>J19</f>
        <v>100</v>
      </c>
      <c r="X19" s="1339"/>
      <c r="Y19" s="3688"/>
      <c r="Z19" s="1353" t="str">
        <f>Q19</f>
        <v>公共配套设施</v>
      </c>
      <c r="AA19" s="1354">
        <f t="shared" si="3"/>
        <v>1</v>
      </c>
      <c r="AB19" s="1354">
        <f t="shared" si="4"/>
        <v>1</v>
      </c>
      <c r="AC19" s="1354">
        <f t="shared" si="5"/>
        <v>1</v>
      </c>
    </row>
    <row r="20" spans="1:29" ht="14.25">
      <c r="A20" s="151"/>
      <c r="B20" s="1039"/>
      <c r="C20" s="97"/>
      <c r="D20" s="791"/>
      <c r="E20" s="99"/>
      <c r="F20" s="791"/>
      <c r="G20" s="98"/>
      <c r="H20" s="791"/>
      <c r="I20" s="98"/>
      <c r="J20" s="791"/>
      <c r="K20" s="159"/>
      <c r="L20" s="2301"/>
      <c r="M20" s="2296"/>
      <c r="N20" s="2296"/>
      <c r="O20" s="2296"/>
      <c r="P20" s="3695"/>
      <c r="Q20" s="1350"/>
      <c r="R20" s="1351"/>
      <c r="S20" s="1352"/>
      <c r="T20" s="1351"/>
      <c r="U20" s="1352"/>
      <c r="V20" s="1351"/>
      <c r="W20" s="1352"/>
      <c r="X20" s="1339"/>
      <c r="Y20" s="3688"/>
      <c r="Z20" s="1353"/>
      <c r="AA20" s="1354">
        <v>1</v>
      </c>
      <c r="AB20" s="1354">
        <v>1</v>
      </c>
      <c r="AC20" s="1354">
        <v>1</v>
      </c>
    </row>
    <row r="21" spans="1:29" ht="40.5">
      <c r="A21" s="151"/>
      <c r="B21" s="1411" t="s">
        <v>2640</v>
      </c>
      <c r="C21" s="158" t="str">
        <f>估价对象房地状况!C8</f>
        <v>估价对象所在区域基础设施水平达到七通</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95"/>
      <c r="Q21" s="2746" t="str">
        <f>B21</f>
        <v>基础设施水平</v>
      </c>
      <c r="R21" s="1351" t="s">
        <v>65</v>
      </c>
      <c r="S21" s="1352">
        <f>F21</f>
        <v>100</v>
      </c>
      <c r="T21" s="1351" t="s">
        <v>65</v>
      </c>
      <c r="U21" s="1352">
        <f>H21</f>
        <v>100</v>
      </c>
      <c r="V21" s="1351" t="s">
        <v>65</v>
      </c>
      <c r="W21" s="1352">
        <f>J21</f>
        <v>100</v>
      </c>
      <c r="X21" s="2748"/>
      <c r="Y21" s="3688"/>
      <c r="Z21" s="2747"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1"/>
      <c r="G22" s="192"/>
      <c r="H22" s="791"/>
      <c r="I22" s="97"/>
      <c r="J22" s="791"/>
      <c r="K22" s="2763"/>
      <c r="L22" s="2301"/>
      <c r="M22" s="2296"/>
      <c r="N22" s="2296"/>
      <c r="O22" s="2296"/>
      <c r="P22" s="3695"/>
      <c r="Q22" s="2746"/>
      <c r="R22" s="1351"/>
      <c r="S22" s="1352"/>
      <c r="T22" s="1351"/>
      <c r="U22" s="1352"/>
      <c r="V22" s="1351"/>
      <c r="W22" s="1352"/>
      <c r="X22" s="2748"/>
      <c r="Y22" s="3688"/>
      <c r="Z22" s="2747"/>
      <c r="AA22" s="1354">
        <v>1</v>
      </c>
      <c r="AB22" s="1354">
        <v>1</v>
      </c>
      <c r="AC22" s="1354">
        <v>1</v>
      </c>
    </row>
    <row r="23" spans="1:29" ht="162">
      <c r="A23" s="151"/>
      <c r="B23" s="1355" t="s">
        <v>73</v>
      </c>
      <c r="C23" s="158" t="str">
        <f>估价对象房地状况!C9</f>
        <v>周边约1公里范围内有北京影视研修学院、北京怀柔中视腾飞影视培训学校等演艺教育学校，人文环境一般；周边有约1公里有栖河，自然环境一般。综合评价自然与人文环境一般</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95"/>
      <c r="Q23" s="1350" t="str">
        <f>B23</f>
        <v>自然及人文环境</v>
      </c>
      <c r="R23" s="1351" t="s">
        <v>104</v>
      </c>
      <c r="S23" s="1352">
        <f>F23</f>
        <v>100</v>
      </c>
      <c r="T23" s="1351" t="s">
        <v>104</v>
      </c>
      <c r="U23" s="1352">
        <f>H23</f>
        <v>100</v>
      </c>
      <c r="V23" s="1351" t="s">
        <v>104</v>
      </c>
      <c r="W23" s="1352">
        <f>J23</f>
        <v>100</v>
      </c>
      <c r="X23" s="1339"/>
      <c r="Y23" s="3688"/>
      <c r="Z23" s="1353" t="str">
        <f>Q23</f>
        <v>自然及人文环境</v>
      </c>
      <c r="AA23" s="1354">
        <f>D23/F23</f>
        <v>1</v>
      </c>
      <c r="AB23" s="1354">
        <f>D23/H23</f>
        <v>1</v>
      </c>
      <c r="AC23" s="1354">
        <f>D23/J23</f>
        <v>1</v>
      </c>
    </row>
    <row r="24" spans="1:29" ht="14.25">
      <c r="A24" s="151"/>
      <c r="B24" s="1039"/>
      <c r="C24" s="97"/>
      <c r="D24" s="791"/>
      <c r="E24" s="99"/>
      <c r="F24" s="791"/>
      <c r="G24" s="98"/>
      <c r="H24" s="791"/>
      <c r="I24" s="98"/>
      <c r="J24" s="791"/>
      <c r="K24" s="159"/>
      <c r="L24" s="2301"/>
      <c r="M24" s="2296"/>
      <c r="N24" s="2296"/>
      <c r="O24" s="2296"/>
      <c r="P24" s="3695"/>
      <c r="Q24" s="1350"/>
      <c r="R24" s="1351"/>
      <c r="S24" s="1352"/>
      <c r="T24" s="1351"/>
      <c r="U24" s="1352"/>
      <c r="V24" s="1351"/>
      <c r="W24" s="1352"/>
      <c r="X24" s="1339"/>
      <c r="Y24" s="3688"/>
      <c r="Z24" s="1353"/>
      <c r="AA24" s="1354">
        <v>1</v>
      </c>
      <c r="AB24" s="1354">
        <v>1</v>
      </c>
      <c r="AC24" s="1354">
        <v>1</v>
      </c>
    </row>
    <row r="25" spans="1:29" ht="15">
      <c r="A25" s="151"/>
      <c r="B25" s="12" t="s">
        <v>2291</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95"/>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88"/>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95"/>
      <c r="Q26" s="1350" t="str">
        <f t="shared" si="11"/>
        <v>朝向</v>
      </c>
      <c r="R26" s="1351" t="s">
        <v>104</v>
      </c>
      <c r="S26" s="1352">
        <f t="shared" si="12"/>
        <v>100</v>
      </c>
      <c r="T26" s="1351" t="s">
        <v>104</v>
      </c>
      <c r="U26" s="1352">
        <f t="shared" si="13"/>
        <v>100</v>
      </c>
      <c r="V26" s="1351" t="s">
        <v>104</v>
      </c>
      <c r="W26" s="1352">
        <f t="shared" si="14"/>
        <v>100</v>
      </c>
      <c r="X26" s="1339"/>
      <c r="Y26" s="3688"/>
      <c r="Z26" s="1353" t="str">
        <f>Q26</f>
        <v>朝向</v>
      </c>
      <c r="AA26" s="1354">
        <f t="shared" si="15"/>
        <v>1</v>
      </c>
      <c r="AB26" s="1354">
        <f t="shared" si="16"/>
        <v>1</v>
      </c>
      <c r="AC26" s="1354">
        <f t="shared" si="17"/>
        <v>1</v>
      </c>
    </row>
    <row r="27" spans="1:29" s="40" customFormat="1" ht="14.25">
      <c r="A27" s="1029"/>
      <c r="B27" s="1356">
        <v>111</v>
      </c>
      <c r="C27" s="1023"/>
      <c r="D27" s="805">
        <v>100</v>
      </c>
      <c r="E27" s="1025"/>
      <c r="F27" s="805">
        <f>SUMIF(90:90,E27,91:91)-SUMIF(90:90,C27,91:91)+100</f>
        <v>100</v>
      </c>
      <c r="G27" s="1026"/>
      <c r="H27" s="805">
        <f>SUMIF(90:90,G27,91:91)-SUMIF(90:90,C27,91:91)+100</f>
        <v>100</v>
      </c>
      <c r="I27" s="1026"/>
      <c r="J27" s="805">
        <f>SUMIF(90:90,I27,91:91)-SUMIF(90:90,C27,91:91)+100</f>
        <v>100</v>
      </c>
      <c r="K27" s="153"/>
      <c r="L27" s="2297"/>
      <c r="M27" s="2259"/>
      <c r="N27" s="2259"/>
      <c r="O27" s="2259"/>
      <c r="P27" s="3695"/>
      <c r="Q27" s="7">
        <f t="shared" si="11"/>
        <v>111</v>
      </c>
      <c r="R27" s="1341" t="s">
        <v>104</v>
      </c>
      <c r="S27" s="1342">
        <f t="shared" si="12"/>
        <v>100</v>
      </c>
      <c r="T27" s="1341" t="s">
        <v>104</v>
      </c>
      <c r="U27" s="1342">
        <f t="shared" si="13"/>
        <v>100</v>
      </c>
      <c r="V27" s="1341" t="s">
        <v>104</v>
      </c>
      <c r="W27" s="1342">
        <f t="shared" si="14"/>
        <v>100</v>
      </c>
      <c r="X27" s="287"/>
      <c r="Y27" s="3688"/>
      <c r="Z27" s="288">
        <f>Q27</f>
        <v>111</v>
      </c>
      <c r="AA27" s="1354">
        <f t="shared" si="15"/>
        <v>1</v>
      </c>
      <c r="AB27" s="1354">
        <f t="shared" si="16"/>
        <v>1</v>
      </c>
      <c r="AC27" s="1354">
        <f t="shared" si="17"/>
        <v>1</v>
      </c>
    </row>
    <row r="28" spans="1:29" ht="14.25">
      <c r="A28" s="151"/>
      <c r="B28" s="1356">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95"/>
      <c r="Q28" s="1350">
        <f t="shared" si="11"/>
        <v>111</v>
      </c>
      <c r="R28" s="1351" t="s">
        <v>104</v>
      </c>
      <c r="S28" s="1352">
        <f t="shared" si="12"/>
        <v>100</v>
      </c>
      <c r="T28" s="1351" t="s">
        <v>104</v>
      </c>
      <c r="U28" s="1352">
        <f t="shared" si="13"/>
        <v>100</v>
      </c>
      <c r="V28" s="1351" t="s">
        <v>104</v>
      </c>
      <c r="W28" s="1352">
        <f t="shared" si="14"/>
        <v>100</v>
      </c>
      <c r="X28" s="1339"/>
      <c r="Y28" s="3688"/>
      <c r="Z28" s="1353">
        <f t="shared" ref="Z28:Z46" si="18">Q28</f>
        <v>111</v>
      </c>
      <c r="AA28" s="1354">
        <f t="shared" si="15"/>
        <v>1</v>
      </c>
      <c r="AB28" s="1354">
        <f t="shared" si="16"/>
        <v>1</v>
      </c>
      <c r="AC28" s="1354">
        <f t="shared" si="17"/>
        <v>1</v>
      </c>
    </row>
    <row r="29" spans="1:29" ht="14.25">
      <c r="A29" s="151"/>
      <c r="B29" s="1356">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95"/>
      <c r="Q29" s="1350">
        <f t="shared" si="11"/>
        <v>111</v>
      </c>
      <c r="R29" s="1351" t="s">
        <v>104</v>
      </c>
      <c r="S29" s="1352">
        <f t="shared" si="12"/>
        <v>100</v>
      </c>
      <c r="T29" s="1351" t="s">
        <v>104</v>
      </c>
      <c r="U29" s="1352">
        <f t="shared" si="13"/>
        <v>100</v>
      </c>
      <c r="V29" s="1351" t="s">
        <v>104</v>
      </c>
      <c r="W29" s="1352">
        <f t="shared" si="14"/>
        <v>100</v>
      </c>
      <c r="X29" s="1339"/>
      <c r="Y29" s="3688"/>
      <c r="Z29" s="1353">
        <f t="shared" si="18"/>
        <v>111</v>
      </c>
      <c r="AA29" s="1354">
        <f t="shared" si="15"/>
        <v>1</v>
      </c>
      <c r="AB29" s="1354">
        <f t="shared" si="16"/>
        <v>1</v>
      </c>
      <c r="AC29" s="1354">
        <f t="shared" si="17"/>
        <v>1</v>
      </c>
    </row>
    <row r="30" spans="1:29" ht="14.25">
      <c r="A30" s="151"/>
      <c r="B30" s="1356">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95"/>
      <c r="Q30" s="1350">
        <f t="shared" si="11"/>
        <v>111</v>
      </c>
      <c r="R30" s="1351" t="s">
        <v>104</v>
      </c>
      <c r="S30" s="1352">
        <f t="shared" si="12"/>
        <v>100</v>
      </c>
      <c r="T30" s="1351" t="s">
        <v>104</v>
      </c>
      <c r="U30" s="1352">
        <f t="shared" si="13"/>
        <v>100</v>
      </c>
      <c r="V30" s="1351" t="s">
        <v>104</v>
      </c>
      <c r="W30" s="1352">
        <f t="shared" si="14"/>
        <v>100</v>
      </c>
      <c r="X30" s="1339"/>
      <c r="Y30" s="3688"/>
      <c r="Z30" s="1353">
        <f t="shared" si="18"/>
        <v>111</v>
      </c>
      <c r="AA30" s="1354">
        <f t="shared" si="15"/>
        <v>1</v>
      </c>
      <c r="AB30" s="1354">
        <f t="shared" si="16"/>
        <v>1</v>
      </c>
      <c r="AC30" s="1354">
        <f t="shared" si="17"/>
        <v>1</v>
      </c>
    </row>
    <row r="31" spans="1:29" ht="15" thickBot="1">
      <c r="A31" s="154"/>
      <c r="B31" s="1356">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95"/>
      <c r="Q31" s="1350">
        <f t="shared" si="11"/>
        <v>111</v>
      </c>
      <c r="R31" s="1351" t="s">
        <v>104</v>
      </c>
      <c r="S31" s="1352">
        <f t="shared" si="12"/>
        <v>100</v>
      </c>
      <c r="T31" s="1351" t="s">
        <v>104</v>
      </c>
      <c r="U31" s="1352">
        <f t="shared" si="13"/>
        <v>100</v>
      </c>
      <c r="V31" s="1351" t="s">
        <v>104</v>
      </c>
      <c r="W31" s="1352">
        <f t="shared" si="14"/>
        <v>100</v>
      </c>
      <c r="X31" s="1339"/>
      <c r="Y31" s="3688"/>
      <c r="Z31" s="1353">
        <f t="shared" si="18"/>
        <v>111</v>
      </c>
      <c r="AA31" s="1354">
        <f t="shared" si="15"/>
        <v>1</v>
      </c>
      <c r="AB31" s="1354">
        <f t="shared" si="16"/>
        <v>1</v>
      </c>
      <c r="AC31" s="1354">
        <f t="shared" si="17"/>
        <v>1</v>
      </c>
    </row>
    <row r="32" spans="1:29" ht="15">
      <c r="A32" s="155" t="s">
        <v>999</v>
      </c>
      <c r="B32" s="62" t="s">
        <v>75</v>
      </c>
      <c r="C32" s="110"/>
      <c r="D32" s="809">
        <v>100</v>
      </c>
      <c r="E32" s="111"/>
      <c r="F32" s="804">
        <f>SUMIF(100:100,E32,101:101)-SUMIF(100:100,C32,101:101)+100</f>
        <v>100</v>
      </c>
      <c r="G32" s="110"/>
      <c r="H32" s="809">
        <f>SUMIF(100:100,G32,101:101)-SUMIF(100:100,C32,101:101)+100</f>
        <v>100</v>
      </c>
      <c r="I32" s="111"/>
      <c r="J32" s="778">
        <f>SUMIF(100:100,I32,101:101)-SUMIF(100:100,C32,101:101)+100</f>
        <v>100</v>
      </c>
      <c r="K32" s="769"/>
      <c r="L32" s="2301"/>
      <c r="M32" s="2296"/>
      <c r="N32" s="2296"/>
      <c r="O32" s="2296"/>
      <c r="P32" s="3689" t="s">
        <v>70</v>
      </c>
      <c r="Q32" s="1350" t="str">
        <f t="shared" si="11"/>
        <v>建筑类型</v>
      </c>
      <c r="R32" s="1351" t="s">
        <v>104</v>
      </c>
      <c r="S32" s="1352">
        <f t="shared" si="12"/>
        <v>100</v>
      </c>
      <c r="T32" s="1351" t="s">
        <v>104</v>
      </c>
      <c r="U32" s="1352">
        <f t="shared" si="13"/>
        <v>100</v>
      </c>
      <c r="V32" s="1351" t="s">
        <v>104</v>
      </c>
      <c r="W32" s="1352">
        <f t="shared" si="14"/>
        <v>100</v>
      </c>
      <c r="X32" s="1339"/>
      <c r="Y32" s="3692" t="s">
        <v>70</v>
      </c>
      <c r="Z32" s="1353" t="str">
        <f t="shared" si="18"/>
        <v>建筑类型</v>
      </c>
      <c r="AA32" s="1354">
        <f t="shared" si="15"/>
        <v>1</v>
      </c>
      <c r="AB32" s="1354">
        <f t="shared" si="16"/>
        <v>1</v>
      </c>
      <c r="AC32" s="1354">
        <f t="shared" si="17"/>
        <v>1</v>
      </c>
    </row>
    <row r="33" spans="1:29" s="1038" customFormat="1" ht="14.25">
      <c r="A33" s="1042"/>
      <c r="B33" s="12" t="s">
        <v>76</v>
      </c>
      <c r="C33" s="811"/>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90"/>
      <c r="Q33" s="1358" t="str">
        <f t="shared" si="11"/>
        <v>项目建筑规模</v>
      </c>
      <c r="R33" s="1359" t="s">
        <v>104</v>
      </c>
      <c r="S33" s="1360" t="e">
        <f t="shared" si="12"/>
        <v>#N/A</v>
      </c>
      <c r="T33" s="1359" t="s">
        <v>104</v>
      </c>
      <c r="U33" s="1360" t="e">
        <f t="shared" si="13"/>
        <v>#N/A</v>
      </c>
      <c r="V33" s="1359" t="s">
        <v>104</v>
      </c>
      <c r="W33" s="1360" t="e">
        <f t="shared" si="14"/>
        <v>#N/A</v>
      </c>
      <c r="X33" s="1361"/>
      <c r="Y33" s="3692"/>
      <c r="Z33" s="1362" t="str">
        <f t="shared" si="18"/>
        <v>项目建筑规模</v>
      </c>
      <c r="AA33" s="1354" t="e">
        <f t="shared" si="15"/>
        <v>#N/A</v>
      </c>
      <c r="AB33" s="1354" t="e">
        <f t="shared" si="16"/>
        <v>#N/A</v>
      </c>
      <c r="AC33" s="1354"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90"/>
      <c r="Q34" s="1350" t="str">
        <f t="shared" si="11"/>
        <v>建筑结构</v>
      </c>
      <c r="R34" s="1351" t="s">
        <v>104</v>
      </c>
      <c r="S34" s="1352">
        <f t="shared" si="12"/>
        <v>100</v>
      </c>
      <c r="T34" s="1351" t="s">
        <v>104</v>
      </c>
      <c r="U34" s="1352">
        <f t="shared" si="13"/>
        <v>100</v>
      </c>
      <c r="V34" s="1351" t="s">
        <v>104</v>
      </c>
      <c r="W34" s="1352">
        <f t="shared" si="14"/>
        <v>100</v>
      </c>
      <c r="X34" s="1339"/>
      <c r="Y34" s="3692"/>
      <c r="Z34" s="1353" t="str">
        <f t="shared" si="18"/>
        <v>建筑结构</v>
      </c>
      <c r="AA34" s="1354">
        <f t="shared" si="15"/>
        <v>1</v>
      </c>
      <c r="AB34" s="1354">
        <f t="shared" si="16"/>
        <v>1</v>
      </c>
      <c r="AC34" s="1354">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90"/>
      <c r="Q35" s="1350" t="str">
        <f t="shared" si="11"/>
        <v>建筑品质</v>
      </c>
      <c r="R35" s="1351" t="s">
        <v>104</v>
      </c>
      <c r="S35" s="1352">
        <f t="shared" si="12"/>
        <v>100</v>
      </c>
      <c r="T35" s="1351" t="s">
        <v>104</v>
      </c>
      <c r="U35" s="1352">
        <f t="shared" si="13"/>
        <v>100</v>
      </c>
      <c r="V35" s="1351" t="s">
        <v>104</v>
      </c>
      <c r="W35" s="1352">
        <f t="shared" si="14"/>
        <v>100</v>
      </c>
      <c r="X35" s="1339"/>
      <c r="Y35" s="3692"/>
      <c r="Z35" s="1353" t="str">
        <f t="shared" si="18"/>
        <v>建筑品质</v>
      </c>
      <c r="AA35" s="1354">
        <f t="shared" si="15"/>
        <v>1</v>
      </c>
      <c r="AB35" s="1354">
        <f t="shared" si="16"/>
        <v>1</v>
      </c>
      <c r="AC35" s="1354">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90"/>
      <c r="Q36" s="1350" t="str">
        <f t="shared" si="11"/>
        <v>公共部分装修</v>
      </c>
      <c r="R36" s="1351" t="s">
        <v>104</v>
      </c>
      <c r="S36" s="1352">
        <f t="shared" si="12"/>
        <v>100</v>
      </c>
      <c r="T36" s="1351" t="s">
        <v>104</v>
      </c>
      <c r="U36" s="1352">
        <f t="shared" si="13"/>
        <v>100</v>
      </c>
      <c r="V36" s="1351" t="s">
        <v>104</v>
      </c>
      <c r="W36" s="1352">
        <f t="shared" si="14"/>
        <v>100</v>
      </c>
      <c r="X36" s="1339"/>
      <c r="Y36" s="3692"/>
      <c r="Z36" s="1353" t="str">
        <f t="shared" si="18"/>
        <v>公共部分装修</v>
      </c>
      <c r="AA36" s="1354">
        <f t="shared" si="15"/>
        <v>1</v>
      </c>
      <c r="AB36" s="1354">
        <f t="shared" si="16"/>
        <v>1</v>
      </c>
      <c r="AC36" s="1354">
        <f t="shared" si="17"/>
        <v>1</v>
      </c>
    </row>
    <row r="37" spans="1:29" s="40" customFormat="1" ht="15">
      <c r="A37" s="1040"/>
      <c r="B37" s="12" t="s">
        <v>80</v>
      </c>
      <c r="C37" s="816"/>
      <c r="D37" s="426">
        <v>100</v>
      </c>
      <c r="E37" s="816"/>
      <c r="F37" s="768" t="e">
        <f>LOOKUP(E37,112:112,113:113)-LOOKUP(C37,112:112,113:113)+100</f>
        <v>#N/A</v>
      </c>
      <c r="G37" s="818"/>
      <c r="H37" s="426" t="e">
        <f>LOOKUP(G37,112:112,113:113)-LOOKUP(C37,112:112,113:113)+100</f>
        <v>#N/A</v>
      </c>
      <c r="I37" s="817"/>
      <c r="J37" s="426" t="e">
        <f>LOOKUP(I37,112:112,113:113)-LOOKUP(C37,112:112,113:113)+100</f>
        <v>#N/A</v>
      </c>
      <c r="K37" s="769"/>
      <c r="L37" s="2297"/>
      <c r="M37" s="2259"/>
      <c r="N37" s="2259"/>
      <c r="O37" s="2259"/>
      <c r="P37" s="3690"/>
      <c r="Q37" s="7" t="str">
        <f t="shared" si="11"/>
        <v>成新度</v>
      </c>
      <c r="R37" s="1341" t="s">
        <v>104</v>
      </c>
      <c r="S37" s="1342" t="e">
        <f t="shared" si="12"/>
        <v>#N/A</v>
      </c>
      <c r="T37" s="1341" t="s">
        <v>104</v>
      </c>
      <c r="U37" s="1342" t="e">
        <f t="shared" si="13"/>
        <v>#N/A</v>
      </c>
      <c r="V37" s="1341" t="s">
        <v>104</v>
      </c>
      <c r="W37" s="1342" t="e">
        <f t="shared" si="14"/>
        <v>#N/A</v>
      </c>
      <c r="X37" s="287"/>
      <c r="Y37" s="3692"/>
      <c r="Z37" s="288" t="str">
        <f t="shared" si="18"/>
        <v>成新度</v>
      </c>
      <c r="AA37" s="1343" t="e">
        <f t="shared" si="15"/>
        <v>#N/A</v>
      </c>
      <c r="AB37" s="1343" t="e">
        <f t="shared" si="16"/>
        <v>#N/A</v>
      </c>
      <c r="AC37" s="1343"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90" t="s">
        <v>70</v>
      </c>
      <c r="Q38" s="1350" t="str">
        <f t="shared" si="11"/>
        <v>物业管理</v>
      </c>
      <c r="R38" s="1351" t="s">
        <v>104</v>
      </c>
      <c r="S38" s="1352">
        <f t="shared" si="12"/>
        <v>100</v>
      </c>
      <c r="T38" s="1351" t="s">
        <v>104</v>
      </c>
      <c r="U38" s="1352">
        <f t="shared" si="13"/>
        <v>100</v>
      </c>
      <c r="V38" s="1351" t="s">
        <v>104</v>
      </c>
      <c r="W38" s="1352">
        <f t="shared" si="14"/>
        <v>100</v>
      </c>
      <c r="X38" s="1339"/>
      <c r="Y38" s="3692" t="s">
        <v>70</v>
      </c>
      <c r="Z38" s="1353" t="str">
        <f t="shared" si="18"/>
        <v>物业管理</v>
      </c>
      <c r="AA38" s="1354">
        <f t="shared" si="15"/>
        <v>1</v>
      </c>
      <c r="AB38" s="1354">
        <f t="shared" si="16"/>
        <v>1</v>
      </c>
      <c r="AC38" s="1354">
        <f t="shared" si="17"/>
        <v>1</v>
      </c>
    </row>
    <row r="39" spans="1:29" ht="15">
      <c r="A39" s="161"/>
      <c r="B39" s="12" t="s">
        <v>2641</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90"/>
      <c r="Q39" s="1350" t="str">
        <f t="shared" si="11"/>
        <v>市政基础设施</v>
      </c>
      <c r="R39" s="1351" t="s">
        <v>104</v>
      </c>
      <c r="S39" s="1352">
        <f t="shared" si="12"/>
        <v>100</v>
      </c>
      <c r="T39" s="1351" t="s">
        <v>104</v>
      </c>
      <c r="U39" s="1352">
        <f t="shared" si="13"/>
        <v>100</v>
      </c>
      <c r="V39" s="1351" t="s">
        <v>104</v>
      </c>
      <c r="W39" s="1352">
        <f t="shared" si="14"/>
        <v>100</v>
      </c>
      <c r="X39" s="1339"/>
      <c r="Y39" s="3692"/>
      <c r="Z39" s="1353" t="str">
        <f t="shared" si="18"/>
        <v>市政基础设施</v>
      </c>
      <c r="AA39" s="1354">
        <f t="shared" si="15"/>
        <v>1</v>
      </c>
      <c r="AB39" s="1354">
        <f t="shared" si="16"/>
        <v>1</v>
      </c>
      <c r="AC39" s="1354">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90"/>
      <c r="Q40" s="1350" t="str">
        <f t="shared" si="11"/>
        <v>房型</v>
      </c>
      <c r="R40" s="1351" t="s">
        <v>104</v>
      </c>
      <c r="S40" s="1352">
        <f t="shared" si="12"/>
        <v>100</v>
      </c>
      <c r="T40" s="1351" t="s">
        <v>104</v>
      </c>
      <c r="U40" s="1352">
        <f t="shared" si="13"/>
        <v>100</v>
      </c>
      <c r="V40" s="1351" t="s">
        <v>104</v>
      </c>
      <c r="W40" s="1352">
        <f t="shared" si="14"/>
        <v>100</v>
      </c>
      <c r="X40" s="1339"/>
      <c r="Y40" s="3692"/>
      <c r="Z40" s="1353" t="str">
        <f t="shared" si="18"/>
        <v>房型</v>
      </c>
      <c r="AA40" s="1354">
        <f t="shared" si="15"/>
        <v>1</v>
      </c>
      <c r="AB40" s="1354">
        <f t="shared" si="16"/>
        <v>1</v>
      </c>
      <c r="AC40" s="1354">
        <f t="shared" si="17"/>
        <v>1</v>
      </c>
    </row>
    <row r="41" spans="1:29" s="1038" customFormat="1" ht="27">
      <c r="A41" s="1042"/>
      <c r="B41" s="12" t="s">
        <v>105</v>
      </c>
      <c r="C41" s="1357"/>
      <c r="D41" s="426">
        <v>100</v>
      </c>
      <c r="E41" s="1028"/>
      <c r="F41" s="768">
        <f>SUMIF(120:120,E41,121:121)-SUMIF(120:120,C41,121:121)+100</f>
        <v>100</v>
      </c>
      <c r="G41" s="1027"/>
      <c r="H41" s="426">
        <f>SUMIF(120:120,G41,121:121)-SUMIF(120:120,C41,121:121)+100</f>
        <v>100</v>
      </c>
      <c r="I41" s="114"/>
      <c r="J41" s="778">
        <f>SUMIF(120:120,I41,121:121)-SUMIF(120:120,C41,121:121)+100</f>
        <v>100</v>
      </c>
      <c r="K41" s="153"/>
      <c r="L41" s="2300"/>
      <c r="M41" s="2302"/>
      <c r="N41" s="2302"/>
      <c r="O41" s="2302"/>
      <c r="P41" s="3690"/>
      <c r="Q41" s="1358" t="str">
        <f t="shared" si="11"/>
        <v>单套/主力户型建筑面积</v>
      </c>
      <c r="R41" s="1359" t="s">
        <v>104</v>
      </c>
      <c r="S41" s="1360">
        <f t="shared" si="12"/>
        <v>100</v>
      </c>
      <c r="T41" s="1359" t="s">
        <v>104</v>
      </c>
      <c r="U41" s="1360">
        <f t="shared" si="13"/>
        <v>100</v>
      </c>
      <c r="V41" s="1359" t="s">
        <v>104</v>
      </c>
      <c r="W41" s="1360">
        <f t="shared" si="14"/>
        <v>100</v>
      </c>
      <c r="X41" s="1361"/>
      <c r="Y41" s="3692"/>
      <c r="Z41" s="1362" t="str">
        <f t="shared" si="18"/>
        <v>单套/主力户型建筑面积</v>
      </c>
      <c r="AA41" s="1354">
        <f t="shared" si="15"/>
        <v>1</v>
      </c>
      <c r="AB41" s="1354">
        <f t="shared" si="16"/>
        <v>1</v>
      </c>
      <c r="AC41" s="1354">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90"/>
      <c r="Q42" s="1350" t="str">
        <f t="shared" si="11"/>
        <v>内部装修</v>
      </c>
      <c r="R42" s="1351" t="s">
        <v>104</v>
      </c>
      <c r="S42" s="1352">
        <f t="shared" si="12"/>
        <v>100</v>
      </c>
      <c r="T42" s="1351" t="s">
        <v>104</v>
      </c>
      <c r="U42" s="1352">
        <f t="shared" si="13"/>
        <v>100</v>
      </c>
      <c r="V42" s="1351" t="s">
        <v>104</v>
      </c>
      <c r="W42" s="1352">
        <f t="shared" si="14"/>
        <v>100</v>
      </c>
      <c r="X42" s="1339"/>
      <c r="Y42" s="3692"/>
      <c r="Z42" s="1353" t="str">
        <f t="shared" si="18"/>
        <v>内部装修</v>
      </c>
      <c r="AA42" s="1354">
        <f t="shared" si="15"/>
        <v>1</v>
      </c>
      <c r="AB42" s="1354">
        <f t="shared" si="16"/>
        <v>1</v>
      </c>
      <c r="AC42" s="1354">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90"/>
      <c r="Q43" s="1350" t="str">
        <f t="shared" si="11"/>
        <v>内部装修维护情况</v>
      </c>
      <c r="R43" s="1351" t="s">
        <v>104</v>
      </c>
      <c r="S43" s="1352">
        <f t="shared" si="12"/>
        <v>100</v>
      </c>
      <c r="T43" s="1351" t="s">
        <v>104</v>
      </c>
      <c r="U43" s="1352">
        <f t="shared" si="13"/>
        <v>100</v>
      </c>
      <c r="V43" s="1351" t="s">
        <v>104</v>
      </c>
      <c r="W43" s="1352">
        <f t="shared" si="14"/>
        <v>100</v>
      </c>
      <c r="X43" s="1339"/>
      <c r="Y43" s="3692"/>
      <c r="Z43" s="1353" t="str">
        <f t="shared" si="18"/>
        <v>内部装修维护情况</v>
      </c>
      <c r="AA43" s="1354">
        <f t="shared" si="15"/>
        <v>1</v>
      </c>
      <c r="AB43" s="1354">
        <f t="shared" si="16"/>
        <v>1</v>
      </c>
      <c r="AC43" s="1354">
        <f t="shared" si="17"/>
        <v>1</v>
      </c>
    </row>
    <row r="44" spans="1:29" s="40" customFormat="1" ht="14.25">
      <c r="A44" s="1040"/>
      <c r="B44" s="1356">
        <v>111</v>
      </c>
      <c r="C44" s="1357"/>
      <c r="D44" s="426">
        <v>100</v>
      </c>
      <c r="E44" s="1357"/>
      <c r="F44" s="768">
        <f>SUMIF(126:126,E44,127:127)-SUMIF(126:126,C44,127:127)+100</f>
        <v>100</v>
      </c>
      <c r="G44" s="1357"/>
      <c r="H44" s="426">
        <f>SUMIF(126:126,G44,127:127)-SUMIF(126:126,C44,127:127)+100</f>
        <v>100</v>
      </c>
      <c r="I44" s="1357"/>
      <c r="J44" s="426">
        <f>SUMIF(126:126,I44,127:127)-SUMIF(126:126,C44,127:127)+100</f>
        <v>100</v>
      </c>
      <c r="K44" s="153"/>
      <c r="L44" s="2297"/>
      <c r="M44" s="2259"/>
      <c r="N44" s="2259"/>
      <c r="O44" s="2259"/>
      <c r="P44" s="3690"/>
      <c r="Q44" s="7">
        <f t="shared" si="11"/>
        <v>111</v>
      </c>
      <c r="R44" s="1341" t="s">
        <v>104</v>
      </c>
      <c r="S44" s="1342">
        <f t="shared" si="12"/>
        <v>100</v>
      </c>
      <c r="T44" s="1341" t="s">
        <v>104</v>
      </c>
      <c r="U44" s="1342">
        <f t="shared" si="13"/>
        <v>100</v>
      </c>
      <c r="V44" s="1341" t="s">
        <v>104</v>
      </c>
      <c r="W44" s="1342">
        <f t="shared" si="14"/>
        <v>100</v>
      </c>
      <c r="X44" s="287"/>
      <c r="Y44" s="3692"/>
      <c r="Z44" s="288">
        <f t="shared" si="18"/>
        <v>111</v>
      </c>
      <c r="AA44" s="1343">
        <f t="shared" si="15"/>
        <v>1</v>
      </c>
      <c r="AB44" s="1343">
        <f t="shared" si="16"/>
        <v>1</v>
      </c>
      <c r="AC44" s="1343">
        <f t="shared" si="17"/>
        <v>1</v>
      </c>
    </row>
    <row r="45" spans="1:29" ht="14.25">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90"/>
      <c r="Q45" s="1350">
        <f t="shared" si="11"/>
        <v>111</v>
      </c>
      <c r="R45" s="1351" t="s">
        <v>104</v>
      </c>
      <c r="S45" s="1352">
        <f t="shared" si="12"/>
        <v>100</v>
      </c>
      <c r="T45" s="1351" t="s">
        <v>104</v>
      </c>
      <c r="U45" s="1352">
        <f t="shared" si="13"/>
        <v>100</v>
      </c>
      <c r="V45" s="1351" t="s">
        <v>104</v>
      </c>
      <c r="W45" s="1352">
        <f t="shared" si="14"/>
        <v>100</v>
      </c>
      <c r="X45" s="1339"/>
      <c r="Y45" s="3692"/>
      <c r="Z45" s="1353">
        <f t="shared" si="18"/>
        <v>111</v>
      </c>
      <c r="AA45" s="1354">
        <f t="shared" si="15"/>
        <v>1</v>
      </c>
      <c r="AB45" s="1354">
        <f t="shared" si="16"/>
        <v>1</v>
      </c>
      <c r="AC45" s="1354">
        <f t="shared" si="17"/>
        <v>1</v>
      </c>
    </row>
    <row r="46" spans="1:29" ht="15" thickBot="1">
      <c r="A46" s="162"/>
      <c r="B46" s="1031">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91"/>
      <c r="Q46" s="1350">
        <f t="shared" si="11"/>
        <v>111</v>
      </c>
      <c r="R46" s="1351" t="s">
        <v>103</v>
      </c>
      <c r="S46" s="1352">
        <f t="shared" si="12"/>
        <v>100</v>
      </c>
      <c r="T46" s="1351" t="s">
        <v>103</v>
      </c>
      <c r="U46" s="1352">
        <f t="shared" si="13"/>
        <v>100</v>
      </c>
      <c r="V46" s="1351" t="s">
        <v>103</v>
      </c>
      <c r="W46" s="1352">
        <f t="shared" si="14"/>
        <v>100</v>
      </c>
      <c r="X46" s="1339"/>
      <c r="Y46" s="3693"/>
      <c r="Z46" s="1353">
        <f t="shared" si="18"/>
        <v>111</v>
      </c>
      <c r="AA46" s="1354">
        <f t="shared" si="15"/>
        <v>1</v>
      </c>
      <c r="AB46" s="1354">
        <f t="shared" si="16"/>
        <v>1</v>
      </c>
      <c r="AC46" s="1354">
        <f t="shared" si="17"/>
        <v>1</v>
      </c>
    </row>
    <row r="47" spans="1:29" ht="15">
      <c r="A47" s="163" t="s">
        <v>102</v>
      </c>
      <c r="B47" s="164"/>
      <c r="C47" s="2833" t="s">
        <v>101</v>
      </c>
      <c r="D47" s="2834"/>
      <c r="E47" s="2835"/>
      <c r="F47" s="2836"/>
      <c r="G47" s="2837"/>
      <c r="H47" s="2838"/>
      <c r="I47" s="2835"/>
      <c r="J47" s="2838"/>
      <c r="K47" s="1363"/>
      <c r="L47" s="2303"/>
      <c r="M47" s="2304"/>
      <c r="N47" s="2296"/>
      <c r="O47" s="2304"/>
      <c r="P47" s="3685" t="str">
        <f>A47</f>
        <v>成交单价（元/平方米）</v>
      </c>
      <c r="Q47" s="3685"/>
      <c r="R47" s="3686">
        <f>E47</f>
        <v>0</v>
      </c>
      <c r="S47" s="3686"/>
      <c r="T47" s="3686">
        <f>G47</f>
        <v>0</v>
      </c>
      <c r="U47" s="3686"/>
      <c r="V47" s="3686">
        <f>I47</f>
        <v>0</v>
      </c>
      <c r="W47" s="3686"/>
      <c r="X47" s="1364"/>
      <c r="Y47" s="1365"/>
      <c r="Z47" s="1364"/>
      <c r="AA47" s="1364"/>
      <c r="AB47" s="1364"/>
      <c r="AC47" s="1364"/>
    </row>
    <row r="48" spans="1:29" ht="15.75" thickBot="1">
      <c r="A48" s="165" t="s">
        <v>100</v>
      </c>
      <c r="B48" s="166"/>
      <c r="C48" s="2839" t="e">
        <f>R49</f>
        <v>#DIV/0!</v>
      </c>
      <c r="D48" s="2840"/>
      <c r="E48" s="2841" t="e">
        <f>R48</f>
        <v>#DIV/0!</v>
      </c>
      <c r="F48" s="2841"/>
      <c r="G48" s="2839" t="e">
        <f>T48</f>
        <v>#DIV/0!</v>
      </c>
      <c r="H48" s="2840"/>
      <c r="I48" s="2841" t="e">
        <f>V48</f>
        <v>#DIV/0!</v>
      </c>
      <c r="J48" s="2840"/>
      <c r="K48" s="1366"/>
      <c r="L48" s="2303"/>
      <c r="M48" s="2304"/>
      <c r="N48" s="2304"/>
      <c r="O48" s="2304"/>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1364"/>
      <c r="Y48" s="1364"/>
      <c r="Z48" s="1364"/>
      <c r="AA48" s="1364"/>
      <c r="AB48" s="1364"/>
      <c r="AC48" s="1364"/>
    </row>
    <row r="49" spans="1:29" ht="15.75" thickBot="1">
      <c r="A49" s="115" t="s">
        <v>3013</v>
      </c>
      <c r="B49" s="116"/>
      <c r="C49" s="2842" t="e">
        <f>R49</f>
        <v>#DIV/0!</v>
      </c>
      <c r="D49" s="2843"/>
      <c r="E49" s="2843"/>
      <c r="F49" s="2843"/>
      <c r="G49" s="2843"/>
      <c r="H49" s="2843"/>
      <c r="I49" s="2843"/>
      <c r="J49" s="2843"/>
      <c r="K49" s="1367"/>
      <c r="L49" s="2303"/>
      <c r="M49" s="2304"/>
      <c r="N49" s="2304"/>
      <c r="O49" s="2304"/>
      <c r="P49" s="3682" t="str">
        <f>A49</f>
        <v>估价对象XX用房的比较价值（楼面单价，元/平方米）</v>
      </c>
      <c r="Q49" s="3683"/>
      <c r="R49" s="3684" t="e">
        <f>IF(F1="售价",ROUND(AVERAGE(R48:V48),0),ROUND(AVERAGE(R48:V48),1))</f>
        <v>#DIV/0!</v>
      </c>
      <c r="S49" s="3684"/>
      <c r="T49" s="3684"/>
      <c r="U49" s="3684"/>
      <c r="V49" s="3684"/>
      <c r="W49" s="3684"/>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5"/>
      <c r="L52" s="2306"/>
      <c r="M52" s="2304"/>
      <c r="N52" s="2304"/>
      <c r="O52" s="2304"/>
    </row>
    <row r="53" spans="1:29" ht="13.5" customHeight="1">
      <c r="A53" s="2304"/>
      <c r="B53" s="2304"/>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5"/>
      <c r="L53" s="2306"/>
      <c r="M53" s="2304"/>
      <c r="N53" s="2304"/>
      <c r="O53" s="2304"/>
    </row>
    <row r="54" spans="1:29" s="119" customFormat="1" ht="13.5" customHeight="1">
      <c r="A54" s="2309"/>
      <c r="B54" s="2309"/>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7"/>
      <c r="L54" s="2308"/>
      <c r="M54" s="2309"/>
      <c r="N54" s="2309"/>
      <c r="O54" s="2309"/>
      <c r="P54" s="1370"/>
    </row>
    <row r="55" spans="1:29" s="119" customFormat="1">
      <c r="A55" s="2309"/>
      <c r="B55" s="2314"/>
      <c r="C55" s="2315"/>
      <c r="D55" s="2309"/>
      <c r="E55" s="2309"/>
      <c r="F55" s="2309"/>
      <c r="G55" s="2309"/>
      <c r="H55" s="2309"/>
      <c r="I55" s="2309"/>
      <c r="J55" s="2309"/>
      <c r="K55" s="2307"/>
      <c r="L55" s="2308"/>
      <c r="M55" s="2309"/>
      <c r="N55" s="2309"/>
      <c r="O55" s="2309"/>
      <c r="P55" s="1370"/>
    </row>
    <row r="56" spans="1:29">
      <c r="A56" s="2304"/>
      <c r="B56" s="2314"/>
      <c r="C56" s="2315"/>
      <c r="D56" s="2304"/>
      <c r="E56" s="2304"/>
      <c r="F56" s="2304"/>
      <c r="G56" s="2304"/>
      <c r="H56" s="2304"/>
      <c r="I56" s="2304"/>
      <c r="J56" s="2304"/>
      <c r="K56" s="2305"/>
      <c r="L56" s="2306"/>
      <c r="M56" s="2304"/>
      <c r="N56" s="2304"/>
      <c r="O56" s="2304"/>
    </row>
    <row r="57" spans="1:29" ht="21" thickBot="1">
      <c r="A57" s="1371" t="s">
        <v>127</v>
      </c>
      <c r="B57" s="1364"/>
      <c r="C57" s="1372"/>
      <c r="D57" s="1372"/>
      <c r="E57" s="1372"/>
      <c r="F57" s="1373"/>
      <c r="G57" s="1373"/>
      <c r="H57" s="1372"/>
      <c r="I57" s="1372"/>
      <c r="J57" s="1372"/>
      <c r="K57" s="2310"/>
      <c r="L57" s="2311"/>
      <c r="M57" s="2312"/>
      <c r="N57" s="2312"/>
      <c r="O57" s="2312"/>
      <c r="P57" s="1375"/>
      <c r="Q57" s="121"/>
    </row>
    <row r="58" spans="1:29" s="850" customFormat="1" ht="15">
      <c r="A58" s="847" t="s">
        <v>2793</v>
      </c>
      <c r="B58" s="848"/>
      <c r="C58" s="3042" t="str">
        <f>YEAR(C7)&amp;"-"&amp;MONTH(C7)</f>
        <v>2017-9</v>
      </c>
      <c r="D58" s="3041">
        <f>EDATE(C58,-1)</f>
        <v>42948</v>
      </c>
      <c r="E58" s="3041">
        <f>EDATE(D58,-1)</f>
        <v>42917</v>
      </c>
      <c r="F58" s="3041">
        <f t="shared" ref="F58:O58" si="19">EDATE(E58,-1)</f>
        <v>42887</v>
      </c>
      <c r="G58" s="3041">
        <f t="shared" si="19"/>
        <v>42856</v>
      </c>
      <c r="H58" s="3041">
        <f t="shared" si="19"/>
        <v>42826</v>
      </c>
      <c r="I58" s="3041">
        <f t="shared" si="19"/>
        <v>42795</v>
      </c>
      <c r="J58" s="3041">
        <f t="shared" si="19"/>
        <v>42767</v>
      </c>
      <c r="K58" s="3041">
        <f t="shared" si="19"/>
        <v>42736</v>
      </c>
      <c r="L58" s="3041">
        <f t="shared" si="19"/>
        <v>42705</v>
      </c>
      <c r="M58" s="3041">
        <f t="shared" si="19"/>
        <v>42675</v>
      </c>
      <c r="N58" s="3041">
        <f t="shared" si="19"/>
        <v>42644</v>
      </c>
      <c r="O58" s="3041">
        <f t="shared" si="19"/>
        <v>42614</v>
      </c>
      <c r="P58" s="3034"/>
    </row>
    <row r="59" spans="1:29" s="40" customFormat="1" ht="14.25">
      <c r="A59" s="1044"/>
      <c r="B59" s="3037"/>
      <c r="C59" s="3038">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1006</v>
      </c>
      <c r="D65" s="881" t="s">
        <v>1007</v>
      </c>
      <c r="E65" s="881" t="s">
        <v>1008</v>
      </c>
      <c r="F65" s="881" t="s">
        <v>1009</v>
      </c>
      <c r="G65" s="881" t="s">
        <v>1010</v>
      </c>
      <c r="H65" s="881" t="s">
        <v>1011</v>
      </c>
      <c r="I65" s="881" t="s">
        <v>1012</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1"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1013</v>
      </c>
      <c r="D76" s="915" t="s">
        <v>1014</v>
      </c>
      <c r="E76" s="915" t="s">
        <v>1015</v>
      </c>
      <c r="F76" s="915" t="s">
        <v>1016</v>
      </c>
      <c r="G76" s="915" t="s">
        <v>1017</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1013</v>
      </c>
      <c r="D78" s="920" t="s">
        <v>1014</v>
      </c>
      <c r="E78" s="920" t="s">
        <v>1015</v>
      </c>
      <c r="F78" s="920" t="s">
        <v>1016</v>
      </c>
      <c r="G78" s="920" t="s">
        <v>1017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2633</v>
      </c>
      <c r="C80" s="920" t="s">
        <v>1013</v>
      </c>
      <c r="D80" s="920" t="s">
        <v>1014</v>
      </c>
      <c r="E80" s="920" t="s">
        <v>426</v>
      </c>
      <c r="F80" s="920" t="s">
        <v>427</v>
      </c>
      <c r="G80" s="920" t="s">
        <v>428</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2643</v>
      </c>
      <c r="C82" s="177" t="s">
        <v>2644</v>
      </c>
      <c r="D82" s="177" t="s">
        <v>2648</v>
      </c>
      <c r="E82" s="177" t="s">
        <v>2645</v>
      </c>
      <c r="F82" s="177" t="s">
        <v>2646</v>
      </c>
      <c r="G82" s="177" t="s">
        <v>2647</v>
      </c>
      <c r="H82" s="881"/>
      <c r="I82" s="881"/>
      <c r="J82" s="881"/>
      <c r="K82" s="881"/>
      <c r="L82" s="881"/>
      <c r="M82" s="2765"/>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3"/>
      <c r="N83" s="1389"/>
      <c r="O83" s="1389"/>
      <c r="P83" s="1378"/>
      <c r="Q83" s="121"/>
    </row>
    <row r="84" spans="1:17" ht="15" thickTop="1">
      <c r="A84" s="173"/>
      <c r="B84" s="1053" t="s">
        <v>98</v>
      </c>
      <c r="C84" s="920" t="s">
        <v>424</v>
      </c>
      <c r="D84" s="920" t="s">
        <v>425</v>
      </c>
      <c r="E84" s="920" t="s">
        <v>426</v>
      </c>
      <c r="F84" s="920" t="s">
        <v>427</v>
      </c>
      <c r="G84" s="920" t="s">
        <v>428</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2292</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2635</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424</v>
      </c>
      <c r="D124" s="920" t="s">
        <v>425</v>
      </c>
      <c r="E124" s="920" t="s">
        <v>426</v>
      </c>
      <c r="F124" s="920" t="s">
        <v>427</v>
      </c>
      <c r="G124" s="920" t="s">
        <v>428</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1" t="s">
        <v>2293</v>
      </c>
    </row>
    <row r="137" spans="1:17" ht="14.25">
      <c r="B137" s="2142" t="s">
        <v>2294</v>
      </c>
      <c r="C137" s="2143"/>
      <c r="D137" s="2143"/>
      <c r="E137" s="2143"/>
      <c r="F137" s="2143"/>
      <c r="G137" s="2144"/>
      <c r="H137" s="2145"/>
      <c r="I137" s="2146" t="s">
        <v>2295</v>
      </c>
      <c r="J137" s="2143"/>
      <c r="K137" s="2147"/>
    </row>
    <row r="138" spans="1:17" ht="14.25">
      <c r="B138" s="2148"/>
      <c r="C138" s="1777" t="s">
        <v>2296</v>
      </c>
      <c r="D138" s="1777" t="s">
        <v>2297</v>
      </c>
      <c r="E138" s="2149" t="s">
        <v>2298</v>
      </c>
      <c r="F138" s="2150" t="s">
        <v>2299</v>
      </c>
      <c r="G138" s="1777" t="s">
        <v>2297</v>
      </c>
      <c r="H138" s="2151" t="s">
        <v>2298</v>
      </c>
      <c r="I138" s="2152"/>
      <c r="J138" s="1777" t="s">
        <v>2300</v>
      </c>
      <c r="K138" s="2151" t="s">
        <v>2301</v>
      </c>
    </row>
    <row r="139" spans="1:17" ht="15">
      <c r="B139" s="2153">
        <v>6</v>
      </c>
      <c r="C139" s="2154">
        <v>96</v>
      </c>
      <c r="D139" s="2155" t="s">
        <v>2302</v>
      </c>
      <c r="E139" s="2156">
        <v>100</v>
      </c>
      <c r="F139" s="2157">
        <v>102.5</v>
      </c>
      <c r="G139" s="2155" t="s">
        <v>2302</v>
      </c>
      <c r="H139" s="2158">
        <v>105</v>
      </c>
      <c r="I139" s="2159" t="s">
        <v>2303</v>
      </c>
      <c r="J139" s="2154">
        <v>20</v>
      </c>
      <c r="K139" s="2160">
        <f>C145/(J139-2)</f>
        <v>4.0555555555555553E-3</v>
      </c>
    </row>
    <row r="140" spans="1:17" ht="15">
      <c r="B140" s="2161">
        <v>5</v>
      </c>
      <c r="C140" s="2162">
        <v>100</v>
      </c>
      <c r="D140" s="2163"/>
      <c r="E140" s="2164"/>
      <c r="F140" s="2165">
        <v>102</v>
      </c>
      <c r="G140" s="2163"/>
      <c r="H140" s="2166"/>
      <c r="I140" s="2167" t="s">
        <v>2304</v>
      </c>
      <c r="J140" s="647">
        <f>ROUNDUP((J139-1)/2,0)</f>
        <v>10</v>
      </c>
      <c r="K140" s="2168">
        <v>100</v>
      </c>
    </row>
    <row r="141" spans="1:17" ht="15">
      <c r="B141" s="2161">
        <v>4</v>
      </c>
      <c r="C141" s="2162">
        <v>102</v>
      </c>
      <c r="D141" s="2163"/>
      <c r="E141" s="2164"/>
      <c r="F141" s="2165">
        <v>101.5</v>
      </c>
      <c r="G141" s="2163"/>
      <c r="H141" s="2166"/>
      <c r="I141" s="2167" t="s">
        <v>2305</v>
      </c>
      <c r="J141" s="647">
        <v>1</v>
      </c>
      <c r="K141" s="2169">
        <f>ROUND(100+(J141-J140)*K139*100,1)</f>
        <v>96.4</v>
      </c>
    </row>
    <row r="142" spans="1:17" ht="15">
      <c r="B142" s="2161">
        <v>3</v>
      </c>
      <c r="C142" s="2162">
        <v>103</v>
      </c>
      <c r="D142" s="2163"/>
      <c r="E142" s="2164"/>
      <c r="F142" s="2165">
        <v>101</v>
      </c>
      <c r="G142" s="2163"/>
      <c r="H142" s="2166"/>
      <c r="I142" s="2167" t="s">
        <v>2306</v>
      </c>
      <c r="J142" s="647">
        <f>J139</f>
        <v>20</v>
      </c>
      <c r="K142" s="2170">
        <v>95</v>
      </c>
    </row>
    <row r="143" spans="1:17" ht="15">
      <c r="B143" s="2161">
        <v>2</v>
      </c>
      <c r="C143" s="2162">
        <v>100</v>
      </c>
      <c r="D143" s="2163"/>
      <c r="E143" s="2164"/>
      <c r="F143" s="2165">
        <v>100.5</v>
      </c>
      <c r="G143" s="2163"/>
      <c r="H143" s="2166"/>
      <c r="I143" s="2167" t="s">
        <v>2307</v>
      </c>
      <c r="J143" s="2162">
        <v>15</v>
      </c>
      <c r="K143" s="2169">
        <f>ROUND(100+(J143-J140)*K139*100,1)</f>
        <v>102</v>
      </c>
    </row>
    <row r="144" spans="1:17" ht="15">
      <c r="B144" s="2161">
        <v>1</v>
      </c>
      <c r="C144" s="2162">
        <v>98</v>
      </c>
      <c r="D144" s="1159" t="s">
        <v>2308</v>
      </c>
      <c r="E144" s="2164">
        <v>102</v>
      </c>
      <c r="F144" s="2171">
        <v>100</v>
      </c>
      <c r="G144" s="1159" t="s">
        <v>2308</v>
      </c>
      <c r="H144" s="2166">
        <v>105</v>
      </c>
      <c r="I144" s="2167" t="s">
        <v>2307</v>
      </c>
      <c r="J144" s="2162">
        <v>18</v>
      </c>
      <c r="K144" s="2169">
        <f>ROUND(100+(J144-J140)*K139*100,1)</f>
        <v>103.2</v>
      </c>
    </row>
    <row r="145" spans="2:11" ht="15.75" thickBot="1">
      <c r="B145" s="2172" t="s">
        <v>2309</v>
      </c>
      <c r="C145" s="2173">
        <f>ROUND(MAX(C139:C144)/MIN(C139:C144)-1,3)</f>
        <v>7.2999999999999995E-2</v>
      </c>
      <c r="D145" s="2174"/>
      <c r="E145" s="2175"/>
      <c r="F145" s="2176" t="s">
        <v>2310</v>
      </c>
      <c r="G145" s="2177"/>
      <c r="H145" s="2178"/>
      <c r="I145" s="2179" t="s">
        <v>2311</v>
      </c>
      <c r="J145" s="2180">
        <v>8</v>
      </c>
      <c r="K145" s="2181">
        <f>ROUND(100+(J145-J140)*K139*100,1)</f>
        <v>99.2</v>
      </c>
    </row>
    <row r="147" spans="2:11">
      <c r="B147" s="2141" t="s">
        <v>2319</v>
      </c>
    </row>
    <row r="148" spans="2:11">
      <c r="B148" s="2141" t="s">
        <v>2320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1</v>
      </c>
      <c r="C1" s="3101" t="s">
        <v>128</v>
      </c>
      <c r="D1" s="3102"/>
      <c r="E1" s="3105"/>
      <c r="F1" s="3104"/>
      <c r="G1" s="3106" t="s">
        <v>129</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172</v>
      </c>
      <c r="B2" s="2844" t="e">
        <f ca="1">IF(C2="——",ROUND(C49*D3/10000,0),ROUND(C49*D3/10000,0)-D2)</f>
        <v>#DIV/0!</v>
      </c>
      <c r="C2" s="3096"/>
      <c r="D2" s="2724" t="e">
        <f ca="1">SUMIF(INDIRECT("'"&amp;F2&amp;"'"&amp;"!A:A"),"承租人权益价值",INDIRECT("'"&amp;F2&amp;"'"&amp;"!c:c"))</f>
        <v>#REF!</v>
      </c>
      <c r="E2" s="3097" t="s">
        <v>865</v>
      </c>
      <c r="F2" s="3098"/>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173</v>
      </c>
      <c r="B3" s="951" t="e">
        <f ca="1">IF(C2="——",C49,ROUND(B2*10000/D3,0))</f>
        <v>#DIV/0!</v>
      </c>
      <c r="C3" s="142" t="s">
        <v>167</v>
      </c>
      <c r="D3" s="742">
        <f>IF(D1="",'数据-汇总表'!E3,SUMIF('数据-汇总表'!$C19:$C33,D1,'数据-汇总表'!$E19:$E33))</f>
        <v>12736.12000000001</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68" t="s">
        <v>54</v>
      </c>
      <c r="D4" s="3669"/>
      <c r="E4" s="3670" t="s">
        <v>55</v>
      </c>
      <c r="F4" s="3671"/>
      <c r="G4" s="3668" t="s">
        <v>56</v>
      </c>
      <c r="H4" s="3669"/>
      <c r="I4" s="3668" t="s">
        <v>57</v>
      </c>
      <c r="J4" s="3669"/>
      <c r="K4" s="187" t="s">
        <v>58</v>
      </c>
      <c r="L4" s="2295"/>
      <c r="M4" s="2296"/>
      <c r="N4" s="2296"/>
      <c r="O4" s="2296"/>
      <c r="P4" s="3672" t="s">
        <v>53</v>
      </c>
      <c r="Q4" s="3673"/>
      <c r="R4" s="3655" t="s">
        <v>55</v>
      </c>
      <c r="S4" s="3656"/>
      <c r="T4" s="3655" t="s">
        <v>56</v>
      </c>
      <c r="U4" s="3656"/>
      <c r="V4" s="3680" t="s">
        <v>57</v>
      </c>
      <c r="W4" s="3680"/>
      <c r="X4" s="1339"/>
      <c r="Y4" s="3655" t="s">
        <v>53</v>
      </c>
      <c r="Z4" s="3656"/>
      <c r="AA4" s="3650" t="s">
        <v>55</v>
      </c>
      <c r="AB4" s="3680" t="s">
        <v>56</v>
      </c>
      <c r="AC4" s="3650" t="s">
        <v>57</v>
      </c>
    </row>
    <row r="5" spans="1:29">
      <c r="A5" s="146"/>
      <c r="B5" s="147"/>
      <c r="C5" s="3661" t="s">
        <v>59</v>
      </c>
      <c r="D5" s="3662"/>
      <c r="E5" s="3659" t="s">
        <v>60</v>
      </c>
      <c r="F5" s="3660"/>
      <c r="G5" s="3661" t="s">
        <v>61</v>
      </c>
      <c r="H5" s="3662"/>
      <c r="I5" s="3661" t="s">
        <v>62</v>
      </c>
      <c r="J5" s="3662"/>
      <c r="K5" s="187"/>
      <c r="L5" s="2295"/>
      <c r="M5" s="2296"/>
      <c r="N5" s="2296"/>
      <c r="O5" s="2296"/>
      <c r="P5" s="3674"/>
      <c r="Q5" s="3675"/>
      <c r="R5" s="3657"/>
      <c r="S5" s="3658"/>
      <c r="T5" s="3657"/>
      <c r="U5" s="3658"/>
      <c r="V5" s="3680"/>
      <c r="W5" s="3680"/>
      <c r="X5" s="1339"/>
      <c r="Y5" s="3657"/>
      <c r="Z5" s="3658"/>
      <c r="AA5" s="3651"/>
      <c r="AB5" s="3680"/>
      <c r="AC5" s="3651"/>
    </row>
    <row r="6" spans="1:29" ht="14.25" thickBot="1">
      <c r="A6" s="148"/>
      <c r="B6" s="149"/>
      <c r="C6" s="3663" t="s">
        <v>63</v>
      </c>
      <c r="D6" s="3664"/>
      <c r="E6" s="3665" t="s">
        <v>63</v>
      </c>
      <c r="F6" s="3666"/>
      <c r="G6" s="3663" t="s">
        <v>63</v>
      </c>
      <c r="H6" s="3664"/>
      <c r="I6" s="3663" t="s">
        <v>63</v>
      </c>
      <c r="J6" s="3664"/>
      <c r="K6" s="187" t="s">
        <v>117</v>
      </c>
      <c r="L6" s="2295"/>
      <c r="M6" s="2296"/>
      <c r="N6" s="2296"/>
      <c r="O6" s="2296"/>
      <c r="P6" s="3676"/>
      <c r="Q6" s="3677"/>
      <c r="R6" s="3657"/>
      <c r="S6" s="3658"/>
      <c r="T6" s="3678"/>
      <c r="U6" s="3679"/>
      <c r="V6" s="3680"/>
      <c r="W6" s="3680"/>
      <c r="X6" s="1339"/>
      <c r="Y6" s="3678"/>
      <c r="Z6" s="3679"/>
      <c r="AA6" s="3652"/>
      <c r="AB6" s="3680"/>
      <c r="AC6" s="3652"/>
    </row>
    <row r="7" spans="1:29" s="40" customFormat="1" ht="15" thickBot="1">
      <c r="A7" s="1013" t="s">
        <v>64</v>
      </c>
      <c r="B7" s="1014"/>
      <c r="C7" s="1015">
        <f>'数据-取费表'!B2</f>
        <v>42986</v>
      </c>
      <c r="D7" s="754">
        <v>100</v>
      </c>
      <c r="E7" s="1016"/>
      <c r="F7" s="756">
        <f>SUMIF(58:58,YEAR(E7)&amp;"-"&amp;MONTH(E7),59:59)</f>
        <v>0</v>
      </c>
      <c r="G7" s="1016"/>
      <c r="H7" s="754">
        <f>SUMIF(58:58,YEAR(G7)&amp;"-"&amp;MONTH(G7),59:59)</f>
        <v>0</v>
      </c>
      <c r="I7" s="1016"/>
      <c r="J7" s="754">
        <f>SUMIF(58:58,YEAR(I7)&amp;"-"&amp;MONTH(I7),59:59)</f>
        <v>0</v>
      </c>
      <c r="K7" s="1018"/>
      <c r="L7" s="2297"/>
      <c r="M7" s="2259"/>
      <c r="N7" s="2259"/>
      <c r="O7" s="2259"/>
      <c r="P7" s="3653" t="s">
        <v>64</v>
      </c>
      <c r="Q7" s="3681"/>
      <c r="R7" s="1341" t="s">
        <v>65</v>
      </c>
      <c r="S7" s="1342">
        <f t="shared" ref="S7:S15" si="0">F7</f>
        <v>0</v>
      </c>
      <c r="T7" s="1341" t="s">
        <v>65</v>
      </c>
      <c r="U7" s="1342">
        <f t="shared" ref="U7:U15" si="1">H7</f>
        <v>0</v>
      </c>
      <c r="V7" s="1341" t="s">
        <v>65</v>
      </c>
      <c r="W7" s="1342">
        <f t="shared" ref="W7:W15" si="2">J7</f>
        <v>0</v>
      </c>
      <c r="X7" s="287"/>
      <c r="Y7" s="3653" t="s">
        <v>64</v>
      </c>
      <c r="Z7" s="3654"/>
      <c r="AA7" s="1343" t="e">
        <f>D7/F7</f>
        <v>#DIV/0!</v>
      </c>
      <c r="AB7" s="1343" t="e">
        <f>D7/H7</f>
        <v>#DIV/0!</v>
      </c>
      <c r="AC7" s="1343" t="e">
        <f>D7/J7</f>
        <v>#DIV/0!</v>
      </c>
    </row>
    <row r="8" spans="1:29" s="40" customFormat="1" ht="15" thickBot="1">
      <c r="A8" s="1013" t="s">
        <v>66</v>
      </c>
      <c r="B8" s="1014"/>
      <c r="C8" s="1019" t="s">
        <v>116</v>
      </c>
      <c r="D8" s="754">
        <v>100</v>
      </c>
      <c r="E8" s="1019"/>
      <c r="F8" s="756">
        <f>SUMIF(61:61,E8,62:62)-SUMIF(61:61,C8,62:62)+100</f>
        <v>0</v>
      </c>
      <c r="G8" s="1019"/>
      <c r="H8" s="754">
        <f>SUMIF(61:61,G8,62:62)-SUMIF(61:61,C8,62:62)+100</f>
        <v>0</v>
      </c>
      <c r="I8" s="1019"/>
      <c r="J8" s="754">
        <f>SUMIF(61:61,I8,62:62)-SUMIF(61:61,C8,62:62)+100</f>
        <v>0</v>
      </c>
      <c r="K8" s="1018"/>
      <c r="L8" s="2297"/>
      <c r="M8" s="2259"/>
      <c r="N8" s="2259"/>
      <c r="O8" s="2259"/>
      <c r="P8" s="3653" t="s">
        <v>1018</v>
      </c>
      <c r="Q8" s="3654"/>
      <c r="R8" s="1341" t="s">
        <v>65</v>
      </c>
      <c r="S8" s="1342">
        <f t="shared" si="0"/>
        <v>0</v>
      </c>
      <c r="T8" s="1341" t="s">
        <v>65</v>
      </c>
      <c r="U8" s="1342">
        <f t="shared" si="1"/>
        <v>0</v>
      </c>
      <c r="V8" s="1341" t="s">
        <v>65</v>
      </c>
      <c r="W8" s="1342">
        <f t="shared" si="2"/>
        <v>0</v>
      </c>
      <c r="X8" s="287"/>
      <c r="Y8" s="3653" t="s">
        <v>1018</v>
      </c>
      <c r="Z8" s="3654"/>
      <c r="AA8" s="1343" t="e">
        <f t="shared" ref="AA8:AA46" si="3">D8/F8</f>
        <v>#DIV/0!</v>
      </c>
      <c r="AB8" s="1343" t="e">
        <f t="shared" ref="AB8:AB46" si="4">D8/H8</f>
        <v>#DIV/0!</v>
      </c>
      <c r="AC8" s="1343" t="e">
        <f t="shared" ref="AC8:AC46" si="5">D8/J8</f>
        <v>#DIV/0!</v>
      </c>
    </row>
    <row r="9" spans="1:29" s="40" customFormat="1" ht="14.25">
      <c r="A9" s="1020" t="s">
        <v>1019</v>
      </c>
      <c r="B9" s="62" t="s">
        <v>1020</v>
      </c>
      <c r="C9" s="1345"/>
      <c r="D9" s="425">
        <v>100</v>
      </c>
      <c r="E9" s="1346"/>
      <c r="F9" s="761">
        <f>SUMIF(63:63,E9,64:64)-SUMIF(63:63,C9,64:64)+100</f>
        <v>100</v>
      </c>
      <c r="G9" s="1346"/>
      <c r="H9" s="425">
        <f>SUMIF(63:63,G9,64:64)-SUMIF(63:63,C9,64:64)+100</f>
        <v>100</v>
      </c>
      <c r="I9" s="1346"/>
      <c r="J9" s="425">
        <f>SUMIF(63:63,I9,64:64)-SUMIF(63:63,C9,64:64)+100</f>
        <v>100</v>
      </c>
      <c r="K9" s="1018"/>
      <c r="L9" s="2297"/>
      <c r="M9" s="2259"/>
      <c r="N9" s="2259"/>
      <c r="O9" s="2259"/>
      <c r="P9" s="3667" t="s">
        <v>67</v>
      </c>
      <c r="Q9" s="7" t="str">
        <f t="shared" ref="Q9:Q15" si="6">B9</f>
        <v>用途</v>
      </c>
      <c r="R9" s="1341" t="s">
        <v>65</v>
      </c>
      <c r="S9" s="1342">
        <f t="shared" si="0"/>
        <v>100</v>
      </c>
      <c r="T9" s="1341" t="s">
        <v>65</v>
      </c>
      <c r="U9" s="1342">
        <f t="shared" si="1"/>
        <v>100</v>
      </c>
      <c r="V9" s="1341" t="s">
        <v>65</v>
      </c>
      <c r="W9" s="1342">
        <f t="shared" si="2"/>
        <v>100</v>
      </c>
      <c r="X9" s="287"/>
      <c r="Y9" s="3491"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8">
        <f>SUMIF(65:65,E10,66:66)-SUMIF(65:65,C10,66:66)+100</f>
        <v>100</v>
      </c>
      <c r="G10" s="1348"/>
      <c r="H10" s="426">
        <f>SUMIF(65:65,G10,66:66)-SUMIF(65:65,C10,66:66)+100</f>
        <v>100</v>
      </c>
      <c r="I10" s="1348"/>
      <c r="J10" s="426">
        <f>SUMIF(65:65,I10,66:66)-SUMIF(65:65,C10,66:66)+100</f>
        <v>100</v>
      </c>
      <c r="K10" s="954"/>
      <c r="L10" s="2298"/>
      <c r="M10" s="2299"/>
      <c r="N10" s="2299"/>
      <c r="O10" s="2299"/>
      <c r="P10" s="3667"/>
      <c r="Q10" s="7" t="str">
        <f t="shared" si="6"/>
        <v>土地使用年限（年）</v>
      </c>
      <c r="R10" s="1341" t="s">
        <v>65</v>
      </c>
      <c r="S10" s="1342">
        <f t="shared" si="0"/>
        <v>100</v>
      </c>
      <c r="T10" s="1341" t="s">
        <v>65</v>
      </c>
      <c r="U10" s="1342">
        <f t="shared" si="1"/>
        <v>100</v>
      </c>
      <c r="V10" s="1341" t="s">
        <v>65</v>
      </c>
      <c r="W10" s="1342">
        <f t="shared" si="2"/>
        <v>100</v>
      </c>
      <c r="X10" s="287"/>
      <c r="Y10" s="3491"/>
      <c r="Z10" s="288" t="str">
        <f t="shared" si="7"/>
        <v>土地使用年限（年）</v>
      </c>
      <c r="AA10" s="1343">
        <f t="shared" si="3"/>
        <v>1</v>
      </c>
      <c r="AB10" s="1343">
        <f t="shared" si="4"/>
        <v>1</v>
      </c>
      <c r="AC10" s="1343">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4"/>
      <c r="L11" s="2300"/>
      <c r="M11" s="2296"/>
      <c r="N11" s="2296"/>
      <c r="O11" s="2296"/>
      <c r="P11" s="3667"/>
      <c r="Q11" s="7" t="str">
        <f t="shared" si="6"/>
        <v>容积率</v>
      </c>
      <c r="R11" s="1341" t="s">
        <v>65</v>
      </c>
      <c r="S11" s="1342" t="e">
        <f t="shared" si="0"/>
        <v>#N/A</v>
      </c>
      <c r="T11" s="1341" t="s">
        <v>65</v>
      </c>
      <c r="U11" s="1342" t="e">
        <f t="shared" si="1"/>
        <v>#N/A</v>
      </c>
      <c r="V11" s="1341" t="s">
        <v>65</v>
      </c>
      <c r="W11" s="1342" t="e">
        <f t="shared" si="2"/>
        <v>#N/A</v>
      </c>
      <c r="X11" s="287"/>
      <c r="Y11" s="3491"/>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67"/>
      <c r="Q12" s="7">
        <f t="shared" si="6"/>
        <v>111</v>
      </c>
      <c r="R12" s="1341" t="s">
        <v>65</v>
      </c>
      <c r="S12" s="1342">
        <f t="shared" si="0"/>
        <v>100</v>
      </c>
      <c r="T12" s="1341" t="s">
        <v>65</v>
      </c>
      <c r="U12" s="1342">
        <f t="shared" si="1"/>
        <v>100</v>
      </c>
      <c r="V12" s="1341" t="s">
        <v>65</v>
      </c>
      <c r="W12" s="1342">
        <f t="shared" si="2"/>
        <v>100</v>
      </c>
      <c r="X12" s="287"/>
      <c r="Y12" s="3491"/>
      <c r="Z12" s="288">
        <f t="shared" si="7"/>
        <v>111</v>
      </c>
      <c r="AA12" s="1343">
        <f>D12/F12</f>
        <v>1</v>
      </c>
      <c r="AB12" s="1343">
        <f>D12/H12</f>
        <v>1</v>
      </c>
      <c r="AC12" s="1343">
        <f>D12/J12</f>
        <v>1</v>
      </c>
    </row>
    <row r="13" spans="1:29" ht="14.25">
      <c r="A13" s="151"/>
      <c r="B13" s="1030">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67"/>
      <c r="Q13" s="7">
        <f t="shared" si="6"/>
        <v>111</v>
      </c>
      <c r="R13" s="1341" t="s">
        <v>65</v>
      </c>
      <c r="S13" s="1342">
        <f t="shared" si="0"/>
        <v>100</v>
      </c>
      <c r="T13" s="1341" t="s">
        <v>65</v>
      </c>
      <c r="U13" s="1342">
        <f t="shared" si="1"/>
        <v>100</v>
      </c>
      <c r="V13" s="1341" t="s">
        <v>65</v>
      </c>
      <c r="W13" s="1342">
        <f t="shared" si="2"/>
        <v>100</v>
      </c>
      <c r="X13" s="287"/>
      <c r="Y13" s="3491"/>
      <c r="Z13" s="288">
        <f t="shared" si="7"/>
        <v>111</v>
      </c>
      <c r="AA13" s="1343">
        <f t="shared" si="3"/>
        <v>1</v>
      </c>
      <c r="AB13" s="1343">
        <f t="shared" si="4"/>
        <v>1</v>
      </c>
      <c r="AC13" s="1343">
        <f t="shared" si="5"/>
        <v>1</v>
      </c>
    </row>
    <row r="14" spans="1:29" ht="15" thickBot="1">
      <c r="A14" s="154"/>
      <c r="B14" s="1031">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67"/>
      <c r="Q14" s="7">
        <f t="shared" si="6"/>
        <v>111</v>
      </c>
      <c r="R14" s="1341" t="s">
        <v>65</v>
      </c>
      <c r="S14" s="1342">
        <f t="shared" si="0"/>
        <v>100</v>
      </c>
      <c r="T14" s="1341" t="s">
        <v>65</v>
      </c>
      <c r="U14" s="1342">
        <f t="shared" si="1"/>
        <v>100</v>
      </c>
      <c r="V14" s="1341" t="s">
        <v>65</v>
      </c>
      <c r="W14" s="1342">
        <f t="shared" si="2"/>
        <v>100</v>
      </c>
      <c r="X14" s="287"/>
      <c r="Y14" s="3491"/>
      <c r="Z14" s="288">
        <f t="shared" si="7"/>
        <v>111</v>
      </c>
      <c r="AA14" s="1343">
        <f t="shared" si="3"/>
        <v>1</v>
      </c>
      <c r="AB14" s="1343">
        <f t="shared" si="4"/>
        <v>1</v>
      </c>
      <c r="AC14" s="1343">
        <f t="shared" si="5"/>
        <v>1</v>
      </c>
    </row>
    <row r="15" spans="1:29" ht="15">
      <c r="A15" s="155" t="s">
        <v>69</v>
      </c>
      <c r="B15" s="58" t="s">
        <v>130</v>
      </c>
      <c r="C15" s="157">
        <f>估价对象房地状况!C4</f>
        <v>0</v>
      </c>
      <c r="D15" s="784">
        <v>100</v>
      </c>
      <c r="E15" s="95"/>
      <c r="F15" s="786">
        <f>SUMIF(76:76,E16,77:77)-SUMIF(76:76,C16,77:77)+100</f>
        <v>100</v>
      </c>
      <c r="G15" s="96"/>
      <c r="H15" s="784">
        <f>SUMIF(76:76,G16,77:77)-SUMIF(76:76,C16,77:77)+100</f>
        <v>100</v>
      </c>
      <c r="I15" s="95"/>
      <c r="J15" s="784">
        <f>SUMIF(76:76,I16,77:77)-SUMIF(76:76,C16,77:77)+100</f>
        <v>100</v>
      </c>
      <c r="K15" s="956"/>
      <c r="L15" s="2301"/>
      <c r="M15" s="2296"/>
      <c r="N15" s="2296"/>
      <c r="O15" s="2296"/>
      <c r="P15" s="3694" t="s">
        <v>69</v>
      </c>
      <c r="Q15" s="1350" t="str">
        <f t="shared" si="6"/>
        <v>商业繁华度</v>
      </c>
      <c r="R15" s="1351" t="s">
        <v>65</v>
      </c>
      <c r="S15" s="1352">
        <f t="shared" si="0"/>
        <v>100</v>
      </c>
      <c r="T15" s="1351" t="s">
        <v>65</v>
      </c>
      <c r="U15" s="1352">
        <f t="shared" si="1"/>
        <v>100</v>
      </c>
      <c r="V15" s="1351" t="s">
        <v>65</v>
      </c>
      <c r="W15" s="1352">
        <f t="shared" si="2"/>
        <v>100</v>
      </c>
      <c r="X15" s="1339"/>
      <c r="Y15" s="3687" t="s">
        <v>69</v>
      </c>
      <c r="Z15" s="1353" t="str">
        <f t="shared" si="7"/>
        <v>商业繁华度</v>
      </c>
      <c r="AA15" s="1354">
        <f t="shared" si="3"/>
        <v>1</v>
      </c>
      <c r="AB15" s="1354">
        <f t="shared" si="4"/>
        <v>1</v>
      </c>
      <c r="AC15" s="1354">
        <f t="shared" si="5"/>
        <v>1</v>
      </c>
    </row>
    <row r="16" spans="1:29" ht="14.25">
      <c r="A16" s="151"/>
      <c r="B16" s="156"/>
      <c r="C16" s="97"/>
      <c r="D16" s="791"/>
      <c r="E16" s="97"/>
      <c r="F16" s="792"/>
      <c r="G16" s="97"/>
      <c r="H16" s="793"/>
      <c r="I16" s="97"/>
      <c r="J16" s="791"/>
      <c r="K16" s="189"/>
      <c r="L16" s="2301"/>
      <c r="M16" s="2296"/>
      <c r="N16" s="2296"/>
      <c r="O16" s="2296"/>
      <c r="P16" s="3695"/>
      <c r="Q16" s="1350"/>
      <c r="R16" s="1351"/>
      <c r="S16" s="1352"/>
      <c r="T16" s="1351"/>
      <c r="U16" s="1352"/>
      <c r="V16" s="1351"/>
      <c r="W16" s="1352"/>
      <c r="X16" s="1339"/>
      <c r="Y16" s="3688"/>
      <c r="Z16" s="1353"/>
      <c r="AA16" s="1354">
        <v>1</v>
      </c>
      <c r="AB16" s="1354">
        <v>1</v>
      </c>
      <c r="AC16" s="1354">
        <v>1</v>
      </c>
    </row>
    <row r="17" spans="1:29" ht="162">
      <c r="A17" s="151"/>
      <c r="B17" s="1355" t="s">
        <v>72</v>
      </c>
      <c r="C17" s="158" t="str">
        <f>估价对象房地状况!C6</f>
        <v>估价对象紧邻城市次干道——怀耿路，半径1公里内有866、H07、H09、H44路等公交线路，周边有怀耿路、杨雁路两条城市次干道，西北距离怀柔火车站4公里，交通便捷度较差</v>
      </c>
      <c r="D17" s="793">
        <v>100</v>
      </c>
      <c r="E17" s="100"/>
      <c r="F17" s="796">
        <f>SUMIF(78:78,E18,79:79)-SUMIF(78:78,C18,79:79)+100</f>
        <v>100</v>
      </c>
      <c r="G17" s="101"/>
      <c r="H17" s="798">
        <f>SUMIF(78:78,G18,79:79)-SUMIF(78:78,C18,79:79)+100</f>
        <v>100</v>
      </c>
      <c r="I17" s="100"/>
      <c r="J17" s="798">
        <f>SUMIF(78:78,I18,79:79)-SUMIF(78:78,C18,79:79)+100</f>
        <v>100</v>
      </c>
      <c r="K17" s="956"/>
      <c r="L17" s="2301"/>
      <c r="M17" s="2296"/>
      <c r="N17" s="2296"/>
      <c r="O17" s="2296"/>
      <c r="P17" s="3695"/>
      <c r="Q17" s="1350" t="str">
        <f>B17</f>
        <v>交通便捷度</v>
      </c>
      <c r="R17" s="1351" t="s">
        <v>65</v>
      </c>
      <c r="S17" s="1352">
        <f>F17</f>
        <v>100</v>
      </c>
      <c r="T17" s="1351" t="s">
        <v>65</v>
      </c>
      <c r="U17" s="1352">
        <f>H17</f>
        <v>100</v>
      </c>
      <c r="V17" s="1351" t="s">
        <v>65</v>
      </c>
      <c r="W17" s="1352">
        <f>J17</f>
        <v>100</v>
      </c>
      <c r="X17" s="1339"/>
      <c r="Y17" s="3688"/>
      <c r="Z17" s="1353" t="str">
        <f>Q17</f>
        <v>交通便捷度</v>
      </c>
      <c r="AA17" s="1354">
        <f t="shared" si="3"/>
        <v>1</v>
      </c>
      <c r="AB17" s="1354">
        <f t="shared" si="4"/>
        <v>1</v>
      </c>
      <c r="AC17" s="1354">
        <f t="shared" si="5"/>
        <v>1</v>
      </c>
    </row>
    <row r="18" spans="1:29" ht="14.25">
      <c r="A18" s="151"/>
      <c r="B18" s="1039"/>
      <c r="C18" s="102"/>
      <c r="D18" s="793"/>
      <c r="E18" s="103"/>
      <c r="F18" s="796"/>
      <c r="G18" s="104"/>
      <c r="H18" s="791"/>
      <c r="I18" s="103"/>
      <c r="J18" s="791"/>
      <c r="K18" s="189"/>
      <c r="L18" s="2301"/>
      <c r="M18" s="2296"/>
      <c r="N18" s="2296"/>
      <c r="O18" s="2296"/>
      <c r="P18" s="3695"/>
      <c r="Q18" s="1350"/>
      <c r="R18" s="1351"/>
      <c r="S18" s="1352"/>
      <c r="T18" s="1351"/>
      <c r="U18" s="1352"/>
      <c r="V18" s="1351"/>
      <c r="W18" s="1352"/>
      <c r="X18" s="1339"/>
      <c r="Y18" s="3688"/>
      <c r="Z18" s="1353"/>
      <c r="AA18" s="1354">
        <v>1</v>
      </c>
      <c r="AB18" s="1354">
        <v>1</v>
      </c>
      <c r="AC18" s="1354">
        <v>1</v>
      </c>
    </row>
    <row r="19" spans="1:29" ht="189">
      <c r="A19" s="151"/>
      <c r="B19" s="1355" t="s">
        <v>2649</v>
      </c>
      <c r="C19" s="158" t="str">
        <f>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9" s="798">
        <v>100</v>
      </c>
      <c r="E19" s="105"/>
      <c r="F19" s="801">
        <f>SUMIF(80:80,E20,81:81)-SUMIF(80:80,C20,81:81)+100</f>
        <v>100</v>
      </c>
      <c r="G19" s="106"/>
      <c r="H19" s="793">
        <f>SUMIF(80:80,G20,81:81)-SUMIF(80:80,C20,81:81)+100</f>
        <v>100</v>
      </c>
      <c r="I19" s="105"/>
      <c r="J19" s="793">
        <f>SUMIF(80:80,I20,81:81)-SUMIF(80:80,C20,81:81)+100</f>
        <v>100</v>
      </c>
      <c r="K19" s="956"/>
      <c r="L19" s="2301"/>
      <c r="M19" s="2296"/>
      <c r="N19" s="2296"/>
      <c r="O19" s="2296"/>
      <c r="P19" s="3695"/>
      <c r="Q19" s="1350" t="str">
        <f>B19</f>
        <v>公共配套设施</v>
      </c>
      <c r="R19" s="1351" t="s">
        <v>65</v>
      </c>
      <c r="S19" s="1352">
        <f>F19</f>
        <v>100</v>
      </c>
      <c r="T19" s="1351" t="s">
        <v>65</v>
      </c>
      <c r="U19" s="1352">
        <f>H19</f>
        <v>100</v>
      </c>
      <c r="V19" s="1351" t="s">
        <v>65</v>
      </c>
      <c r="W19" s="1352">
        <f>J19</f>
        <v>100</v>
      </c>
      <c r="X19" s="1339"/>
      <c r="Y19" s="3688"/>
      <c r="Z19" s="1353" t="str">
        <f>Q19</f>
        <v>公共配套设施</v>
      </c>
      <c r="AA19" s="1354">
        <f t="shared" si="3"/>
        <v>1</v>
      </c>
      <c r="AB19" s="1354">
        <f t="shared" si="4"/>
        <v>1</v>
      </c>
      <c r="AC19" s="1354">
        <f t="shared" si="5"/>
        <v>1</v>
      </c>
    </row>
    <row r="20" spans="1:29" ht="14.25">
      <c r="A20" s="151"/>
      <c r="B20" s="1039"/>
      <c r="C20" s="97"/>
      <c r="D20" s="791"/>
      <c r="E20" s="98"/>
      <c r="F20" s="792"/>
      <c r="G20" s="99"/>
      <c r="H20" s="791"/>
      <c r="I20" s="98"/>
      <c r="J20" s="791"/>
      <c r="K20" s="189"/>
      <c r="L20" s="2301"/>
      <c r="M20" s="2296"/>
      <c r="N20" s="2296"/>
      <c r="O20" s="2296"/>
      <c r="P20" s="3695"/>
      <c r="Q20" s="1350"/>
      <c r="R20" s="1351"/>
      <c r="S20" s="1352"/>
      <c r="T20" s="1351"/>
      <c r="U20" s="1352"/>
      <c r="V20" s="1351"/>
      <c r="W20" s="1352"/>
      <c r="X20" s="1339"/>
      <c r="Y20" s="3688"/>
      <c r="Z20" s="1353"/>
      <c r="AA20" s="1354">
        <v>1</v>
      </c>
      <c r="AB20" s="1354">
        <v>1</v>
      </c>
      <c r="AC20" s="1354">
        <v>1</v>
      </c>
    </row>
    <row r="21" spans="1:29" ht="40.5">
      <c r="A21" s="151"/>
      <c r="B21" s="1411" t="s">
        <v>2650</v>
      </c>
      <c r="C21" s="158" t="str">
        <f>估价对象房地状况!C8</f>
        <v>估价对象所在区域基础设施水平达到七通</v>
      </c>
      <c r="D21" s="798">
        <v>100</v>
      </c>
      <c r="E21" s="105"/>
      <c r="F21" s="801">
        <f>SUMIF(82:82,E22,83:83)-SUMIF(82:82,C22,83:83)+100</f>
        <v>100</v>
      </c>
      <c r="G21" s="106"/>
      <c r="H21" s="793">
        <f>SUMIF(82:82,G22,83:83)-SUMIF(82:82,C22,83:83)+100</f>
        <v>100</v>
      </c>
      <c r="I21" s="105"/>
      <c r="J21" s="793">
        <f>SUMIF(82:82,I22,83:83)-SUMIF(82:82,C22,83:83)+100</f>
        <v>100</v>
      </c>
      <c r="K21" s="956"/>
      <c r="L21" s="2301"/>
      <c r="M21" s="2296"/>
      <c r="N21" s="2296"/>
      <c r="O21" s="2296"/>
      <c r="P21" s="3695"/>
      <c r="Q21" s="2746" t="str">
        <f>B21</f>
        <v>基础设施水平</v>
      </c>
      <c r="R21" s="1351" t="s">
        <v>65</v>
      </c>
      <c r="S21" s="1352">
        <f>F21</f>
        <v>100</v>
      </c>
      <c r="T21" s="1351" t="s">
        <v>65</v>
      </c>
      <c r="U21" s="1352">
        <f>H21</f>
        <v>100</v>
      </c>
      <c r="V21" s="1351" t="s">
        <v>65</v>
      </c>
      <c r="W21" s="1352">
        <f>J21</f>
        <v>100</v>
      </c>
      <c r="X21" s="2748"/>
      <c r="Y21" s="3688"/>
      <c r="Z21" s="2747"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66"/>
      <c r="L22" s="2301"/>
      <c r="M22" s="2296"/>
      <c r="N22" s="2296"/>
      <c r="O22" s="2296"/>
      <c r="P22" s="3695"/>
      <c r="Q22" s="2746"/>
      <c r="R22" s="1351"/>
      <c r="S22" s="1352"/>
      <c r="T22" s="1351"/>
      <c r="U22" s="1352"/>
      <c r="V22" s="1351"/>
      <c r="W22" s="1352"/>
      <c r="X22" s="2748"/>
      <c r="Y22" s="3688"/>
      <c r="Z22" s="2747"/>
      <c r="AA22" s="1354">
        <v>1</v>
      </c>
      <c r="AB22" s="1354">
        <v>1</v>
      </c>
      <c r="AC22" s="1354">
        <v>1</v>
      </c>
    </row>
    <row r="23" spans="1:29" ht="162">
      <c r="A23" s="151"/>
      <c r="B23" s="1355" t="s">
        <v>73</v>
      </c>
      <c r="C23" s="190" t="str">
        <f>估价对象房地状况!C9</f>
        <v>周边约1公里范围内有北京影视研修学院、北京怀柔中视腾飞影视培训学校等演艺教育学校，人文环境一般；周边有约1公里有栖河，自然环境一般。综合评价自然与人文环境一般</v>
      </c>
      <c r="D23" s="793">
        <v>100</v>
      </c>
      <c r="E23" s="100"/>
      <c r="F23" s="796">
        <f>SUMIF(84:84,E24,85:85)-SUMIF(84:84,C24,85:85)+100</f>
        <v>100</v>
      </c>
      <c r="G23" s="101"/>
      <c r="H23" s="793">
        <f>SUMIF(84:84,G24,85:85)-SUMIF(84:84,C24,85:85)+100</f>
        <v>100</v>
      </c>
      <c r="I23" s="100"/>
      <c r="J23" s="793">
        <f>SUMIF(84:84,I24,85:85)-SUMIF(84:84,C24,85:85)+100</f>
        <v>100</v>
      </c>
      <c r="K23" s="956"/>
      <c r="L23" s="2301"/>
      <c r="M23" s="2296"/>
      <c r="N23" s="2296"/>
      <c r="O23" s="2296"/>
      <c r="P23" s="3695"/>
      <c r="Q23" s="1350" t="str">
        <f>B23</f>
        <v>自然及人文环境</v>
      </c>
      <c r="R23" s="1351" t="s">
        <v>65</v>
      </c>
      <c r="S23" s="1352">
        <f>F23</f>
        <v>100</v>
      </c>
      <c r="T23" s="1351" t="s">
        <v>65</v>
      </c>
      <c r="U23" s="1352">
        <f>H23</f>
        <v>100</v>
      </c>
      <c r="V23" s="1351" t="s">
        <v>65</v>
      </c>
      <c r="W23" s="1352">
        <f>J23</f>
        <v>100</v>
      </c>
      <c r="X23" s="1339"/>
      <c r="Y23" s="3688"/>
      <c r="Z23" s="1353" t="str">
        <f>Q23</f>
        <v>自然及人文环境</v>
      </c>
      <c r="AA23" s="1354">
        <f t="shared" si="3"/>
        <v>1</v>
      </c>
      <c r="AB23" s="1354">
        <f t="shared" si="4"/>
        <v>1</v>
      </c>
      <c r="AC23" s="1354">
        <f t="shared" si="5"/>
        <v>1</v>
      </c>
    </row>
    <row r="24" spans="1:29" ht="14.25">
      <c r="A24" s="151"/>
      <c r="B24" s="1039"/>
      <c r="C24" s="97"/>
      <c r="D24" s="791"/>
      <c r="E24" s="98"/>
      <c r="F24" s="792"/>
      <c r="G24" s="99"/>
      <c r="H24" s="791"/>
      <c r="I24" s="98"/>
      <c r="J24" s="791"/>
      <c r="K24" s="189"/>
      <c r="L24" s="2301"/>
      <c r="M24" s="2296"/>
      <c r="N24" s="2296"/>
      <c r="O24" s="2296"/>
      <c r="P24" s="3695"/>
      <c r="Q24" s="1350"/>
      <c r="R24" s="1351"/>
      <c r="S24" s="1352"/>
      <c r="T24" s="1351"/>
      <c r="U24" s="1352"/>
      <c r="V24" s="1351"/>
      <c r="W24" s="1352"/>
      <c r="X24" s="1339"/>
      <c r="Y24" s="3688"/>
      <c r="Z24" s="1353"/>
      <c r="AA24" s="1354">
        <v>1</v>
      </c>
      <c r="AB24" s="1354">
        <v>1</v>
      </c>
      <c r="AC24" s="1354">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4"/>
      <c r="L25" s="2301"/>
      <c r="M25" s="2296"/>
      <c r="N25" s="2296"/>
      <c r="O25" s="2296"/>
      <c r="P25" s="3695"/>
      <c r="Q25" s="1350" t="str">
        <f t="shared" ref="Q25:Q46" si="11">B25</f>
        <v>临街状况</v>
      </c>
      <c r="R25" s="1351" t="s">
        <v>65</v>
      </c>
      <c r="S25" s="1352">
        <f>F25</f>
        <v>100</v>
      </c>
      <c r="T25" s="1351" t="s">
        <v>65</v>
      </c>
      <c r="U25" s="1352">
        <f>H25</f>
        <v>100</v>
      </c>
      <c r="V25" s="1351" t="s">
        <v>65</v>
      </c>
      <c r="W25" s="1352">
        <f>J25</f>
        <v>100</v>
      </c>
      <c r="X25" s="1339"/>
      <c r="Y25" s="3688"/>
      <c r="Z25" s="1353" t="str">
        <f>Q25</f>
        <v>临街状况</v>
      </c>
      <c r="AA25" s="1354">
        <f t="shared" si="3"/>
        <v>1</v>
      </c>
      <c r="AB25" s="1354">
        <f t="shared" si="4"/>
        <v>1</v>
      </c>
      <c r="AC25" s="1354">
        <f t="shared" si="5"/>
        <v>1</v>
      </c>
    </row>
    <row r="26" spans="1:29" ht="14.25">
      <c r="A26" s="151"/>
      <c r="B26" s="1356" t="s">
        <v>1021</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95"/>
      <c r="Q26" s="1350" t="str">
        <f t="shared" si="11"/>
        <v>平面位置/可视性</v>
      </c>
      <c r="R26" s="1351" t="s">
        <v>65</v>
      </c>
      <c r="S26" s="1352">
        <f>F26</f>
        <v>100</v>
      </c>
      <c r="T26" s="1351" t="s">
        <v>65</v>
      </c>
      <c r="U26" s="1352">
        <f>H26</f>
        <v>100</v>
      </c>
      <c r="V26" s="1351" t="s">
        <v>65</v>
      </c>
      <c r="W26" s="1352">
        <f>J26</f>
        <v>100</v>
      </c>
      <c r="X26" s="1339"/>
      <c r="Y26" s="3688"/>
      <c r="Z26" s="1353" t="str">
        <f>Q26</f>
        <v>平面位置/可视性</v>
      </c>
      <c r="AA26" s="1354">
        <f t="shared" si="3"/>
        <v>1</v>
      </c>
      <c r="AB26" s="1354">
        <f t="shared" si="4"/>
        <v>1</v>
      </c>
      <c r="AC26" s="1354">
        <f t="shared" si="5"/>
        <v>1</v>
      </c>
    </row>
    <row r="27" spans="1:29" s="40" customFormat="1" ht="15">
      <c r="A27" s="1029"/>
      <c r="B27" s="1355" t="s">
        <v>1022</v>
      </c>
      <c r="C27" s="1386"/>
      <c r="D27" s="805">
        <v>100</v>
      </c>
      <c r="E27" s="1386"/>
      <c r="F27" s="806">
        <f>SUMIF(90:90,E27,91:91)-SUMIF(90:90,C27,91:91)+100</f>
        <v>100</v>
      </c>
      <c r="G27" s="1386"/>
      <c r="H27" s="805">
        <f>SUMIF(90:90,G27,91:91)-SUMIF(90:90,C27,91:91)+100</f>
        <v>100</v>
      </c>
      <c r="I27" s="1386"/>
      <c r="J27" s="805">
        <f>SUMIF(90:90,I27,91:91)-SUMIF(90:90,C27,91:91)+100</f>
        <v>100</v>
      </c>
      <c r="K27" s="954"/>
      <c r="L27" s="2297"/>
      <c r="M27" s="2259"/>
      <c r="N27" s="2259"/>
      <c r="O27" s="2259"/>
      <c r="P27" s="3695"/>
      <c r="Q27" s="7" t="str">
        <f t="shared" si="11"/>
        <v>人流量</v>
      </c>
      <c r="R27" s="1341" t="s">
        <v>65</v>
      </c>
      <c r="S27" s="1342">
        <f>F27</f>
        <v>100</v>
      </c>
      <c r="T27" s="1341" t="s">
        <v>65</v>
      </c>
      <c r="U27" s="1342">
        <f>H27</f>
        <v>100</v>
      </c>
      <c r="V27" s="1341" t="s">
        <v>65</v>
      </c>
      <c r="W27" s="1342">
        <f>J27</f>
        <v>100</v>
      </c>
      <c r="X27" s="287"/>
      <c r="Y27" s="3688"/>
      <c r="Z27" s="288" t="str">
        <f>Q27</f>
        <v>人流量</v>
      </c>
      <c r="AA27" s="1354">
        <f>D27/F27</f>
        <v>1</v>
      </c>
      <c r="AB27" s="1354">
        <f>D27/H27</f>
        <v>1</v>
      </c>
      <c r="AC27" s="1354">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95"/>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88"/>
      <c r="Z28" s="1353" t="str">
        <f t="shared" ref="Z28:Z46" si="15">Q28</f>
        <v>楼层</v>
      </c>
      <c r="AA28" s="1354">
        <f t="shared" si="3"/>
        <v>1</v>
      </c>
      <c r="AB28" s="1354">
        <f t="shared" si="4"/>
        <v>1</v>
      </c>
      <c r="AC28" s="1354">
        <f t="shared" si="5"/>
        <v>1</v>
      </c>
    </row>
    <row r="29" spans="1:29" ht="14.25">
      <c r="A29" s="151"/>
      <c r="B29" s="1356">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95"/>
      <c r="Q29" s="1350">
        <f t="shared" si="11"/>
        <v>111</v>
      </c>
      <c r="R29" s="1351" t="s">
        <v>65</v>
      </c>
      <c r="S29" s="1352">
        <f t="shared" si="12"/>
        <v>100</v>
      </c>
      <c r="T29" s="1351" t="s">
        <v>65</v>
      </c>
      <c r="U29" s="1352">
        <f t="shared" si="13"/>
        <v>100</v>
      </c>
      <c r="V29" s="1351" t="s">
        <v>65</v>
      </c>
      <c r="W29" s="1352">
        <f t="shared" si="14"/>
        <v>100</v>
      </c>
      <c r="X29" s="1339"/>
      <c r="Y29" s="3688"/>
      <c r="Z29" s="1353">
        <f t="shared" si="15"/>
        <v>111</v>
      </c>
      <c r="AA29" s="1354">
        <f t="shared" si="3"/>
        <v>1</v>
      </c>
      <c r="AB29" s="1354">
        <f t="shared" si="4"/>
        <v>1</v>
      </c>
      <c r="AC29" s="1354">
        <f t="shared" si="5"/>
        <v>1</v>
      </c>
    </row>
    <row r="30" spans="1:29" ht="14.25">
      <c r="A30" s="151"/>
      <c r="B30" s="1356">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95"/>
      <c r="Q30" s="1350">
        <f t="shared" si="11"/>
        <v>111</v>
      </c>
      <c r="R30" s="1351" t="s">
        <v>65</v>
      </c>
      <c r="S30" s="1352">
        <f t="shared" si="12"/>
        <v>100</v>
      </c>
      <c r="T30" s="1351" t="s">
        <v>65</v>
      </c>
      <c r="U30" s="1352">
        <f t="shared" si="13"/>
        <v>100</v>
      </c>
      <c r="V30" s="1351" t="s">
        <v>65</v>
      </c>
      <c r="W30" s="1352">
        <f t="shared" si="14"/>
        <v>100</v>
      </c>
      <c r="X30" s="1339"/>
      <c r="Y30" s="3688"/>
      <c r="Z30" s="1353">
        <f t="shared" si="15"/>
        <v>111</v>
      </c>
      <c r="AA30" s="1354">
        <f t="shared" si="3"/>
        <v>1</v>
      </c>
      <c r="AB30" s="1354">
        <f t="shared" si="4"/>
        <v>1</v>
      </c>
      <c r="AC30" s="1354">
        <f t="shared" si="5"/>
        <v>1</v>
      </c>
    </row>
    <row r="31" spans="1:29" ht="15" thickBot="1">
      <c r="A31" s="154"/>
      <c r="B31" s="1356">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95"/>
      <c r="Q31" s="1350">
        <f t="shared" si="11"/>
        <v>111</v>
      </c>
      <c r="R31" s="1351" t="s">
        <v>65</v>
      </c>
      <c r="S31" s="1352">
        <f t="shared" si="12"/>
        <v>100</v>
      </c>
      <c r="T31" s="1351" t="s">
        <v>65</v>
      </c>
      <c r="U31" s="1352">
        <f t="shared" si="13"/>
        <v>100</v>
      </c>
      <c r="V31" s="1351" t="s">
        <v>65</v>
      </c>
      <c r="W31" s="1352">
        <f t="shared" si="14"/>
        <v>100</v>
      </c>
      <c r="X31" s="1339"/>
      <c r="Y31" s="3688"/>
      <c r="Z31" s="1353">
        <f t="shared" si="15"/>
        <v>111</v>
      </c>
      <c r="AA31" s="1354">
        <f t="shared" si="3"/>
        <v>1</v>
      </c>
      <c r="AB31" s="1354">
        <f t="shared" si="4"/>
        <v>1</v>
      </c>
      <c r="AC31" s="1354">
        <f t="shared" si="5"/>
        <v>1</v>
      </c>
    </row>
    <row r="32" spans="1:29" ht="15">
      <c r="A32" s="155" t="s">
        <v>1023</v>
      </c>
      <c r="B32" s="62" t="s">
        <v>1024</v>
      </c>
      <c r="C32" s="110"/>
      <c r="D32" s="809">
        <v>100</v>
      </c>
      <c r="E32" s="110"/>
      <c r="F32" s="804">
        <f>SUMIF(100:100,E32,101:101)-SUMIF(100:100,C32,101:101)+100</f>
        <v>100</v>
      </c>
      <c r="G32" s="110"/>
      <c r="H32" s="778">
        <f>SUMIF(100:100,G32,101:101)-SUMIF(100:100,C32,101:101)+100</f>
        <v>100</v>
      </c>
      <c r="I32" s="110"/>
      <c r="J32" s="809">
        <f>SUMIF(100:100,I32,101:101)-SUMIF(100:100,C32,101:101)+100</f>
        <v>100</v>
      </c>
      <c r="K32" s="954"/>
      <c r="L32" s="2301"/>
      <c r="M32" s="2296"/>
      <c r="N32" s="2296"/>
      <c r="O32" s="2296"/>
      <c r="P32" s="3689" t="s">
        <v>1025</v>
      </c>
      <c r="Q32" s="1350" t="str">
        <f t="shared" si="11"/>
        <v>商业类型</v>
      </c>
      <c r="R32" s="1351" t="s">
        <v>65</v>
      </c>
      <c r="S32" s="1352">
        <f t="shared" si="12"/>
        <v>100</v>
      </c>
      <c r="T32" s="1351" t="s">
        <v>65</v>
      </c>
      <c r="U32" s="1352">
        <f t="shared" si="13"/>
        <v>100</v>
      </c>
      <c r="V32" s="1351" t="s">
        <v>65</v>
      </c>
      <c r="W32" s="1352">
        <f t="shared" si="14"/>
        <v>100</v>
      </c>
      <c r="X32" s="1339"/>
      <c r="Y32" s="3692" t="s">
        <v>1025</v>
      </c>
      <c r="Z32" s="1353" t="str">
        <f t="shared" si="15"/>
        <v>商业类型</v>
      </c>
      <c r="AA32" s="1354">
        <f t="shared" si="3"/>
        <v>1</v>
      </c>
      <c r="AB32" s="1354">
        <f t="shared" si="4"/>
        <v>1</v>
      </c>
      <c r="AC32" s="1354">
        <f t="shared" si="5"/>
        <v>1</v>
      </c>
    </row>
    <row r="33" spans="1:29" s="1038" customFormat="1" ht="14.25">
      <c r="A33" s="1042"/>
      <c r="B33" s="12" t="s">
        <v>76</v>
      </c>
      <c r="C33" s="811"/>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90"/>
      <c r="Q33" s="1358" t="str">
        <f t="shared" si="11"/>
        <v>项目建筑规模</v>
      </c>
      <c r="R33" s="1359" t="s">
        <v>65</v>
      </c>
      <c r="S33" s="1360" t="e">
        <f t="shared" si="12"/>
        <v>#N/A</v>
      </c>
      <c r="T33" s="1359" t="s">
        <v>65</v>
      </c>
      <c r="U33" s="1360" t="e">
        <f t="shared" si="13"/>
        <v>#N/A</v>
      </c>
      <c r="V33" s="1359" t="s">
        <v>65</v>
      </c>
      <c r="W33" s="1360" t="e">
        <f t="shared" si="14"/>
        <v>#N/A</v>
      </c>
      <c r="X33" s="1361"/>
      <c r="Y33" s="3692"/>
      <c r="Z33" s="1362" t="str">
        <f t="shared" si="15"/>
        <v>项目建筑规模</v>
      </c>
      <c r="AA33" s="1354" t="e">
        <f t="shared" si="3"/>
        <v>#N/A</v>
      </c>
      <c r="AB33" s="1354" t="e">
        <f t="shared" si="4"/>
        <v>#N/A</v>
      </c>
      <c r="AC33" s="1354"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4"/>
      <c r="L34" s="2301"/>
      <c r="M34" s="2296"/>
      <c r="N34" s="2296"/>
      <c r="O34" s="2296"/>
      <c r="P34" s="3690"/>
      <c r="Q34" s="1350" t="str">
        <f t="shared" si="11"/>
        <v>建筑结构</v>
      </c>
      <c r="R34" s="1351" t="s">
        <v>65</v>
      </c>
      <c r="S34" s="1352">
        <f t="shared" si="12"/>
        <v>100</v>
      </c>
      <c r="T34" s="1351" t="s">
        <v>65</v>
      </c>
      <c r="U34" s="1352">
        <f t="shared" si="13"/>
        <v>100</v>
      </c>
      <c r="V34" s="1351" t="s">
        <v>65</v>
      </c>
      <c r="W34" s="1352">
        <f t="shared" si="14"/>
        <v>100</v>
      </c>
      <c r="X34" s="1339"/>
      <c r="Y34" s="3692"/>
      <c r="Z34" s="1353" t="str">
        <f t="shared" si="15"/>
        <v>建筑结构</v>
      </c>
      <c r="AA34" s="1354">
        <f t="shared" si="3"/>
        <v>1</v>
      </c>
      <c r="AB34" s="1354">
        <f t="shared" si="4"/>
        <v>1</v>
      </c>
      <c r="AC34" s="1354">
        <f t="shared" si="5"/>
        <v>1</v>
      </c>
    </row>
    <row r="35" spans="1:29" ht="15">
      <c r="A35" s="161"/>
      <c r="B35" s="12" t="s">
        <v>1026</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4"/>
      <c r="L35" s="2301"/>
      <c r="M35" s="2296"/>
      <c r="N35" s="2296"/>
      <c r="O35" s="2296"/>
      <c r="P35" s="3690"/>
      <c r="Q35" s="1350" t="str">
        <f t="shared" si="11"/>
        <v>公共部分装修</v>
      </c>
      <c r="R35" s="1351" t="s">
        <v>65</v>
      </c>
      <c r="S35" s="1352">
        <f t="shared" si="12"/>
        <v>100</v>
      </c>
      <c r="T35" s="1351" t="s">
        <v>65</v>
      </c>
      <c r="U35" s="1352">
        <f t="shared" si="13"/>
        <v>100</v>
      </c>
      <c r="V35" s="1351" t="s">
        <v>65</v>
      </c>
      <c r="W35" s="1352">
        <f t="shared" si="14"/>
        <v>100</v>
      </c>
      <c r="X35" s="1339"/>
      <c r="Y35" s="3692"/>
      <c r="Z35" s="1353" t="str">
        <f t="shared" si="15"/>
        <v>公共部分装修</v>
      </c>
      <c r="AA35" s="1354">
        <f t="shared" si="3"/>
        <v>1</v>
      </c>
      <c r="AB35" s="1354">
        <f t="shared" si="4"/>
        <v>1</v>
      </c>
      <c r="AC35" s="1354">
        <f t="shared" si="5"/>
        <v>1</v>
      </c>
    </row>
    <row r="36" spans="1:29" ht="15">
      <c r="A36" s="161"/>
      <c r="B36" s="12" t="s">
        <v>1027</v>
      </c>
      <c r="C36" s="816"/>
      <c r="D36" s="778">
        <v>100</v>
      </c>
      <c r="E36" s="816"/>
      <c r="F36" s="804" t="e">
        <f>LOOKUP(E36,110:110,111:111)-LOOKUP(C36,110:110,111:111)+100</f>
        <v>#N/A</v>
      </c>
      <c r="G36" s="816"/>
      <c r="H36" s="804" t="e">
        <f>LOOKUP(G36,110:110,111:111)-LOOKUP(C36,110:110,111:111)+100</f>
        <v>#N/A</v>
      </c>
      <c r="I36" s="816"/>
      <c r="J36" s="778" t="e">
        <f>LOOKUP(I36,110:110,111:111)-LOOKUP(C36,110:110,111:111)+100</f>
        <v>#N/A</v>
      </c>
      <c r="K36" s="954"/>
      <c r="L36" s="2301"/>
      <c r="M36" s="2296"/>
      <c r="N36" s="2296"/>
      <c r="O36" s="2296"/>
      <c r="P36" s="3690"/>
      <c r="Q36" s="1350" t="str">
        <f t="shared" si="11"/>
        <v>成新度</v>
      </c>
      <c r="R36" s="1351" t="s">
        <v>65</v>
      </c>
      <c r="S36" s="1352" t="e">
        <f t="shared" si="12"/>
        <v>#N/A</v>
      </c>
      <c r="T36" s="1351" t="s">
        <v>65</v>
      </c>
      <c r="U36" s="1352" t="e">
        <f t="shared" si="13"/>
        <v>#N/A</v>
      </c>
      <c r="V36" s="1351" t="s">
        <v>65</v>
      </c>
      <c r="W36" s="1352" t="e">
        <f t="shared" si="14"/>
        <v>#N/A</v>
      </c>
      <c r="X36" s="1339"/>
      <c r="Y36" s="3692"/>
      <c r="Z36" s="1353" t="str">
        <f t="shared" si="15"/>
        <v>成新度</v>
      </c>
      <c r="AA36" s="1354" t="e">
        <f t="shared" si="3"/>
        <v>#N/A</v>
      </c>
      <c r="AB36" s="1354" t="e">
        <f t="shared" si="4"/>
        <v>#N/A</v>
      </c>
      <c r="AC36" s="1354" t="e">
        <f t="shared" si="5"/>
        <v>#N/A</v>
      </c>
    </row>
    <row r="37" spans="1:29" s="40" customFormat="1" ht="15">
      <c r="A37" s="1040"/>
      <c r="B37" s="12" t="s">
        <v>2651</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4"/>
      <c r="L37" s="2297"/>
      <c r="M37" s="2259"/>
      <c r="N37" s="2259"/>
      <c r="O37" s="2259"/>
      <c r="P37" s="3690"/>
      <c r="Q37" s="7" t="str">
        <f t="shared" si="11"/>
        <v>市政基础设施</v>
      </c>
      <c r="R37" s="1341" t="s">
        <v>65</v>
      </c>
      <c r="S37" s="1342">
        <f t="shared" si="12"/>
        <v>100</v>
      </c>
      <c r="T37" s="1341" t="s">
        <v>65</v>
      </c>
      <c r="U37" s="1342">
        <f t="shared" si="13"/>
        <v>100</v>
      </c>
      <c r="V37" s="1341" t="s">
        <v>65</v>
      </c>
      <c r="W37" s="1342">
        <f t="shared" si="14"/>
        <v>100</v>
      </c>
      <c r="X37" s="287"/>
      <c r="Y37" s="3692"/>
      <c r="Z37" s="288" t="str">
        <f t="shared" si="15"/>
        <v>市政基础设施</v>
      </c>
      <c r="AA37" s="1343">
        <f t="shared" si="3"/>
        <v>1</v>
      </c>
      <c r="AB37" s="1343">
        <f t="shared" si="4"/>
        <v>1</v>
      </c>
      <c r="AC37" s="1343">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4"/>
      <c r="L38" s="2301"/>
      <c r="M38" s="2296"/>
      <c r="N38" s="2296"/>
      <c r="O38" s="2296"/>
      <c r="P38" s="3690" t="s">
        <v>1028</v>
      </c>
      <c r="Q38" s="1350" t="str">
        <f t="shared" si="11"/>
        <v>业态</v>
      </c>
      <c r="R38" s="1351" t="s">
        <v>65</v>
      </c>
      <c r="S38" s="1352">
        <f t="shared" si="12"/>
        <v>100</v>
      </c>
      <c r="T38" s="1351" t="s">
        <v>65</v>
      </c>
      <c r="U38" s="1352">
        <f t="shared" si="13"/>
        <v>100</v>
      </c>
      <c r="V38" s="1351" t="s">
        <v>65</v>
      </c>
      <c r="W38" s="1352">
        <f t="shared" si="14"/>
        <v>100</v>
      </c>
      <c r="X38" s="1339"/>
      <c r="Y38" s="3692" t="s">
        <v>1028</v>
      </c>
      <c r="Z38" s="1353" t="str">
        <f t="shared" si="15"/>
        <v>业态</v>
      </c>
      <c r="AA38" s="1354">
        <f t="shared" si="3"/>
        <v>1</v>
      </c>
      <c r="AB38" s="1354">
        <f t="shared" si="4"/>
        <v>1</v>
      </c>
      <c r="AC38" s="1354">
        <f t="shared" si="5"/>
        <v>1</v>
      </c>
    </row>
    <row r="39" spans="1:29" ht="15">
      <c r="A39" s="161"/>
      <c r="B39" s="12" t="s">
        <v>1029</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4"/>
      <c r="L39" s="2301"/>
      <c r="M39" s="2296"/>
      <c r="N39" s="2296"/>
      <c r="O39" s="2296"/>
      <c r="P39" s="3690"/>
      <c r="Q39" s="1350" t="str">
        <f t="shared" si="11"/>
        <v>层高</v>
      </c>
      <c r="R39" s="1351" t="s">
        <v>65</v>
      </c>
      <c r="S39" s="1352">
        <f t="shared" si="12"/>
        <v>100</v>
      </c>
      <c r="T39" s="1351" t="s">
        <v>65</v>
      </c>
      <c r="U39" s="1352">
        <f t="shared" si="13"/>
        <v>100</v>
      </c>
      <c r="V39" s="1351" t="s">
        <v>65</v>
      </c>
      <c r="W39" s="1352">
        <f t="shared" si="14"/>
        <v>100</v>
      </c>
      <c r="X39" s="1339"/>
      <c r="Y39" s="3692"/>
      <c r="Z39" s="1353" t="str">
        <f t="shared" si="15"/>
        <v>层高</v>
      </c>
      <c r="AA39" s="1354">
        <f t="shared" si="3"/>
        <v>1</v>
      </c>
      <c r="AB39" s="1354">
        <f t="shared" si="4"/>
        <v>1</v>
      </c>
      <c r="AC39" s="1354">
        <f t="shared" si="5"/>
        <v>1</v>
      </c>
    </row>
    <row r="40" spans="1:29" ht="14.25">
      <c r="A40" s="161"/>
      <c r="B40" s="12" t="s">
        <v>1030</v>
      </c>
      <c r="C40" s="959"/>
      <c r="D40" s="778">
        <v>100</v>
      </c>
      <c r="E40" s="960"/>
      <c r="F40" s="804">
        <f>SUMIF(118:118,E40,119:119)-SUMIF(118:118,C40,119:119)+100</f>
        <v>100</v>
      </c>
      <c r="G40" s="960"/>
      <c r="H40" s="778">
        <f>SUMIF(118:118,G40,119:119)-SUMIF(118:118,C40,119:119)+100</f>
        <v>100</v>
      </c>
      <c r="I40" s="960"/>
      <c r="J40" s="778">
        <f>SUMIF(118:118,I40,119:119)-SUMIF(118:118,C40,119:119)+100</f>
        <v>100</v>
      </c>
      <c r="K40" s="188"/>
      <c r="L40" s="2301"/>
      <c r="M40" s="2296"/>
      <c r="N40" s="2296"/>
      <c r="O40" s="2296"/>
      <c r="P40" s="3690"/>
      <c r="Q40" s="1350" t="str">
        <f t="shared" si="11"/>
        <v>单套建筑面积</v>
      </c>
      <c r="R40" s="1351" t="s">
        <v>65</v>
      </c>
      <c r="S40" s="1352">
        <f t="shared" si="12"/>
        <v>100</v>
      </c>
      <c r="T40" s="1351" t="s">
        <v>65</v>
      </c>
      <c r="U40" s="1352">
        <f t="shared" si="13"/>
        <v>100</v>
      </c>
      <c r="V40" s="1351" t="s">
        <v>65</v>
      </c>
      <c r="W40" s="1352">
        <f t="shared" si="14"/>
        <v>100</v>
      </c>
      <c r="X40" s="1339"/>
      <c r="Y40" s="3692"/>
      <c r="Z40" s="1353" t="str">
        <f t="shared" si="15"/>
        <v>单套建筑面积</v>
      </c>
      <c r="AA40" s="1354">
        <f t="shared" si="3"/>
        <v>1</v>
      </c>
      <c r="AB40" s="1354">
        <f t="shared" si="4"/>
        <v>1</v>
      </c>
      <c r="AC40" s="1354">
        <f t="shared" si="5"/>
        <v>1</v>
      </c>
    </row>
    <row r="41" spans="1:29" s="1038" customFormat="1" ht="15">
      <c r="A41" s="1042"/>
      <c r="B41" s="191" t="s">
        <v>1031</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4"/>
      <c r="L41" s="2300"/>
      <c r="M41" s="2302"/>
      <c r="N41" s="2302"/>
      <c r="O41" s="2302"/>
      <c r="P41" s="3690"/>
      <c r="Q41" s="1358" t="str">
        <f t="shared" si="11"/>
        <v>进深比</v>
      </c>
      <c r="R41" s="1359" t="s">
        <v>65</v>
      </c>
      <c r="S41" s="1360">
        <f t="shared" si="12"/>
        <v>100</v>
      </c>
      <c r="T41" s="1359" t="s">
        <v>65</v>
      </c>
      <c r="U41" s="1360">
        <f t="shared" si="13"/>
        <v>100</v>
      </c>
      <c r="V41" s="1359" t="s">
        <v>65</v>
      </c>
      <c r="W41" s="1360">
        <f t="shared" si="14"/>
        <v>100</v>
      </c>
      <c r="X41" s="1361"/>
      <c r="Y41" s="3692"/>
      <c r="Z41" s="1362" t="str">
        <f t="shared" si="15"/>
        <v>进深比</v>
      </c>
      <c r="AA41" s="1354">
        <f t="shared" si="3"/>
        <v>1</v>
      </c>
      <c r="AB41" s="1354">
        <f t="shared" si="4"/>
        <v>1</v>
      </c>
      <c r="AC41" s="1354">
        <f t="shared" si="5"/>
        <v>1</v>
      </c>
    </row>
    <row r="42" spans="1:29" ht="15">
      <c r="A42" s="161"/>
      <c r="B42" s="12" t="s">
        <v>1032</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4"/>
      <c r="L42" s="2301"/>
      <c r="M42" s="2296"/>
      <c r="N42" s="2296"/>
      <c r="O42" s="2296"/>
      <c r="P42" s="3690"/>
      <c r="Q42" s="1350" t="str">
        <f t="shared" si="11"/>
        <v>内部装修</v>
      </c>
      <c r="R42" s="1351" t="s">
        <v>65</v>
      </c>
      <c r="S42" s="1352">
        <f t="shared" si="12"/>
        <v>100</v>
      </c>
      <c r="T42" s="1351" t="s">
        <v>65</v>
      </c>
      <c r="U42" s="1352">
        <f t="shared" si="13"/>
        <v>100</v>
      </c>
      <c r="V42" s="1351" t="s">
        <v>65</v>
      </c>
      <c r="W42" s="1352">
        <f t="shared" si="14"/>
        <v>100</v>
      </c>
      <c r="X42" s="1339"/>
      <c r="Y42" s="3692"/>
      <c r="Z42" s="1353" t="str">
        <f t="shared" si="15"/>
        <v>内部装修</v>
      </c>
      <c r="AA42" s="1354">
        <f t="shared" si="3"/>
        <v>1</v>
      </c>
      <c r="AB42" s="1354">
        <f t="shared" si="4"/>
        <v>1</v>
      </c>
      <c r="AC42" s="1354">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4"/>
      <c r="L43" s="2301"/>
      <c r="M43" s="2296"/>
      <c r="N43" s="2296"/>
      <c r="O43" s="2296"/>
      <c r="P43" s="3690"/>
      <c r="Q43" s="1350" t="str">
        <f t="shared" si="11"/>
        <v>内部装修维护情况</v>
      </c>
      <c r="R43" s="1351" t="s">
        <v>65</v>
      </c>
      <c r="S43" s="1352">
        <f t="shared" si="12"/>
        <v>100</v>
      </c>
      <c r="T43" s="1351" t="s">
        <v>65</v>
      </c>
      <c r="U43" s="1352">
        <f t="shared" si="13"/>
        <v>100</v>
      </c>
      <c r="V43" s="1351" t="s">
        <v>65</v>
      </c>
      <c r="W43" s="1352">
        <f t="shared" si="14"/>
        <v>100</v>
      </c>
      <c r="X43" s="1339"/>
      <c r="Y43" s="3692"/>
      <c r="Z43" s="1353" t="str">
        <f t="shared" si="15"/>
        <v>内部装修维护情况</v>
      </c>
      <c r="AA43" s="1354">
        <f t="shared" si="3"/>
        <v>1</v>
      </c>
      <c r="AB43" s="1354">
        <f t="shared" si="4"/>
        <v>1</v>
      </c>
      <c r="AC43" s="1354">
        <f t="shared" si="5"/>
        <v>1</v>
      </c>
    </row>
    <row r="44" spans="1:29" s="40" customFormat="1" ht="14.25">
      <c r="A44" s="1040"/>
      <c r="B44" s="1356">
        <v>111</v>
      </c>
      <c r="C44" s="1357"/>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90"/>
      <c r="Q44" s="7">
        <f t="shared" si="11"/>
        <v>111</v>
      </c>
      <c r="R44" s="1341" t="s">
        <v>65</v>
      </c>
      <c r="S44" s="1342">
        <f t="shared" si="12"/>
        <v>100</v>
      </c>
      <c r="T44" s="1341" t="s">
        <v>65</v>
      </c>
      <c r="U44" s="1342">
        <f t="shared" si="13"/>
        <v>100</v>
      </c>
      <c r="V44" s="1341" t="s">
        <v>65</v>
      </c>
      <c r="W44" s="1342">
        <f t="shared" si="14"/>
        <v>100</v>
      </c>
      <c r="X44" s="287"/>
      <c r="Y44" s="3692"/>
      <c r="Z44" s="288">
        <f t="shared" si="15"/>
        <v>111</v>
      </c>
      <c r="AA44" s="1343">
        <f t="shared" si="3"/>
        <v>1</v>
      </c>
      <c r="AB44" s="1343">
        <f t="shared" si="4"/>
        <v>1</v>
      </c>
      <c r="AC44" s="1343">
        <f t="shared" si="5"/>
        <v>1</v>
      </c>
    </row>
    <row r="45" spans="1:29" ht="14.25">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90"/>
      <c r="Q45" s="1350">
        <f t="shared" si="11"/>
        <v>111</v>
      </c>
      <c r="R45" s="1351" t="s">
        <v>65</v>
      </c>
      <c r="S45" s="1352">
        <f t="shared" si="12"/>
        <v>100</v>
      </c>
      <c r="T45" s="1351" t="s">
        <v>65</v>
      </c>
      <c r="U45" s="1352">
        <f t="shared" si="13"/>
        <v>100</v>
      </c>
      <c r="V45" s="1351" t="s">
        <v>65</v>
      </c>
      <c r="W45" s="1352">
        <f t="shared" si="14"/>
        <v>100</v>
      </c>
      <c r="X45" s="1339"/>
      <c r="Y45" s="3692"/>
      <c r="Z45" s="1353">
        <f t="shared" si="15"/>
        <v>111</v>
      </c>
      <c r="AA45" s="1354">
        <f t="shared" si="3"/>
        <v>1</v>
      </c>
      <c r="AB45" s="1354">
        <f t="shared" si="4"/>
        <v>1</v>
      </c>
      <c r="AC45" s="1354">
        <f t="shared" si="5"/>
        <v>1</v>
      </c>
    </row>
    <row r="46" spans="1:29" ht="15" thickBot="1">
      <c r="A46" s="162"/>
      <c r="B46" s="1031">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91"/>
      <c r="Q46" s="1350">
        <f t="shared" si="11"/>
        <v>111</v>
      </c>
      <c r="R46" s="1351" t="s">
        <v>65</v>
      </c>
      <c r="S46" s="1352">
        <f t="shared" si="12"/>
        <v>100</v>
      </c>
      <c r="T46" s="1351" t="s">
        <v>65</v>
      </c>
      <c r="U46" s="1352">
        <f t="shared" si="13"/>
        <v>100</v>
      </c>
      <c r="V46" s="1351" t="s">
        <v>65</v>
      </c>
      <c r="W46" s="1352">
        <f t="shared" si="14"/>
        <v>100</v>
      </c>
      <c r="X46" s="1339"/>
      <c r="Y46" s="3693"/>
      <c r="Z46" s="1353">
        <f t="shared" si="15"/>
        <v>111</v>
      </c>
      <c r="AA46" s="1354">
        <f t="shared" si="3"/>
        <v>1</v>
      </c>
      <c r="AB46" s="1354">
        <f t="shared" si="4"/>
        <v>1</v>
      </c>
      <c r="AC46" s="1354">
        <f t="shared" si="5"/>
        <v>1</v>
      </c>
    </row>
    <row r="47" spans="1:29" ht="15">
      <c r="A47" s="163" t="s">
        <v>1033</v>
      </c>
      <c r="B47" s="164"/>
      <c r="C47" s="2833" t="s">
        <v>23</v>
      </c>
      <c r="D47" s="2834"/>
      <c r="E47" s="2835"/>
      <c r="F47" s="2836"/>
      <c r="G47" s="2837"/>
      <c r="H47" s="2838"/>
      <c r="I47" s="2835"/>
      <c r="J47" s="2838"/>
      <c r="K47" s="1392"/>
      <c r="L47" s="2303"/>
      <c r="M47" s="2304"/>
      <c r="N47" s="2296"/>
      <c r="O47" s="2304"/>
      <c r="P47" s="3685" t="str">
        <f>A47</f>
        <v>成交单价（元/平方米）</v>
      </c>
      <c r="Q47" s="3685"/>
      <c r="R47" s="3680">
        <f>E47</f>
        <v>0</v>
      </c>
      <c r="S47" s="3680"/>
      <c r="T47" s="3680">
        <f>G47</f>
        <v>0</v>
      </c>
      <c r="U47" s="3680"/>
      <c r="V47" s="3680">
        <f>I47</f>
        <v>0</v>
      </c>
      <c r="W47" s="3680"/>
      <c r="X47" s="1364"/>
      <c r="Y47" s="1365"/>
      <c r="Z47" s="1364"/>
      <c r="AA47" s="1364"/>
      <c r="AB47" s="1364"/>
      <c r="AC47" s="1364"/>
    </row>
    <row r="48" spans="1:29" ht="15.75" thickBot="1">
      <c r="A48" s="165" t="s">
        <v>1034</v>
      </c>
      <c r="B48" s="166"/>
      <c r="C48" s="2839" t="e">
        <f>R49</f>
        <v>#DIV/0!</v>
      </c>
      <c r="D48" s="2840"/>
      <c r="E48" s="2841" t="e">
        <f>R48</f>
        <v>#DIV/0!</v>
      </c>
      <c r="F48" s="2841"/>
      <c r="G48" s="2839" t="e">
        <f>T48</f>
        <v>#DIV/0!</v>
      </c>
      <c r="H48" s="2840"/>
      <c r="I48" s="2841" t="e">
        <f>V48</f>
        <v>#DIV/0!</v>
      </c>
      <c r="J48" s="2840"/>
      <c r="K48" s="1393"/>
      <c r="L48" s="2303"/>
      <c r="M48" s="2304"/>
      <c r="N48" s="2296"/>
      <c r="O48" s="2304"/>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1364"/>
      <c r="Y48" s="1364"/>
      <c r="Z48" s="1364"/>
      <c r="AA48" s="1364"/>
      <c r="AB48" s="1364"/>
      <c r="AC48" s="1364"/>
    </row>
    <row r="49" spans="1:29" ht="15.75" thickBot="1">
      <c r="A49" s="115" t="s">
        <v>3013</v>
      </c>
      <c r="B49" s="116"/>
      <c r="C49" s="2843" t="e">
        <f>R49</f>
        <v>#DIV/0!</v>
      </c>
      <c r="D49" s="2843"/>
      <c r="E49" s="2843"/>
      <c r="F49" s="2843"/>
      <c r="G49" s="2843"/>
      <c r="H49" s="2843"/>
      <c r="I49" s="2843"/>
      <c r="J49" s="2843"/>
      <c r="K49" s="1394"/>
      <c r="L49" s="2303"/>
      <c r="M49" s="2304"/>
      <c r="N49" s="2296"/>
      <c r="O49" s="2304"/>
      <c r="P49" s="3682" t="str">
        <f>A49</f>
        <v>估价对象XX用房的比较价值（楼面单价，元/平方米）</v>
      </c>
      <c r="Q49" s="3683"/>
      <c r="R49" s="3684" t="e">
        <f>IF(F1="售价",ROUND(AVERAGE(R48:V48),0),ROUND(AVERAGE(R48:V48),1))</f>
        <v>#DIV/0!</v>
      </c>
      <c r="S49" s="3684"/>
      <c r="T49" s="3684"/>
      <c r="U49" s="3684"/>
      <c r="V49" s="3684"/>
      <c r="W49" s="3684"/>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c r="P50" s="214"/>
      <c r="Q50" s="1364"/>
      <c r="R50" s="1364"/>
      <c r="S50" s="1364"/>
      <c r="T50" s="1364"/>
      <c r="U50" s="1364"/>
      <c r="V50" s="1364"/>
      <c r="W50" s="1364"/>
      <c r="X50" s="1364"/>
      <c r="Y50" s="1364"/>
      <c r="Z50" s="1364"/>
      <c r="AA50" s="1364"/>
      <c r="AB50" s="1364"/>
      <c r="AC50" s="1364"/>
    </row>
    <row r="51" spans="1:29">
      <c r="A51" s="2304"/>
      <c r="B51" s="2304"/>
      <c r="C51" s="2304"/>
      <c r="D51" s="2304"/>
      <c r="E51" s="2304"/>
      <c r="F51" s="2304"/>
      <c r="G51" s="2304"/>
      <c r="H51" s="2304"/>
      <c r="I51" s="2304"/>
      <c r="J51" s="2304"/>
      <c r="K51" s="2305"/>
      <c r="L51" s="2306"/>
      <c r="M51" s="2304"/>
      <c r="N51" s="2304"/>
      <c r="O51" s="2304"/>
      <c r="P51" s="214"/>
      <c r="Q51" s="1364"/>
      <c r="R51" s="1364"/>
      <c r="S51" s="1364"/>
      <c r="T51" s="1364"/>
      <c r="U51" s="1364"/>
      <c r="V51" s="1364"/>
      <c r="W51" s="1364"/>
      <c r="X51" s="1364"/>
      <c r="Y51" s="1364"/>
      <c r="Z51" s="1364"/>
      <c r="AA51" s="1364"/>
      <c r="AB51" s="1364"/>
      <c r="AC51" s="1364"/>
    </row>
    <row r="52" spans="1:29" ht="13.5" customHeight="1">
      <c r="A52" s="2304"/>
      <c r="B52" s="2304"/>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5"/>
      <c r="L52" s="2306"/>
      <c r="M52" s="2304"/>
      <c r="N52" s="2304"/>
      <c r="O52" s="2304"/>
      <c r="P52" s="214"/>
      <c r="Q52" s="1364"/>
      <c r="R52" s="1364"/>
      <c r="S52" s="1364"/>
      <c r="T52" s="1364"/>
      <c r="U52" s="1364"/>
      <c r="V52" s="1364"/>
      <c r="W52" s="1364"/>
      <c r="X52" s="1364"/>
      <c r="Y52" s="1364"/>
      <c r="Z52" s="1364"/>
      <c r="AA52" s="1364"/>
      <c r="AB52" s="1364"/>
      <c r="AC52" s="1364"/>
    </row>
    <row r="53" spans="1:29" ht="13.5" customHeight="1">
      <c r="A53" s="2304"/>
      <c r="B53" s="2304"/>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5"/>
      <c r="L53" s="2306"/>
      <c r="M53" s="2304"/>
      <c r="N53" s="2304"/>
      <c r="O53" s="2304"/>
      <c r="P53" s="214"/>
      <c r="Q53" s="1364"/>
      <c r="R53" s="1364"/>
      <c r="S53" s="1364"/>
      <c r="T53" s="1364"/>
      <c r="U53" s="1364"/>
      <c r="V53" s="1364"/>
      <c r="W53" s="1364"/>
      <c r="X53" s="1364"/>
      <c r="Y53" s="1364"/>
      <c r="Z53" s="1364"/>
      <c r="AA53" s="1364"/>
      <c r="AB53" s="1364"/>
      <c r="AC53" s="1364"/>
    </row>
    <row r="54" spans="1:29" s="119" customFormat="1" ht="13.5" customHeight="1">
      <c r="A54" s="2309"/>
      <c r="B54" s="2309"/>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7"/>
      <c r="L54" s="2308"/>
      <c r="M54" s="2309"/>
      <c r="N54" s="2309"/>
      <c r="O54" s="2309"/>
      <c r="P54" s="1395"/>
      <c r="Q54" s="1369"/>
      <c r="R54" s="1369"/>
      <c r="S54" s="1369"/>
      <c r="T54" s="1369"/>
      <c r="U54" s="1369"/>
      <c r="V54" s="1369"/>
      <c r="W54" s="1369"/>
      <c r="X54" s="1369"/>
      <c r="Y54" s="1369"/>
      <c r="Z54" s="1369"/>
      <c r="AA54" s="1369"/>
      <c r="AB54" s="1369"/>
      <c r="AC54" s="1369"/>
    </row>
    <row r="55" spans="1:29" s="119" customFormat="1">
      <c r="A55" s="2309"/>
      <c r="B55" s="2314"/>
      <c r="C55" s="2315"/>
      <c r="D55" s="2309"/>
      <c r="E55" s="2309"/>
      <c r="F55" s="2309"/>
      <c r="G55" s="2309"/>
      <c r="H55" s="2309"/>
      <c r="I55" s="2309"/>
      <c r="J55" s="2309"/>
      <c r="K55" s="2307"/>
      <c r="L55" s="2308"/>
      <c r="M55" s="2309"/>
      <c r="N55" s="2309"/>
      <c r="O55" s="2309"/>
      <c r="P55" s="1395"/>
      <c r="Q55" s="1369"/>
      <c r="R55" s="1369"/>
      <c r="S55" s="1369"/>
      <c r="T55" s="1369"/>
      <c r="U55" s="1369"/>
      <c r="V55" s="1369"/>
      <c r="W55" s="1369"/>
      <c r="X55" s="1369"/>
      <c r="Y55" s="1369"/>
      <c r="Z55" s="1369"/>
      <c r="AA55" s="1369"/>
      <c r="AB55" s="1369"/>
      <c r="AC55" s="1369"/>
    </row>
    <row r="56" spans="1:29">
      <c r="A56" s="2304"/>
      <c r="B56" s="2314"/>
      <c r="C56" s="2315"/>
      <c r="D56" s="2304"/>
      <c r="E56" s="2304"/>
      <c r="F56" s="2304"/>
      <c r="G56" s="2304"/>
      <c r="H56" s="2304"/>
      <c r="I56" s="2304"/>
      <c r="J56" s="2304"/>
      <c r="K56" s="2305"/>
      <c r="L56" s="2306"/>
      <c r="M56" s="2304"/>
      <c r="N56" s="2304"/>
      <c r="O56" s="2304"/>
      <c r="P56" s="214"/>
      <c r="Q56" s="1364"/>
      <c r="R56" s="1364"/>
      <c r="S56" s="1364"/>
      <c r="T56" s="1364"/>
      <c r="U56" s="1364"/>
      <c r="V56" s="1364"/>
      <c r="W56" s="1364"/>
      <c r="X56" s="1364"/>
      <c r="Y56" s="1364"/>
      <c r="Z56" s="1364"/>
      <c r="AA56" s="1364"/>
      <c r="AB56" s="1364"/>
      <c r="AC56" s="1364"/>
    </row>
    <row r="57" spans="1:29" ht="21" thickBot="1">
      <c r="A57" s="1371" t="s">
        <v>1035</v>
      </c>
      <c r="B57" s="1364"/>
      <c r="C57" s="1372"/>
      <c r="D57" s="1372"/>
      <c r="E57" s="1372"/>
      <c r="F57" s="1373"/>
      <c r="G57" s="1373"/>
      <c r="H57" s="1372"/>
      <c r="I57" s="1372"/>
      <c r="J57" s="1372"/>
      <c r="K57" s="1374"/>
      <c r="L57" s="2311"/>
      <c r="M57" s="2312"/>
      <c r="N57" s="2312"/>
      <c r="O57" s="2312"/>
      <c r="P57" s="1396"/>
      <c r="Q57" s="1397"/>
      <c r="R57" s="1364"/>
      <c r="S57" s="1364"/>
      <c r="T57" s="1364"/>
      <c r="U57" s="1364"/>
      <c r="V57" s="1364"/>
      <c r="W57" s="1364"/>
      <c r="X57" s="1364"/>
      <c r="Y57" s="1364"/>
      <c r="Z57" s="1364"/>
      <c r="AA57" s="1364"/>
      <c r="AB57" s="1364"/>
      <c r="AC57" s="1364"/>
    </row>
    <row r="58" spans="1:29" s="850" customFormat="1" ht="15">
      <c r="A58" s="847" t="s">
        <v>2789</v>
      </c>
      <c r="B58" s="848"/>
      <c r="C58" s="3040" t="str">
        <f>YEAR(C7)&amp;"-"&amp;MONTH(C7)</f>
        <v>2017-9</v>
      </c>
      <c r="D58" s="3041">
        <f>EDATE(C58,-1)</f>
        <v>42948</v>
      </c>
      <c r="E58" s="3041">
        <f t="shared" ref="E58:N58" si="16">EDATE(D58,-1)</f>
        <v>42917</v>
      </c>
      <c r="F58" s="3041">
        <f t="shared" si="16"/>
        <v>42887</v>
      </c>
      <c r="G58" s="3041">
        <f t="shared" si="16"/>
        <v>42856</v>
      </c>
      <c r="H58" s="3041">
        <f t="shared" si="16"/>
        <v>42826</v>
      </c>
      <c r="I58" s="3041">
        <f t="shared" si="16"/>
        <v>42795</v>
      </c>
      <c r="J58" s="3041">
        <f t="shared" si="16"/>
        <v>42767</v>
      </c>
      <c r="K58" s="3041">
        <f t="shared" si="16"/>
        <v>42736</v>
      </c>
      <c r="L58" s="3041">
        <f t="shared" si="16"/>
        <v>42705</v>
      </c>
      <c r="M58" s="3041">
        <f t="shared" si="16"/>
        <v>42675</v>
      </c>
      <c r="N58" s="3041">
        <f t="shared" si="16"/>
        <v>42644</v>
      </c>
      <c r="O58" s="3041">
        <f>EDATE(N58,-1)</f>
        <v>42614</v>
      </c>
      <c r="P58" s="3034"/>
    </row>
    <row r="59" spans="1:29" s="40" customFormat="1" ht="14.25">
      <c r="A59" s="1044"/>
      <c r="B59" s="1045"/>
      <c r="C59" s="3038">
        <v>100</v>
      </c>
      <c r="D59" s="854"/>
      <c r="E59" s="854"/>
      <c r="F59" s="854"/>
      <c r="G59" s="854"/>
      <c r="H59" s="854"/>
      <c r="I59" s="854"/>
      <c r="J59" s="854"/>
      <c r="K59" s="854"/>
      <c r="L59" s="854"/>
      <c r="M59" s="855"/>
      <c r="N59" s="854"/>
      <c r="O59" s="855"/>
      <c r="P59" s="1376"/>
    </row>
    <row r="60" spans="1:29" s="40" customFormat="1" ht="15" thickBot="1">
      <c r="A60" s="1046" t="s">
        <v>1036</v>
      </c>
      <c r="B60" s="1047"/>
      <c r="C60" s="859"/>
      <c r="D60" s="860"/>
      <c r="E60" s="860"/>
      <c r="F60" s="860"/>
      <c r="G60" s="860"/>
      <c r="H60" s="860"/>
      <c r="I60" s="860"/>
      <c r="J60" s="860"/>
      <c r="K60" s="860"/>
      <c r="L60" s="860"/>
      <c r="M60" s="861"/>
      <c r="N60" s="860"/>
      <c r="O60" s="861"/>
      <c r="P60" s="1376"/>
      <c r="Q60" s="121"/>
    </row>
    <row r="61" spans="1:29" s="40" customFormat="1">
      <c r="A61" s="1048" t="s">
        <v>1037</v>
      </c>
      <c r="B61" s="1045"/>
      <c r="C61" s="1049" t="s">
        <v>1038</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1039</v>
      </c>
      <c r="B63" s="286" t="s">
        <v>1040</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1041</v>
      </c>
      <c r="C65" s="881" t="s">
        <v>1006</v>
      </c>
      <c r="D65" s="881" t="s">
        <v>1007</v>
      </c>
      <c r="E65" s="881" t="s">
        <v>1008</v>
      </c>
      <c r="F65" s="881" t="s">
        <v>1009</v>
      </c>
      <c r="G65" s="881" t="s">
        <v>1010</v>
      </c>
      <c r="H65" s="881" t="s">
        <v>1011</v>
      </c>
      <c r="I65" s="881" t="s">
        <v>1012</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1042</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1"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1043</v>
      </c>
      <c r="B76" s="286" t="s">
        <v>1044</v>
      </c>
      <c r="C76" s="915" t="s">
        <v>1013</v>
      </c>
      <c r="D76" s="915" t="s">
        <v>1014</v>
      </c>
      <c r="E76" s="915" t="s">
        <v>1015</v>
      </c>
      <c r="F76" s="915" t="s">
        <v>1016</v>
      </c>
      <c r="G76" s="915" t="s">
        <v>1017</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1050</v>
      </c>
      <c r="C78" s="920" t="s">
        <v>424</v>
      </c>
      <c r="D78" s="920" t="s">
        <v>425</v>
      </c>
      <c r="E78" s="920" t="s">
        <v>426</v>
      </c>
      <c r="F78" s="920" t="s">
        <v>427</v>
      </c>
      <c r="G78" s="920" t="s">
        <v>428</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2633</v>
      </c>
      <c r="C80" s="920" t="s">
        <v>424</v>
      </c>
      <c r="D80" s="920" t="s">
        <v>425</v>
      </c>
      <c r="E80" s="920" t="s">
        <v>426</v>
      </c>
      <c r="F80" s="920" t="s">
        <v>427</v>
      </c>
      <c r="G80" s="920" t="s">
        <v>428</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2652</v>
      </c>
      <c r="C82" s="213" t="s">
        <v>2653</v>
      </c>
      <c r="D82" s="213" t="s">
        <v>2654</v>
      </c>
      <c r="E82" s="213" t="s">
        <v>2655</v>
      </c>
      <c r="F82" s="213" t="s">
        <v>2656</v>
      </c>
      <c r="G82" s="213" t="s">
        <v>2657</v>
      </c>
      <c r="H82" s="881"/>
      <c r="I82" s="881"/>
      <c r="J82" s="881"/>
      <c r="K82" s="881"/>
      <c r="L82" s="881"/>
      <c r="M82" s="2765"/>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3"/>
      <c r="N83" s="1389"/>
      <c r="O83" s="1389"/>
      <c r="P83" s="1378"/>
      <c r="Q83" s="121"/>
    </row>
    <row r="84" spans="1:17" ht="15" thickTop="1">
      <c r="A84" s="173"/>
      <c r="B84" s="1053" t="s">
        <v>1051</v>
      </c>
      <c r="C84" s="920" t="s">
        <v>424</v>
      </c>
      <c r="D84" s="920" t="s">
        <v>425</v>
      </c>
      <c r="E84" s="920" t="s">
        <v>426</v>
      </c>
      <c r="F84" s="920" t="s">
        <v>427</v>
      </c>
      <c r="G84" s="920" t="s">
        <v>428</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1052</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1053</v>
      </c>
      <c r="B100" s="286" t="s">
        <v>1054</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1055</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1056</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1057</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1058</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2635</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1059</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1060</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1061</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1062</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1063</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1064</v>
      </c>
      <c r="C124" s="181" t="s">
        <v>1045</v>
      </c>
      <c r="D124" s="181" t="s">
        <v>1046</v>
      </c>
      <c r="E124" s="181" t="s">
        <v>1047</v>
      </c>
      <c r="F124" s="181" t="s">
        <v>1048</v>
      </c>
      <c r="G124" s="181" t="s">
        <v>1049</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1065</v>
      </c>
      <c r="B1" s="3117" t="s">
        <v>1066</v>
      </c>
      <c r="C1" s="3111" t="s">
        <v>1067</v>
      </c>
      <c r="D1" s="3102"/>
      <c r="E1" s="3107"/>
      <c r="F1" s="3104"/>
      <c r="G1" s="3106" t="s">
        <v>1068</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1069</v>
      </c>
      <c r="B2" s="2844" t="e">
        <f ca="1">IF(C2="——",ROUND(C50*D3/10000,0),ROUND(C50*D3/10000,0)-D2)</f>
        <v>#DIV/0!</v>
      </c>
      <c r="C2" s="3096"/>
      <c r="D2" s="2724" t="e">
        <f ca="1">SUMIF(INDIRECT("'"&amp;F2&amp;"'"&amp;"!A:A"),"承租人权益价值",INDIRECT("'"&amp;F2&amp;"'"&amp;"!c:c"))</f>
        <v>#REF!</v>
      </c>
      <c r="E2" s="3097" t="s">
        <v>865</v>
      </c>
      <c r="F2" s="3098"/>
      <c r="G2" s="2318"/>
      <c r="H2" s="2318"/>
      <c r="I2" s="2318"/>
      <c r="J2" s="2318"/>
      <c r="K2" s="2318"/>
      <c r="L2" s="2319"/>
      <c r="M2" s="2320"/>
      <c r="N2" s="2320"/>
      <c r="O2" s="2320"/>
      <c r="P2" s="1333"/>
      <c r="Q2" s="1333"/>
      <c r="R2" s="1333"/>
      <c r="S2" s="1333"/>
      <c r="T2" s="1333"/>
      <c r="U2" s="1333"/>
      <c r="V2" s="1333"/>
      <c r="W2" s="1333"/>
      <c r="X2" s="1333"/>
      <c r="Y2" s="1333"/>
      <c r="Z2" s="1333"/>
      <c r="AA2" s="1333"/>
      <c r="AB2" s="1333"/>
      <c r="AC2" s="1334"/>
    </row>
    <row r="3" spans="1:29" s="90" customFormat="1" ht="28.5" customHeight="1" thickBot="1">
      <c r="A3" s="87" t="s">
        <v>1070</v>
      </c>
      <c r="B3" s="951" t="e">
        <f ca="1">IF(C2="——",C50,ROUND(B2*10000/D3,0))</f>
        <v>#DIV/0!</v>
      </c>
      <c r="C3" s="142" t="s">
        <v>1071</v>
      </c>
      <c r="D3" s="742">
        <f>IF(D1="",'数据-汇总表'!E3,SUMIF('数据-汇总表'!$C19:$C33,D1,'数据-汇总表'!$E19:$E33))</f>
        <v>12736.12000000001</v>
      </c>
      <c r="E3" s="2316"/>
      <c r="F3" s="2317"/>
      <c r="G3" s="2318"/>
      <c r="H3" s="2318"/>
      <c r="I3" s="2318"/>
      <c r="J3" s="2318"/>
      <c r="K3" s="2321"/>
      <c r="L3" s="2319"/>
      <c r="M3" s="2320"/>
      <c r="N3" s="2320"/>
      <c r="O3" s="2320"/>
      <c r="P3" s="1333"/>
      <c r="Q3" s="1333"/>
      <c r="R3" s="1333"/>
      <c r="S3" s="1333"/>
      <c r="T3" s="1333"/>
      <c r="U3" s="1333"/>
      <c r="V3" s="1333"/>
      <c r="W3" s="1333"/>
      <c r="X3" s="1333"/>
      <c r="Y3" s="1333"/>
      <c r="Z3" s="1333"/>
      <c r="AA3" s="1333"/>
      <c r="AB3" s="1333"/>
      <c r="AC3" s="1334"/>
    </row>
    <row r="4" spans="1:29">
      <c r="A4" s="143" t="s">
        <v>1072</v>
      </c>
      <c r="B4" s="144"/>
      <c r="C4" s="3668" t="s">
        <v>1073</v>
      </c>
      <c r="D4" s="3669"/>
      <c r="E4" s="3670" t="s">
        <v>1074</v>
      </c>
      <c r="F4" s="3671"/>
      <c r="G4" s="3668" t="s">
        <v>1075</v>
      </c>
      <c r="H4" s="3669"/>
      <c r="I4" s="3668" t="s">
        <v>1076</v>
      </c>
      <c r="J4" s="3669"/>
      <c r="K4" s="187" t="s">
        <v>1077</v>
      </c>
      <c r="L4" s="2295"/>
      <c r="M4" s="2296"/>
      <c r="N4" s="2296"/>
      <c r="O4" s="2296"/>
      <c r="P4" s="3702" t="s">
        <v>1072</v>
      </c>
      <c r="Q4" s="3703"/>
      <c r="R4" s="3697" t="s">
        <v>1074</v>
      </c>
      <c r="S4" s="3698"/>
      <c r="T4" s="3697" t="s">
        <v>1075</v>
      </c>
      <c r="U4" s="3698"/>
      <c r="V4" s="3706" t="s">
        <v>1076</v>
      </c>
      <c r="W4" s="3706"/>
      <c r="X4" s="2335"/>
      <c r="Y4" s="3697" t="s">
        <v>1072</v>
      </c>
      <c r="Z4" s="3698"/>
      <c r="AA4" s="3696" t="s">
        <v>1074</v>
      </c>
      <c r="AB4" s="3696" t="s">
        <v>1075</v>
      </c>
      <c r="AC4" s="3699" t="s">
        <v>1076</v>
      </c>
    </row>
    <row r="5" spans="1:29">
      <c r="A5" s="146"/>
      <c r="B5" s="147"/>
      <c r="C5" s="3661" t="s">
        <v>1078</v>
      </c>
      <c r="D5" s="3662"/>
      <c r="E5" s="3659" t="s">
        <v>1079</v>
      </c>
      <c r="F5" s="3660"/>
      <c r="G5" s="3661" t="s">
        <v>1080</v>
      </c>
      <c r="H5" s="3662"/>
      <c r="I5" s="3661" t="s">
        <v>1081</v>
      </c>
      <c r="J5" s="3662"/>
      <c r="K5" s="187"/>
      <c r="L5" s="2295"/>
      <c r="M5" s="2296"/>
      <c r="N5" s="2296"/>
      <c r="O5" s="2296"/>
      <c r="P5" s="3704"/>
      <c r="Q5" s="3675"/>
      <c r="R5" s="3657"/>
      <c r="S5" s="3658"/>
      <c r="T5" s="3657"/>
      <c r="U5" s="3658"/>
      <c r="V5" s="3680"/>
      <c r="W5" s="3680"/>
      <c r="X5" s="2221"/>
      <c r="Y5" s="3657"/>
      <c r="Z5" s="3658"/>
      <c r="AA5" s="3651"/>
      <c r="AB5" s="3651"/>
      <c r="AC5" s="3700"/>
    </row>
    <row r="6" spans="1:29" ht="14.25" thickBot="1">
      <c r="A6" s="148"/>
      <c r="B6" s="149"/>
      <c r="C6" s="3663" t="s">
        <v>1082</v>
      </c>
      <c r="D6" s="3664"/>
      <c r="E6" s="3665" t="s">
        <v>1082</v>
      </c>
      <c r="F6" s="3666"/>
      <c r="G6" s="3663" t="s">
        <v>1082</v>
      </c>
      <c r="H6" s="3664"/>
      <c r="I6" s="3663" t="s">
        <v>1082</v>
      </c>
      <c r="J6" s="3664"/>
      <c r="K6" s="187" t="s">
        <v>1083</v>
      </c>
      <c r="L6" s="2295"/>
      <c r="M6" s="2296"/>
      <c r="N6" s="2296"/>
      <c r="O6" s="2296"/>
      <c r="P6" s="3705"/>
      <c r="Q6" s="3677"/>
      <c r="R6" s="3657"/>
      <c r="S6" s="3658"/>
      <c r="T6" s="3678"/>
      <c r="U6" s="3679"/>
      <c r="V6" s="3680"/>
      <c r="W6" s="3680"/>
      <c r="X6" s="2221"/>
      <c r="Y6" s="3678"/>
      <c r="Z6" s="3679"/>
      <c r="AA6" s="3652"/>
      <c r="AB6" s="3652"/>
      <c r="AC6" s="3701"/>
    </row>
    <row r="7" spans="1:29" s="40" customFormat="1" ht="15" thickBot="1">
      <c r="A7" s="1013" t="s">
        <v>1084</v>
      </c>
      <c r="B7" s="1014"/>
      <c r="C7" s="753">
        <f>'数据-取费表'!B2</f>
        <v>42986</v>
      </c>
      <c r="D7" s="754">
        <v>100</v>
      </c>
      <c r="E7" s="1016"/>
      <c r="F7" s="756">
        <f>SUMIF(59:59,YEAR(E7)&amp;"-"&amp;MONTH(E7),60:60)</f>
        <v>0</v>
      </c>
      <c r="G7" s="1016"/>
      <c r="H7" s="754">
        <f>SUMIF(59:59,YEAR(G7)&amp;"-"&amp;MONTH(G7),60:60)</f>
        <v>0</v>
      </c>
      <c r="I7" s="1016"/>
      <c r="J7" s="754">
        <f>SUMIF(59:59,YEAR(I7)&amp;"-"&amp;MONTH(I7),60:60)</f>
        <v>0</v>
      </c>
      <c r="K7" s="1018"/>
      <c r="L7" s="2297"/>
      <c r="M7" s="2259"/>
      <c r="N7" s="2259"/>
      <c r="O7" s="2259"/>
      <c r="P7" s="3707" t="s">
        <v>1084</v>
      </c>
      <c r="Q7" s="3681"/>
      <c r="R7" s="1341" t="s">
        <v>65</v>
      </c>
      <c r="S7" s="1342">
        <f t="shared" ref="S7:S15" si="0">F7</f>
        <v>0</v>
      </c>
      <c r="T7" s="1341" t="s">
        <v>65</v>
      </c>
      <c r="U7" s="1342">
        <f t="shared" ref="U7:U15" si="1">H7</f>
        <v>0</v>
      </c>
      <c r="V7" s="1341" t="s">
        <v>65</v>
      </c>
      <c r="W7" s="1342">
        <f t="shared" ref="W7:W15" si="2">J7</f>
        <v>0</v>
      </c>
      <c r="X7" s="287"/>
      <c r="Y7" s="3653" t="s">
        <v>1084</v>
      </c>
      <c r="Z7" s="3654"/>
      <c r="AA7" s="1343" t="e">
        <f>D7/F7</f>
        <v>#DIV/0!</v>
      </c>
      <c r="AB7" s="1343" t="e">
        <f>D7/H7</f>
        <v>#DIV/0!</v>
      </c>
      <c r="AC7" s="2336" t="e">
        <f>D7/J7</f>
        <v>#DIV/0!</v>
      </c>
    </row>
    <row r="8" spans="1:29" s="40" customFormat="1" ht="15" thickBot="1">
      <c r="A8" s="1013" t="s">
        <v>1085</v>
      </c>
      <c r="B8" s="1014"/>
      <c r="C8" s="1019" t="s">
        <v>1086</v>
      </c>
      <c r="D8" s="754">
        <v>100</v>
      </c>
      <c r="E8" s="1019"/>
      <c r="F8" s="756">
        <f>SUMIF(62:62,E8,63:63)-SUMIF(62:62,C8,63:63)+100</f>
        <v>0</v>
      </c>
      <c r="G8" s="1019"/>
      <c r="H8" s="754">
        <f>SUMIF(62:62,G8,63:63)-SUMIF(62:62,C8,63:63)+100</f>
        <v>0</v>
      </c>
      <c r="I8" s="1019"/>
      <c r="J8" s="754">
        <f>SUMIF(62:62,I8,63:63)-SUMIF(62:62,C8,63:63)+100</f>
        <v>0</v>
      </c>
      <c r="K8" s="1018"/>
      <c r="L8" s="2297"/>
      <c r="M8" s="2259"/>
      <c r="N8" s="2259"/>
      <c r="O8" s="2259"/>
      <c r="P8" s="3707" t="s">
        <v>1018</v>
      </c>
      <c r="Q8" s="3654"/>
      <c r="R8" s="1341" t="s">
        <v>65</v>
      </c>
      <c r="S8" s="1342">
        <f t="shared" si="0"/>
        <v>0</v>
      </c>
      <c r="T8" s="1341" t="s">
        <v>65</v>
      </c>
      <c r="U8" s="1342">
        <f t="shared" si="1"/>
        <v>0</v>
      </c>
      <c r="V8" s="1341" t="s">
        <v>65</v>
      </c>
      <c r="W8" s="1342">
        <f t="shared" si="2"/>
        <v>0</v>
      </c>
      <c r="X8" s="287"/>
      <c r="Y8" s="3653" t="s">
        <v>1018</v>
      </c>
      <c r="Z8" s="3654"/>
      <c r="AA8" s="1343" t="e">
        <f t="shared" ref="AA8:AA47" si="3">D8/F8</f>
        <v>#DIV/0!</v>
      </c>
      <c r="AB8" s="1343" t="e">
        <f t="shared" ref="AB8:AB47" si="4">D8/H8</f>
        <v>#DIV/0!</v>
      </c>
      <c r="AC8" s="2336" t="e">
        <f t="shared" ref="AC8:AC47" si="5">D8/J8</f>
        <v>#DIV/0!</v>
      </c>
    </row>
    <row r="9" spans="1:29" s="40" customFormat="1" ht="14.25">
      <c r="A9" s="1020" t="s">
        <v>1019</v>
      </c>
      <c r="B9" s="62" t="s">
        <v>1020</v>
      </c>
      <c r="C9" s="1345"/>
      <c r="D9" s="425">
        <v>100</v>
      </c>
      <c r="E9" s="1347"/>
      <c r="F9" s="425">
        <f>SUMIF(64:64,E9,65:65)-SUMIF(64:64,C9,65:65)+100</f>
        <v>100</v>
      </c>
      <c r="G9" s="1346"/>
      <c r="H9" s="425">
        <f>SUMIF(64:64,G9,65:65)-SUMIF(64:64,C9,65:65)+100</f>
        <v>100</v>
      </c>
      <c r="I9" s="1346"/>
      <c r="J9" s="425">
        <f>SUMIF(64:64,I9,65:65)-SUMIF(64:64,C9,65:65)+100</f>
        <v>100</v>
      </c>
      <c r="K9" s="1018"/>
      <c r="L9" s="2297"/>
      <c r="M9" s="2259"/>
      <c r="N9" s="2259"/>
      <c r="O9" s="2259"/>
      <c r="P9" s="3667" t="s">
        <v>67</v>
      </c>
      <c r="Q9" s="2212" t="str">
        <f t="shared" ref="Q9:Q15" si="6">B9</f>
        <v>用途</v>
      </c>
      <c r="R9" s="1341" t="s">
        <v>65</v>
      </c>
      <c r="S9" s="1342">
        <f t="shared" si="0"/>
        <v>100</v>
      </c>
      <c r="T9" s="1341" t="s">
        <v>65</v>
      </c>
      <c r="U9" s="1342">
        <f t="shared" si="1"/>
        <v>100</v>
      </c>
      <c r="V9" s="1341" t="s">
        <v>65</v>
      </c>
      <c r="W9" s="1342">
        <f t="shared" si="2"/>
        <v>100</v>
      </c>
      <c r="X9" s="287"/>
      <c r="Y9" s="3491" t="s">
        <v>67</v>
      </c>
      <c r="Z9" s="2211" t="str">
        <f t="shared" ref="Z9:Z15" si="7">Q9</f>
        <v>用途</v>
      </c>
      <c r="AA9" s="1343">
        <f t="shared" si="3"/>
        <v>1</v>
      </c>
      <c r="AB9" s="1343">
        <f t="shared" si="4"/>
        <v>1</v>
      </c>
      <c r="AC9" s="2336">
        <f t="shared" si="5"/>
        <v>1</v>
      </c>
    </row>
    <row r="10" spans="1:29" s="92" customFormat="1" ht="27">
      <c r="A10" s="150"/>
      <c r="B10" s="12" t="s">
        <v>106</v>
      </c>
      <c r="C10" s="1348"/>
      <c r="D10" s="426">
        <v>100</v>
      </c>
      <c r="E10" s="1348"/>
      <c r="F10" s="426">
        <f>SUMIF(66:66,E10,67:67)-SUMIF(66:66,C10,67:67)+100</f>
        <v>100</v>
      </c>
      <c r="G10" s="1349"/>
      <c r="H10" s="426">
        <f>SUMIF(66:66,G10,67:67)-SUMIF(66:66,C10,67:67)+100</f>
        <v>100</v>
      </c>
      <c r="I10" s="1348"/>
      <c r="J10" s="426">
        <f>SUMIF(66:66,I10,67:67)-SUMIF(66:66,C10,67:67)+100</f>
        <v>100</v>
      </c>
      <c r="K10" s="954"/>
      <c r="L10" s="2298"/>
      <c r="M10" s="2299"/>
      <c r="N10" s="2299"/>
      <c r="O10" s="2299"/>
      <c r="P10" s="3667"/>
      <c r="Q10" s="2212" t="str">
        <f t="shared" si="6"/>
        <v>土地使用年限（年）</v>
      </c>
      <c r="R10" s="1341" t="s">
        <v>65</v>
      </c>
      <c r="S10" s="1342">
        <f t="shared" si="0"/>
        <v>100</v>
      </c>
      <c r="T10" s="1341" t="s">
        <v>65</v>
      </c>
      <c r="U10" s="1342">
        <f t="shared" si="1"/>
        <v>100</v>
      </c>
      <c r="V10" s="1341" t="s">
        <v>65</v>
      </c>
      <c r="W10" s="1342">
        <f t="shared" si="2"/>
        <v>100</v>
      </c>
      <c r="X10" s="287"/>
      <c r="Y10" s="3491"/>
      <c r="Z10" s="2211" t="str">
        <f t="shared" si="7"/>
        <v>土地使用年限（年）</v>
      </c>
      <c r="AA10" s="1343">
        <f t="shared" si="3"/>
        <v>1</v>
      </c>
      <c r="AB10" s="1343">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4"/>
      <c r="L11" s="2300"/>
      <c r="M11" s="2296"/>
      <c r="N11" s="2296"/>
      <c r="O11" s="2296"/>
      <c r="P11" s="3667"/>
      <c r="Q11" s="2212" t="str">
        <f t="shared" si="6"/>
        <v>容积率</v>
      </c>
      <c r="R11" s="1341" t="s">
        <v>65</v>
      </c>
      <c r="S11" s="1342" t="e">
        <f t="shared" si="0"/>
        <v>#N/A</v>
      </c>
      <c r="T11" s="1341" t="s">
        <v>65</v>
      </c>
      <c r="U11" s="1342" t="e">
        <f t="shared" si="1"/>
        <v>#N/A</v>
      </c>
      <c r="V11" s="1341" t="s">
        <v>65</v>
      </c>
      <c r="W11" s="1342" t="e">
        <f t="shared" si="2"/>
        <v>#N/A</v>
      </c>
      <c r="X11" s="287"/>
      <c r="Y11" s="3491"/>
      <c r="Z11" s="2211" t="str">
        <f t="shared" si="7"/>
        <v>容积率</v>
      </c>
      <c r="AA11" s="1343" t="e">
        <f t="shared" si="3"/>
        <v>#N/A</v>
      </c>
      <c r="AB11" s="1343" t="e">
        <f t="shared" si="4"/>
        <v>#N/A</v>
      </c>
      <c r="AC11" s="2336" t="e">
        <f t="shared" si="5"/>
        <v>#N/A</v>
      </c>
    </row>
    <row r="12" spans="1:29" s="40" customFormat="1" ht="14.25">
      <c r="A12" s="1029"/>
      <c r="B12" s="1030">
        <v>111</v>
      </c>
      <c r="C12" s="1023"/>
      <c r="D12" s="776">
        <v>100</v>
      </c>
      <c r="E12" s="1023"/>
      <c r="F12" s="426">
        <f>SUMIF(71:71,E12,72:72)-SUMIF(71:71,C12,72:72)+100</f>
        <v>100</v>
      </c>
      <c r="G12" s="1402"/>
      <c r="H12" s="426">
        <f>SUMIF(71:71,G12,72:72)-SUMIF(71:71,C12,72:72)+100</f>
        <v>100</v>
      </c>
      <c r="I12" s="1023"/>
      <c r="J12" s="426">
        <f>SUMIF(71:71,I12,72:72)-SUMIF(71:71,C12,72:72)+100</f>
        <v>100</v>
      </c>
      <c r="K12" s="188"/>
      <c r="L12" s="2297"/>
      <c r="M12" s="2259"/>
      <c r="N12" s="2259"/>
      <c r="O12" s="2259"/>
      <c r="P12" s="3667"/>
      <c r="Q12" s="2212">
        <f t="shared" si="6"/>
        <v>111</v>
      </c>
      <c r="R12" s="1341" t="s">
        <v>65</v>
      </c>
      <c r="S12" s="1342">
        <f t="shared" si="0"/>
        <v>100</v>
      </c>
      <c r="T12" s="1341" t="s">
        <v>65</v>
      </c>
      <c r="U12" s="1342">
        <f t="shared" si="1"/>
        <v>100</v>
      </c>
      <c r="V12" s="1341" t="s">
        <v>65</v>
      </c>
      <c r="W12" s="1342">
        <f t="shared" si="2"/>
        <v>100</v>
      </c>
      <c r="X12" s="287"/>
      <c r="Y12" s="3491"/>
      <c r="Z12" s="2211">
        <f t="shared" si="7"/>
        <v>111</v>
      </c>
      <c r="AA12" s="1343">
        <f>D12/F12</f>
        <v>1</v>
      </c>
      <c r="AB12" s="1343">
        <f>D12/H12</f>
        <v>1</v>
      </c>
      <c r="AC12" s="2336">
        <f>D12/J12</f>
        <v>1</v>
      </c>
    </row>
    <row r="13" spans="1:29" ht="14.25">
      <c r="A13" s="151"/>
      <c r="B13" s="1030">
        <v>111</v>
      </c>
      <c r="C13" s="93"/>
      <c r="D13" s="778">
        <v>100</v>
      </c>
      <c r="E13" s="1023"/>
      <c r="F13" s="426">
        <f>SUMIF(73:73,E13,74:74)-SUMIF(73:73,C13,74:74)+100</f>
        <v>100</v>
      </c>
      <c r="G13" s="1402"/>
      <c r="H13" s="778">
        <f>SUMIF(73:73,G13,74:74)-SUMIF(73:73,C13,74:74)+100</f>
        <v>100</v>
      </c>
      <c r="I13" s="1023"/>
      <c r="J13" s="778">
        <f>SUMIF(73:73,I13,74:74)-SUMIF(73:73,C13,74:74)+100</f>
        <v>100</v>
      </c>
      <c r="K13" s="188"/>
      <c r="L13" s="2301"/>
      <c r="M13" s="2296"/>
      <c r="N13" s="2296"/>
      <c r="O13" s="2296"/>
      <c r="P13" s="3667"/>
      <c r="Q13" s="2212">
        <f t="shared" si="6"/>
        <v>111</v>
      </c>
      <c r="R13" s="1341" t="s">
        <v>65</v>
      </c>
      <c r="S13" s="1342">
        <f t="shared" si="0"/>
        <v>100</v>
      </c>
      <c r="T13" s="1341" t="s">
        <v>65</v>
      </c>
      <c r="U13" s="1342">
        <f t="shared" si="1"/>
        <v>100</v>
      </c>
      <c r="V13" s="1341" t="s">
        <v>65</v>
      </c>
      <c r="W13" s="1342">
        <f t="shared" si="2"/>
        <v>100</v>
      </c>
      <c r="X13" s="287"/>
      <c r="Y13" s="3491"/>
      <c r="Z13" s="2211">
        <f t="shared" si="7"/>
        <v>111</v>
      </c>
      <c r="AA13" s="1343">
        <f t="shared" si="3"/>
        <v>1</v>
      </c>
      <c r="AB13" s="1343">
        <f t="shared" si="4"/>
        <v>1</v>
      </c>
      <c r="AC13" s="2336">
        <f t="shared" si="5"/>
        <v>1</v>
      </c>
    </row>
    <row r="14" spans="1:29" ht="15" thickBot="1">
      <c r="A14" s="154"/>
      <c r="B14" s="1031">
        <v>111</v>
      </c>
      <c r="C14" s="94"/>
      <c r="D14" s="781">
        <v>100</v>
      </c>
      <c r="E14" s="1403"/>
      <c r="F14" s="781">
        <f>SUMIF(75:75,E14,76:76)-SUMIF(75:75,C14,76:76)+100</f>
        <v>100</v>
      </c>
      <c r="G14" s="1402"/>
      <c r="H14" s="781">
        <f>SUMIF(75:75,G14,76:76)-SUMIF(75:75,C14,76:76)+100</f>
        <v>100</v>
      </c>
      <c r="I14" s="1023"/>
      <c r="J14" s="781">
        <f>SUMIF(75:75,I14,76:76)-SUMIF(75:75,C14,76:76)+100</f>
        <v>100</v>
      </c>
      <c r="K14" s="188"/>
      <c r="L14" s="2301"/>
      <c r="M14" s="2296"/>
      <c r="N14" s="2296"/>
      <c r="O14" s="2296"/>
      <c r="P14" s="3667"/>
      <c r="Q14" s="2212">
        <f t="shared" si="6"/>
        <v>111</v>
      </c>
      <c r="R14" s="1341" t="s">
        <v>65</v>
      </c>
      <c r="S14" s="1342">
        <f t="shared" si="0"/>
        <v>100</v>
      </c>
      <c r="T14" s="1341" t="s">
        <v>65</v>
      </c>
      <c r="U14" s="1342">
        <f t="shared" si="1"/>
        <v>100</v>
      </c>
      <c r="V14" s="1341" t="s">
        <v>65</v>
      </c>
      <c r="W14" s="1342">
        <f t="shared" si="2"/>
        <v>100</v>
      </c>
      <c r="X14" s="287"/>
      <c r="Y14" s="3491"/>
      <c r="Z14" s="2211">
        <f t="shared" si="7"/>
        <v>111</v>
      </c>
      <c r="AA14" s="1343">
        <f t="shared" si="3"/>
        <v>1</v>
      </c>
      <c r="AB14" s="1343">
        <f t="shared" si="4"/>
        <v>1</v>
      </c>
      <c r="AC14" s="2336">
        <f t="shared" si="5"/>
        <v>1</v>
      </c>
    </row>
    <row r="15" spans="1:29" ht="121.5">
      <c r="A15" s="155" t="s">
        <v>69</v>
      </c>
      <c r="B15" s="1032" t="s">
        <v>142</v>
      </c>
      <c r="C15" s="208" t="str">
        <f>估价对象房地状况!C5</f>
        <v>估价对象位于怀柔区杨宋镇，目前投用项目有中影基地、星美影视城、百汇演艺学校等类似用房以及相关行业酒店等配套设施，产业聚集度较好</v>
      </c>
      <c r="D15" s="784">
        <v>100</v>
      </c>
      <c r="E15" s="96"/>
      <c r="F15" s="784">
        <f>SUMIF(77:77,E16,78:78)-SUMIF(77:77,C16,78:78)+100</f>
        <v>100</v>
      </c>
      <c r="G15" s="95"/>
      <c r="H15" s="784">
        <f>SUMIF(77:77,G16,78:78)-SUMIF(77:77,C16,78:78)+100</f>
        <v>100</v>
      </c>
      <c r="I15" s="95"/>
      <c r="J15" s="784">
        <f>SUMIF(77:77,I16,78:78)-SUMIF(77:77,C16,78:78)+100</f>
        <v>100</v>
      </c>
      <c r="K15" s="956"/>
      <c r="L15" s="2301"/>
      <c r="M15" s="2296"/>
      <c r="N15" s="2296"/>
      <c r="O15" s="2296"/>
      <c r="P15" s="3694" t="s">
        <v>69</v>
      </c>
      <c r="Q15" s="2219" t="str">
        <f t="shared" si="6"/>
        <v>办公集聚程度</v>
      </c>
      <c r="R15" s="1351" t="s">
        <v>65</v>
      </c>
      <c r="S15" s="1352">
        <f t="shared" si="0"/>
        <v>100</v>
      </c>
      <c r="T15" s="1351" t="s">
        <v>65</v>
      </c>
      <c r="U15" s="1352">
        <f t="shared" si="1"/>
        <v>100</v>
      </c>
      <c r="V15" s="1351" t="s">
        <v>65</v>
      </c>
      <c r="W15" s="1352">
        <f t="shared" si="2"/>
        <v>100</v>
      </c>
      <c r="X15" s="2221"/>
      <c r="Y15" s="3687" t="s">
        <v>69</v>
      </c>
      <c r="Z15" s="2220" t="str">
        <f t="shared" si="7"/>
        <v>办公集聚程度</v>
      </c>
      <c r="AA15" s="1354">
        <f t="shared" si="3"/>
        <v>1</v>
      </c>
      <c r="AB15" s="1354">
        <f t="shared" si="4"/>
        <v>1</v>
      </c>
      <c r="AC15" s="2337">
        <f t="shared" si="5"/>
        <v>1</v>
      </c>
    </row>
    <row r="16" spans="1:29" ht="14.25">
      <c r="A16" s="151"/>
      <c r="B16" s="209"/>
      <c r="C16" s="192"/>
      <c r="D16" s="791"/>
      <c r="E16" s="97"/>
      <c r="F16" s="791"/>
      <c r="G16" s="192"/>
      <c r="H16" s="793"/>
      <c r="I16" s="97"/>
      <c r="J16" s="791"/>
      <c r="K16" s="189"/>
      <c r="L16" s="2301"/>
      <c r="M16" s="2296"/>
      <c r="N16" s="2296"/>
      <c r="O16" s="2296"/>
      <c r="P16" s="3695"/>
      <c r="Q16" s="2219"/>
      <c r="R16" s="1351"/>
      <c r="S16" s="1352"/>
      <c r="T16" s="1351"/>
      <c r="U16" s="1352"/>
      <c r="V16" s="1351"/>
      <c r="W16" s="1352"/>
      <c r="X16" s="2221"/>
      <c r="Y16" s="3688"/>
      <c r="Z16" s="2220"/>
      <c r="AA16" s="1354">
        <v>1</v>
      </c>
      <c r="AB16" s="1354">
        <v>1</v>
      </c>
      <c r="AC16" s="2337">
        <v>1</v>
      </c>
    </row>
    <row r="17" spans="1:29" ht="148.5">
      <c r="A17" s="151"/>
      <c r="B17" s="1033" t="s">
        <v>72</v>
      </c>
      <c r="C17" s="210" t="str">
        <f>估价对象房地状况!C6</f>
        <v>估价对象紧邻城市次干道——怀耿路，半径1公里内有866、H07、H09、H44路等公交线路，周边有怀耿路、杨雁路两条城市次干道，西北距离怀柔火车站4公里，交通便捷度较差</v>
      </c>
      <c r="D17" s="793">
        <v>100</v>
      </c>
      <c r="E17" s="101"/>
      <c r="F17" s="793">
        <f>SUMIF(79:79,E18,80:80)-SUMIF(79:79,C18,80:80)+100</f>
        <v>100</v>
      </c>
      <c r="G17" s="100"/>
      <c r="H17" s="798">
        <f>SUMIF(79:79,G18,80:80)-SUMIF(79:79,C18,80:80)+100</f>
        <v>100</v>
      </c>
      <c r="I17" s="100"/>
      <c r="J17" s="798">
        <f>SUMIF(79:79,I18,80:80)-SUMIF(79:79,C18,80:80)+100</f>
        <v>100</v>
      </c>
      <c r="K17" s="956"/>
      <c r="L17" s="2301"/>
      <c r="M17" s="2296"/>
      <c r="N17" s="2296"/>
      <c r="O17" s="2296"/>
      <c r="P17" s="3695"/>
      <c r="Q17" s="2219" t="str">
        <f>B17</f>
        <v>交通便捷度</v>
      </c>
      <c r="R17" s="1351" t="s">
        <v>65</v>
      </c>
      <c r="S17" s="1352">
        <f>F17</f>
        <v>100</v>
      </c>
      <c r="T17" s="1351" t="s">
        <v>65</v>
      </c>
      <c r="U17" s="1352">
        <f>H17</f>
        <v>100</v>
      </c>
      <c r="V17" s="1351" t="s">
        <v>65</v>
      </c>
      <c r="W17" s="1352">
        <f>J17</f>
        <v>100</v>
      </c>
      <c r="X17" s="2221"/>
      <c r="Y17" s="3688"/>
      <c r="Z17" s="2220" t="str">
        <f>Q17</f>
        <v>交通便捷度</v>
      </c>
      <c r="AA17" s="1354">
        <f t="shared" si="3"/>
        <v>1</v>
      </c>
      <c r="AB17" s="1354">
        <f t="shared" si="4"/>
        <v>1</v>
      </c>
      <c r="AC17" s="2337">
        <f t="shared" si="5"/>
        <v>1</v>
      </c>
    </row>
    <row r="18" spans="1:29" ht="14.25">
      <c r="A18" s="151"/>
      <c r="B18" s="1034"/>
      <c r="C18" s="193"/>
      <c r="D18" s="793"/>
      <c r="E18" s="104"/>
      <c r="F18" s="793"/>
      <c r="G18" s="103"/>
      <c r="H18" s="791"/>
      <c r="I18" s="103"/>
      <c r="J18" s="791"/>
      <c r="K18" s="189"/>
      <c r="L18" s="2301"/>
      <c r="M18" s="2296"/>
      <c r="N18" s="2296"/>
      <c r="O18" s="2296"/>
      <c r="P18" s="3695"/>
      <c r="Q18" s="2219"/>
      <c r="R18" s="1351"/>
      <c r="S18" s="1352"/>
      <c r="T18" s="1351"/>
      <c r="U18" s="1352"/>
      <c r="V18" s="1351"/>
      <c r="W18" s="1352"/>
      <c r="X18" s="2221"/>
      <c r="Y18" s="3688"/>
      <c r="Z18" s="2220"/>
      <c r="AA18" s="1354">
        <v>1</v>
      </c>
      <c r="AB18" s="1354">
        <v>1</v>
      </c>
      <c r="AC18" s="2337">
        <v>1</v>
      </c>
    </row>
    <row r="19" spans="1:29" ht="189">
      <c r="A19" s="151"/>
      <c r="B19" s="1033" t="s">
        <v>2658</v>
      </c>
      <c r="C19" s="210" t="str">
        <f>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9" s="798">
        <v>100</v>
      </c>
      <c r="E19" s="106"/>
      <c r="F19" s="798">
        <f>SUMIF(81:81,E20,82:82)-SUMIF(81:81,C20,82:82)+100</f>
        <v>100</v>
      </c>
      <c r="G19" s="105"/>
      <c r="H19" s="793">
        <f>SUMIF(81:81,G20,82:82)-SUMIF(81:81,C20,82:82)+100</f>
        <v>100</v>
      </c>
      <c r="I19" s="105"/>
      <c r="J19" s="793">
        <f>SUMIF(81:81,I20,82:82)-SUMIF(81:81,C20,82:82)+100</f>
        <v>100</v>
      </c>
      <c r="K19" s="956"/>
      <c r="L19" s="2301"/>
      <c r="M19" s="2296"/>
      <c r="N19" s="2296"/>
      <c r="O19" s="2296"/>
      <c r="P19" s="3695"/>
      <c r="Q19" s="2219" t="str">
        <f>B19</f>
        <v>公共配套设施</v>
      </c>
      <c r="R19" s="1351" t="s">
        <v>65</v>
      </c>
      <c r="S19" s="1352">
        <f>F19</f>
        <v>100</v>
      </c>
      <c r="T19" s="1351" t="s">
        <v>65</v>
      </c>
      <c r="U19" s="1352">
        <f>H19</f>
        <v>100</v>
      </c>
      <c r="V19" s="1351" t="s">
        <v>65</v>
      </c>
      <c r="W19" s="1352">
        <f>J19</f>
        <v>100</v>
      </c>
      <c r="X19" s="2221"/>
      <c r="Y19" s="3688"/>
      <c r="Z19" s="2220" t="str">
        <f>Q19</f>
        <v>公共配套设施</v>
      </c>
      <c r="AA19" s="1354">
        <f t="shared" si="3"/>
        <v>1</v>
      </c>
      <c r="AB19" s="1354">
        <f t="shared" si="4"/>
        <v>1</v>
      </c>
      <c r="AC19" s="2337">
        <f t="shared" si="5"/>
        <v>1</v>
      </c>
    </row>
    <row r="20" spans="1:29" ht="14.25">
      <c r="A20" s="151"/>
      <c r="B20" s="1034"/>
      <c r="C20" s="192"/>
      <c r="D20" s="791"/>
      <c r="E20" s="99"/>
      <c r="F20" s="791"/>
      <c r="G20" s="98"/>
      <c r="H20" s="791"/>
      <c r="I20" s="98"/>
      <c r="J20" s="791"/>
      <c r="K20" s="189"/>
      <c r="L20" s="2301"/>
      <c r="M20" s="2296"/>
      <c r="N20" s="2296"/>
      <c r="O20" s="2296"/>
      <c r="P20" s="3695"/>
      <c r="Q20" s="2219"/>
      <c r="R20" s="1351"/>
      <c r="S20" s="1352"/>
      <c r="T20" s="1351"/>
      <c r="U20" s="1352"/>
      <c r="V20" s="1351"/>
      <c r="W20" s="1352"/>
      <c r="X20" s="2221"/>
      <c r="Y20" s="3688"/>
      <c r="Z20" s="2220"/>
      <c r="AA20" s="1354">
        <v>1</v>
      </c>
      <c r="AB20" s="1354">
        <v>1</v>
      </c>
      <c r="AC20" s="2337">
        <v>1</v>
      </c>
    </row>
    <row r="21" spans="1:29" ht="40.5">
      <c r="A21" s="151"/>
      <c r="B21" s="1035" t="s">
        <v>2659</v>
      </c>
      <c r="C21" s="210" t="str">
        <f>估价对象房地状况!C8</f>
        <v>估价对象所在区域基础设施水平达到七通</v>
      </c>
      <c r="D21" s="793">
        <v>100</v>
      </c>
      <c r="E21" s="106"/>
      <c r="F21" s="798">
        <f>SUMIF(83:83,E22,84:84)-SUMIF(83:83,C22,84:84)+100</f>
        <v>100</v>
      </c>
      <c r="G21" s="105"/>
      <c r="H21" s="793">
        <f>SUMIF(83:83,G22,84:84)-SUMIF(83:83,C22,84:84)+100</f>
        <v>100</v>
      </c>
      <c r="I21" s="105"/>
      <c r="J21" s="793">
        <f>SUMIF(83:83,I22,84:84)-SUMIF(83:83,C22,84:84)+100</f>
        <v>100</v>
      </c>
      <c r="K21" s="956"/>
      <c r="L21" s="2301"/>
      <c r="M21" s="2296"/>
      <c r="N21" s="2296"/>
      <c r="O21" s="2296"/>
      <c r="P21" s="3695"/>
      <c r="Q21" s="2746" t="str">
        <f>B21</f>
        <v>基础设施水平</v>
      </c>
      <c r="R21" s="1351" t="s">
        <v>65</v>
      </c>
      <c r="S21" s="1352">
        <f>F21</f>
        <v>100</v>
      </c>
      <c r="T21" s="1351" t="s">
        <v>65</v>
      </c>
      <c r="U21" s="1352">
        <f>H21</f>
        <v>100</v>
      </c>
      <c r="V21" s="1351" t="s">
        <v>65</v>
      </c>
      <c r="W21" s="1352">
        <f>J21</f>
        <v>100</v>
      </c>
      <c r="X21" s="2748"/>
      <c r="Y21" s="3688"/>
      <c r="Z21" s="2747" t="str">
        <f>Q21</f>
        <v>基础设施水平</v>
      </c>
      <c r="AA21" s="1354">
        <f t="shared" ref="AA21" si="8">D21/F21</f>
        <v>1</v>
      </c>
      <c r="AB21" s="1354">
        <f t="shared" ref="AB21" si="9">D21/H21</f>
        <v>1</v>
      </c>
      <c r="AC21" s="2337">
        <f t="shared" ref="AC21" si="10">D21/J21</f>
        <v>1</v>
      </c>
    </row>
    <row r="22" spans="1:29" ht="14.25">
      <c r="A22" s="151"/>
      <c r="B22" s="1035"/>
      <c r="C22" s="193"/>
      <c r="D22" s="791"/>
      <c r="E22" s="97"/>
      <c r="F22" s="791"/>
      <c r="G22" s="192"/>
      <c r="H22" s="791"/>
      <c r="I22" s="192"/>
      <c r="J22" s="791"/>
      <c r="K22" s="2766"/>
      <c r="L22" s="2301"/>
      <c r="M22" s="2296"/>
      <c r="N22" s="2296"/>
      <c r="O22" s="2296"/>
      <c r="P22" s="3695"/>
      <c r="Q22" s="2746"/>
      <c r="R22" s="1351"/>
      <c r="S22" s="1352"/>
      <c r="T22" s="1351"/>
      <c r="U22" s="1352"/>
      <c r="V22" s="1351"/>
      <c r="W22" s="1352"/>
      <c r="X22" s="2748"/>
      <c r="Y22" s="3688"/>
      <c r="Z22" s="2747"/>
      <c r="AA22" s="1354">
        <v>1</v>
      </c>
      <c r="AB22" s="1354">
        <v>1</v>
      </c>
      <c r="AC22" s="2337">
        <v>1</v>
      </c>
    </row>
    <row r="23" spans="1:29" ht="162">
      <c r="A23" s="151"/>
      <c r="B23" s="1033" t="s">
        <v>143</v>
      </c>
      <c r="C23" s="210" t="str">
        <f>估价对象房地状况!C9</f>
        <v>周边约1公里范围内有北京影视研修学院、北京怀柔中视腾飞影视培训学校等演艺教育学校，人文环境一般；周边有约1公里有栖河，自然环境一般。综合评价自然与人文环境一般</v>
      </c>
      <c r="D23" s="793">
        <v>100</v>
      </c>
      <c r="E23" s="101"/>
      <c r="F23" s="793">
        <f>SUMIF(85:85,E24,86:86)-SUMIF(85:85,C24,86:86)+100</f>
        <v>100</v>
      </c>
      <c r="G23" s="100"/>
      <c r="H23" s="793">
        <f>SUMIF(85:85,G24,86:86)-SUMIF(85:85,C24,86:86)+100</f>
        <v>100</v>
      </c>
      <c r="I23" s="100"/>
      <c r="J23" s="793">
        <f>SUMIF(85:85,I24,86:86)-SUMIF(85:85,C24,86:86)+100</f>
        <v>100</v>
      </c>
      <c r="K23" s="956"/>
      <c r="L23" s="2301"/>
      <c r="M23" s="2296"/>
      <c r="N23" s="2296"/>
      <c r="O23" s="2296"/>
      <c r="P23" s="3695"/>
      <c r="Q23" s="2219" t="str">
        <f>B23</f>
        <v>环境质量</v>
      </c>
      <c r="R23" s="1351" t="s">
        <v>65</v>
      </c>
      <c r="S23" s="1352">
        <f>F23</f>
        <v>100</v>
      </c>
      <c r="T23" s="1351" t="s">
        <v>65</v>
      </c>
      <c r="U23" s="1352">
        <f>H23</f>
        <v>100</v>
      </c>
      <c r="V23" s="1351" t="s">
        <v>65</v>
      </c>
      <c r="W23" s="1352">
        <f>J23</f>
        <v>100</v>
      </c>
      <c r="X23" s="2221"/>
      <c r="Y23" s="3688"/>
      <c r="Z23" s="2220" t="str">
        <f>Q23</f>
        <v>环境质量</v>
      </c>
      <c r="AA23" s="1354">
        <f t="shared" si="3"/>
        <v>1</v>
      </c>
      <c r="AB23" s="1354">
        <f t="shared" si="4"/>
        <v>1</v>
      </c>
      <c r="AC23" s="2337">
        <f t="shared" si="5"/>
        <v>1</v>
      </c>
    </row>
    <row r="24" spans="1:29" ht="14.25">
      <c r="A24" s="151"/>
      <c r="B24" s="1035"/>
      <c r="C24" s="192"/>
      <c r="D24" s="791"/>
      <c r="E24" s="99"/>
      <c r="F24" s="791"/>
      <c r="G24" s="98"/>
      <c r="H24" s="791"/>
      <c r="I24" s="98"/>
      <c r="J24" s="791"/>
      <c r="K24" s="189"/>
      <c r="L24" s="2301"/>
      <c r="M24" s="2296"/>
      <c r="N24" s="2296"/>
      <c r="O24" s="2296"/>
      <c r="P24" s="3695"/>
      <c r="Q24" s="2219"/>
      <c r="R24" s="1351"/>
      <c r="S24" s="1352"/>
      <c r="T24" s="1351"/>
      <c r="U24" s="1352"/>
      <c r="V24" s="1351"/>
      <c r="W24" s="1352"/>
      <c r="X24" s="2221"/>
      <c r="Y24" s="3688"/>
      <c r="Z24" s="2220"/>
      <c r="AA24" s="1354">
        <v>1</v>
      </c>
      <c r="AB24" s="1354">
        <v>1</v>
      </c>
      <c r="AC24" s="2337">
        <v>1</v>
      </c>
    </row>
    <row r="25" spans="1:29" ht="27">
      <c r="A25" s="146"/>
      <c r="B25" s="1033" t="s">
        <v>144</v>
      </c>
      <c r="C25" s="194"/>
      <c r="D25" s="778">
        <v>100</v>
      </c>
      <c r="E25" s="93"/>
      <c r="F25" s="778">
        <f>SUMIF(87:87,E26,88:88)-SUMIF(87:87,C26,88:88)+100</f>
        <v>100</v>
      </c>
      <c r="G25" s="194"/>
      <c r="H25" s="778">
        <f>SUMIF(87:87,G26,88:88)-SUMIF(87:87,C26,88:88)+100</f>
        <v>100</v>
      </c>
      <c r="I25" s="93"/>
      <c r="J25" s="778">
        <f>SUMIF(87:87,I26,88:88)-SUMIF(87:87,C26,88:88)+100</f>
        <v>100</v>
      </c>
      <c r="K25" s="956"/>
      <c r="L25" s="2301"/>
      <c r="M25" s="2296"/>
      <c r="N25" s="2296"/>
      <c r="O25" s="2296"/>
      <c r="P25" s="3695"/>
      <c r="Q25" s="2219" t="str">
        <f>B25</f>
        <v>毗邻道路的类型与等级</v>
      </c>
      <c r="R25" s="1351" t="s">
        <v>65</v>
      </c>
      <c r="S25" s="1352">
        <f>F25</f>
        <v>100</v>
      </c>
      <c r="T25" s="1351" t="s">
        <v>65</v>
      </c>
      <c r="U25" s="1352">
        <f>H25</f>
        <v>100</v>
      </c>
      <c r="V25" s="1351" t="s">
        <v>65</v>
      </c>
      <c r="W25" s="1352">
        <f>J25</f>
        <v>100</v>
      </c>
      <c r="X25" s="2221"/>
      <c r="Y25" s="3688"/>
      <c r="Z25" s="2220" t="str">
        <f>Q25</f>
        <v>毗邻道路的类型与等级</v>
      </c>
      <c r="AA25" s="1354">
        <f t="shared" si="3"/>
        <v>1</v>
      </c>
      <c r="AB25" s="1354">
        <f t="shared" si="4"/>
        <v>1</v>
      </c>
      <c r="AC25" s="2337">
        <f t="shared" si="5"/>
        <v>1</v>
      </c>
    </row>
    <row r="26" spans="1:29" ht="14.25">
      <c r="A26" s="146"/>
      <c r="B26" s="1034"/>
      <c r="C26" s="195"/>
      <c r="D26" s="778"/>
      <c r="E26" s="182"/>
      <c r="F26" s="778"/>
      <c r="G26" s="195"/>
      <c r="H26" s="778"/>
      <c r="I26" s="182"/>
      <c r="J26" s="778"/>
      <c r="K26" s="189"/>
      <c r="L26" s="2301"/>
      <c r="M26" s="2296"/>
      <c r="N26" s="2296"/>
      <c r="O26" s="2296"/>
      <c r="P26" s="3695"/>
      <c r="Q26" s="2219"/>
      <c r="R26" s="1351"/>
      <c r="S26" s="1352"/>
      <c r="T26" s="1351"/>
      <c r="U26" s="1352"/>
      <c r="V26" s="1351"/>
      <c r="W26" s="1352"/>
      <c r="X26" s="2221"/>
      <c r="Y26" s="3688"/>
      <c r="Z26" s="2220"/>
      <c r="AA26" s="1354">
        <v>1</v>
      </c>
      <c r="AB26" s="1354">
        <v>1</v>
      </c>
      <c r="AC26" s="2337">
        <v>1</v>
      </c>
    </row>
    <row r="27" spans="1:29" ht="15">
      <c r="A27" s="151"/>
      <c r="B27" s="1034" t="s">
        <v>1087</v>
      </c>
      <c r="C27" s="195"/>
      <c r="D27" s="778">
        <v>100</v>
      </c>
      <c r="E27" s="182"/>
      <c r="F27" s="778">
        <f>SUMIF(89:89,E27,90:90)-SUMIF(89:89,C27,90:90)+100</f>
        <v>100</v>
      </c>
      <c r="G27" s="195"/>
      <c r="H27" s="778">
        <f>SUMIF(89:89,G27,90:90)-SUMIF(89:89,C27,90:90)+100</f>
        <v>100</v>
      </c>
      <c r="I27" s="182"/>
      <c r="J27" s="778">
        <f>SUMIF(89:89,I27,90:90)-SUMIF(89:89,C27,90:90)+100</f>
        <v>100</v>
      </c>
      <c r="K27" s="954"/>
      <c r="L27" s="2301"/>
      <c r="M27" s="2296"/>
      <c r="N27" s="2296"/>
      <c r="O27" s="2296"/>
      <c r="P27" s="3695"/>
      <c r="Q27" s="2219" t="str">
        <f t="shared" ref="Q27:Q47" si="11">B27</f>
        <v>楼层</v>
      </c>
      <c r="R27" s="1351" t="s">
        <v>65</v>
      </c>
      <c r="S27" s="1352">
        <f>F27</f>
        <v>100</v>
      </c>
      <c r="T27" s="1351" t="s">
        <v>65</v>
      </c>
      <c r="U27" s="1352">
        <f>H27</f>
        <v>100</v>
      </c>
      <c r="V27" s="1351" t="s">
        <v>65</v>
      </c>
      <c r="W27" s="1352">
        <f>J27</f>
        <v>100</v>
      </c>
      <c r="X27" s="2221"/>
      <c r="Y27" s="3688"/>
      <c r="Z27" s="2220" t="str">
        <f>Q27</f>
        <v>楼层</v>
      </c>
      <c r="AA27" s="1354">
        <f t="shared" si="3"/>
        <v>1</v>
      </c>
      <c r="AB27" s="1354">
        <f t="shared" si="4"/>
        <v>1</v>
      </c>
      <c r="AC27" s="2337">
        <f t="shared" si="5"/>
        <v>1</v>
      </c>
    </row>
    <row r="28" spans="1:29" s="40" customFormat="1" ht="15">
      <c r="A28" s="1029"/>
      <c r="B28" s="1033" t="s">
        <v>145</v>
      </c>
      <c r="C28" s="1404"/>
      <c r="D28" s="805">
        <v>100</v>
      </c>
      <c r="E28" s="1386"/>
      <c r="F28" s="805">
        <f>SUMIF(91:91,E28,92:92)-SUMIF(91:91,C28,92:92)+100</f>
        <v>100</v>
      </c>
      <c r="G28" s="1404"/>
      <c r="H28" s="805">
        <f>SUMIF(91:91,G28,92:92)-SUMIF(91:91,C28,92:92)+100</f>
        <v>100</v>
      </c>
      <c r="I28" s="1386"/>
      <c r="J28" s="805">
        <f>SUMIF(91:91,I28,92:92)-SUMIF(91:91,C28,92:92)+100</f>
        <v>100</v>
      </c>
      <c r="K28" s="954"/>
      <c r="L28" s="2297"/>
      <c r="M28" s="2259"/>
      <c r="N28" s="2259"/>
      <c r="O28" s="2259"/>
      <c r="P28" s="3695"/>
      <c r="Q28" s="2212" t="str">
        <f t="shared" si="11"/>
        <v>朝向</v>
      </c>
      <c r="R28" s="1341" t="s">
        <v>65</v>
      </c>
      <c r="S28" s="1342">
        <f>F28</f>
        <v>100</v>
      </c>
      <c r="T28" s="1341" t="s">
        <v>65</v>
      </c>
      <c r="U28" s="1342">
        <f>H28</f>
        <v>100</v>
      </c>
      <c r="V28" s="1341" t="s">
        <v>65</v>
      </c>
      <c r="W28" s="1342">
        <f>J28</f>
        <v>100</v>
      </c>
      <c r="X28" s="287"/>
      <c r="Y28" s="3688"/>
      <c r="Z28" s="2211" t="str">
        <f>Q28</f>
        <v>朝向</v>
      </c>
      <c r="AA28" s="1354">
        <f>D28/F28</f>
        <v>1</v>
      </c>
      <c r="AB28" s="1354">
        <f>D28/H28</f>
        <v>1</v>
      </c>
      <c r="AC28" s="2337">
        <f>D28/J28</f>
        <v>1</v>
      </c>
    </row>
    <row r="29" spans="1:29" ht="14.25">
      <c r="A29" s="151"/>
      <c r="B29" s="1037">
        <v>111</v>
      </c>
      <c r="C29" s="194"/>
      <c r="D29" s="778">
        <v>100</v>
      </c>
      <c r="E29" s="1023"/>
      <c r="F29" s="778">
        <f>SUMIF(93:93,E29,94:94)-SUMIF(93:93,C29,94:94)+100</f>
        <v>100</v>
      </c>
      <c r="G29" s="1402"/>
      <c r="H29" s="778">
        <f>SUMIF(93:93,G29,94:94)-SUMIF(93:93,C29,94:94)+100</f>
        <v>100</v>
      </c>
      <c r="I29" s="1023"/>
      <c r="J29" s="778">
        <f>SUMIF(93:93,I29,94:94)-SUMIF(93:93,C29,94:94)+100</f>
        <v>100</v>
      </c>
      <c r="K29" s="188"/>
      <c r="L29" s="2301"/>
      <c r="M29" s="2296"/>
      <c r="N29" s="2296"/>
      <c r="O29" s="2296"/>
      <c r="P29" s="3695"/>
      <c r="Q29" s="2219">
        <f t="shared" si="11"/>
        <v>111</v>
      </c>
      <c r="R29" s="1351" t="s">
        <v>65</v>
      </c>
      <c r="S29" s="1352">
        <f t="shared" ref="S29:S47" si="12">F29</f>
        <v>100</v>
      </c>
      <c r="T29" s="1351" t="s">
        <v>65</v>
      </c>
      <c r="U29" s="1352">
        <f t="shared" ref="U29:U47" si="13">H29</f>
        <v>100</v>
      </c>
      <c r="V29" s="1351" t="s">
        <v>65</v>
      </c>
      <c r="W29" s="1352">
        <f t="shared" ref="W29:W47" si="14">J29</f>
        <v>100</v>
      </c>
      <c r="X29" s="2221"/>
      <c r="Y29" s="3688"/>
      <c r="Z29" s="2220">
        <f t="shared" ref="Z29:Z47" si="15">Q29</f>
        <v>111</v>
      </c>
      <c r="AA29" s="1354">
        <f t="shared" si="3"/>
        <v>1</v>
      </c>
      <c r="AB29" s="1354">
        <f t="shared" si="4"/>
        <v>1</v>
      </c>
      <c r="AC29" s="2337">
        <f t="shared" si="5"/>
        <v>1</v>
      </c>
    </row>
    <row r="30" spans="1:29" ht="14.25">
      <c r="A30" s="151"/>
      <c r="B30" s="1037">
        <v>111</v>
      </c>
      <c r="C30" s="194"/>
      <c r="D30" s="778">
        <v>100</v>
      </c>
      <c r="E30" s="1023"/>
      <c r="F30" s="778">
        <f>SUMIF(95:95,E30,96:96)-SUMIF(95:95,C30,96:96)+100</f>
        <v>100</v>
      </c>
      <c r="G30" s="1402"/>
      <c r="H30" s="778">
        <f>SUMIF(95:95,G30,96:96)-SUMIF(95:95,C30,96:96)+100</f>
        <v>100</v>
      </c>
      <c r="I30" s="1023"/>
      <c r="J30" s="778">
        <f>SUMIF(95:95,I30,96:96)-SUMIF(95:95,C30,96:96)+100</f>
        <v>100</v>
      </c>
      <c r="K30" s="188"/>
      <c r="L30" s="2301"/>
      <c r="M30" s="2296"/>
      <c r="N30" s="2296"/>
      <c r="O30" s="2296"/>
      <c r="P30" s="3695"/>
      <c r="Q30" s="2219">
        <f t="shared" si="11"/>
        <v>111</v>
      </c>
      <c r="R30" s="1351" t="s">
        <v>65</v>
      </c>
      <c r="S30" s="1352">
        <f t="shared" si="12"/>
        <v>100</v>
      </c>
      <c r="T30" s="1351" t="s">
        <v>65</v>
      </c>
      <c r="U30" s="1352">
        <f t="shared" si="13"/>
        <v>100</v>
      </c>
      <c r="V30" s="1351" t="s">
        <v>65</v>
      </c>
      <c r="W30" s="1352">
        <f t="shared" si="14"/>
        <v>100</v>
      </c>
      <c r="X30" s="2221"/>
      <c r="Y30" s="3688"/>
      <c r="Z30" s="2220">
        <f t="shared" si="15"/>
        <v>111</v>
      </c>
      <c r="AA30" s="1354">
        <f t="shared" si="3"/>
        <v>1</v>
      </c>
      <c r="AB30" s="1354">
        <f t="shared" si="4"/>
        <v>1</v>
      </c>
      <c r="AC30" s="2337">
        <f t="shared" si="5"/>
        <v>1</v>
      </c>
    </row>
    <row r="31" spans="1:29" ht="14.25">
      <c r="A31" s="151"/>
      <c r="B31" s="1037">
        <v>111</v>
      </c>
      <c r="C31" s="194"/>
      <c r="D31" s="778">
        <v>100</v>
      </c>
      <c r="E31" s="1023"/>
      <c r="F31" s="778">
        <f>SUMIF(97:97,E31,98:98)-SUMIF(97:97,C31,98:98)+100</f>
        <v>100</v>
      </c>
      <c r="G31" s="1402"/>
      <c r="H31" s="778">
        <f>SUMIF(97:97,G31,98:98)-SUMIF(97:97,C31,98:98)+100</f>
        <v>100</v>
      </c>
      <c r="I31" s="1023"/>
      <c r="J31" s="778">
        <f>SUMIF(97:97,I31,98:98)-SUMIF(97:97,C31,98:98)+100</f>
        <v>100</v>
      </c>
      <c r="K31" s="188"/>
      <c r="L31" s="2301"/>
      <c r="M31" s="2296"/>
      <c r="N31" s="2296"/>
      <c r="O31" s="2296"/>
      <c r="P31" s="3695"/>
      <c r="Q31" s="2219">
        <f t="shared" si="11"/>
        <v>111</v>
      </c>
      <c r="R31" s="1351" t="s">
        <v>65</v>
      </c>
      <c r="S31" s="1352">
        <f t="shared" si="12"/>
        <v>100</v>
      </c>
      <c r="T31" s="1351" t="s">
        <v>65</v>
      </c>
      <c r="U31" s="1352">
        <f t="shared" si="13"/>
        <v>100</v>
      </c>
      <c r="V31" s="1351" t="s">
        <v>65</v>
      </c>
      <c r="W31" s="1352">
        <f t="shared" si="14"/>
        <v>100</v>
      </c>
      <c r="X31" s="2221"/>
      <c r="Y31" s="3688"/>
      <c r="Z31" s="2220">
        <f t="shared" si="15"/>
        <v>111</v>
      </c>
      <c r="AA31" s="1354">
        <f t="shared" si="3"/>
        <v>1</v>
      </c>
      <c r="AB31" s="1354">
        <f t="shared" si="4"/>
        <v>1</v>
      </c>
      <c r="AC31" s="2337">
        <f t="shared" si="5"/>
        <v>1</v>
      </c>
    </row>
    <row r="32" spans="1:29" ht="15" thickBot="1">
      <c r="A32" s="154"/>
      <c r="B32" s="1405">
        <v>111</v>
      </c>
      <c r="C32" s="196"/>
      <c r="D32" s="781">
        <v>100</v>
      </c>
      <c r="E32" s="1403"/>
      <c r="F32" s="781">
        <f>SUMIF(99:99,E32,100:100)-SUMIF(99:99,C32,100:100)+100</f>
        <v>100</v>
      </c>
      <c r="G32" s="1402"/>
      <c r="H32" s="781">
        <f>SUMIF(99:99,G32,100:100)-SUMIF(99:99,C32,100:100)+100</f>
        <v>100</v>
      </c>
      <c r="I32" s="1023"/>
      <c r="J32" s="781">
        <f>SUMIF(99:99,I32,100:100)-SUMIF(99:99,C32,100:100)+100</f>
        <v>100</v>
      </c>
      <c r="K32" s="188"/>
      <c r="L32" s="2301"/>
      <c r="M32" s="2296"/>
      <c r="N32" s="2296"/>
      <c r="O32" s="2296"/>
      <c r="P32" s="3695"/>
      <c r="Q32" s="2219">
        <f t="shared" si="11"/>
        <v>111</v>
      </c>
      <c r="R32" s="1351" t="s">
        <v>65</v>
      </c>
      <c r="S32" s="1352">
        <f t="shared" si="12"/>
        <v>100</v>
      </c>
      <c r="T32" s="1351" t="s">
        <v>65</v>
      </c>
      <c r="U32" s="1352">
        <f t="shared" si="13"/>
        <v>100</v>
      </c>
      <c r="V32" s="1351" t="s">
        <v>65</v>
      </c>
      <c r="W32" s="1352">
        <f t="shared" si="14"/>
        <v>100</v>
      </c>
      <c r="X32" s="2221"/>
      <c r="Y32" s="3688"/>
      <c r="Z32" s="2220">
        <f t="shared" si="15"/>
        <v>111</v>
      </c>
      <c r="AA32" s="1354">
        <f t="shared" si="3"/>
        <v>1</v>
      </c>
      <c r="AB32" s="1354">
        <f t="shared" si="4"/>
        <v>1</v>
      </c>
      <c r="AC32" s="2337">
        <f t="shared" si="5"/>
        <v>1</v>
      </c>
    </row>
    <row r="33" spans="1:29" ht="15">
      <c r="A33" s="155" t="s">
        <v>1088</v>
      </c>
      <c r="B33" s="62" t="s">
        <v>1089</v>
      </c>
      <c r="C33" s="197"/>
      <c r="D33" s="809">
        <v>100</v>
      </c>
      <c r="E33" s="197"/>
      <c r="F33" s="804">
        <f>SUMIF(101:101,E33,102:102)-SUMIF(101:101,C33,102:102)+100</f>
        <v>100</v>
      </c>
      <c r="G33" s="197"/>
      <c r="H33" s="778">
        <f>SUMIF(101:101,G33,102:102)-SUMIF(101:101,C33,102:102)+100</f>
        <v>100</v>
      </c>
      <c r="I33" s="197"/>
      <c r="J33" s="809">
        <f>SUMIF(101:101,I33,102:102)-SUMIF(101:101,C33,102:102)+100</f>
        <v>100</v>
      </c>
      <c r="K33" s="954"/>
      <c r="L33" s="2301"/>
      <c r="M33" s="2296"/>
      <c r="N33" s="2296"/>
      <c r="O33" s="2296"/>
      <c r="P33" s="3689" t="s">
        <v>1090</v>
      </c>
      <c r="Q33" s="2219" t="str">
        <f t="shared" si="11"/>
        <v>建筑类型</v>
      </c>
      <c r="R33" s="1351" t="s">
        <v>65</v>
      </c>
      <c r="S33" s="1352">
        <f t="shared" si="12"/>
        <v>100</v>
      </c>
      <c r="T33" s="1351" t="s">
        <v>65</v>
      </c>
      <c r="U33" s="1352">
        <f t="shared" si="13"/>
        <v>100</v>
      </c>
      <c r="V33" s="1351" t="s">
        <v>65</v>
      </c>
      <c r="W33" s="1352">
        <f t="shared" si="14"/>
        <v>100</v>
      </c>
      <c r="X33" s="2221"/>
      <c r="Y33" s="3692" t="s">
        <v>1090</v>
      </c>
      <c r="Z33" s="2220" t="str">
        <f t="shared" si="15"/>
        <v>建筑类型</v>
      </c>
      <c r="AA33" s="1354">
        <f t="shared" si="3"/>
        <v>1</v>
      </c>
      <c r="AB33" s="1354">
        <f t="shared" si="4"/>
        <v>1</v>
      </c>
      <c r="AC33" s="2337">
        <f t="shared" si="5"/>
        <v>1</v>
      </c>
    </row>
    <row r="34" spans="1:29" s="1038" customFormat="1" ht="14.25">
      <c r="A34" s="1042"/>
      <c r="B34" s="12" t="s">
        <v>76</v>
      </c>
      <c r="C34" s="811"/>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90"/>
      <c r="Q34" s="1358" t="str">
        <f t="shared" si="11"/>
        <v>项目建筑规模</v>
      </c>
      <c r="R34" s="1359" t="s">
        <v>65</v>
      </c>
      <c r="S34" s="1360" t="e">
        <f t="shared" si="12"/>
        <v>#N/A</v>
      </c>
      <c r="T34" s="1359" t="s">
        <v>65</v>
      </c>
      <c r="U34" s="1360" t="e">
        <f t="shared" si="13"/>
        <v>#N/A</v>
      </c>
      <c r="V34" s="1359" t="s">
        <v>65</v>
      </c>
      <c r="W34" s="1360" t="e">
        <f t="shared" si="14"/>
        <v>#N/A</v>
      </c>
      <c r="X34" s="1361"/>
      <c r="Y34" s="3692"/>
      <c r="Z34" s="1362" t="str">
        <f t="shared" si="15"/>
        <v>项目建筑规模</v>
      </c>
      <c r="AA34" s="1354" t="e">
        <f t="shared" si="3"/>
        <v>#N/A</v>
      </c>
      <c r="AB34" s="1354"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4"/>
      <c r="L35" s="2301"/>
      <c r="M35" s="2296"/>
      <c r="N35" s="2296"/>
      <c r="O35" s="2296"/>
      <c r="P35" s="3690"/>
      <c r="Q35" s="2219" t="str">
        <f t="shared" si="11"/>
        <v>建筑结构</v>
      </c>
      <c r="R35" s="1351" t="s">
        <v>65</v>
      </c>
      <c r="S35" s="1352">
        <f t="shared" si="12"/>
        <v>100</v>
      </c>
      <c r="T35" s="1351" t="s">
        <v>65</v>
      </c>
      <c r="U35" s="1352">
        <f t="shared" si="13"/>
        <v>100</v>
      </c>
      <c r="V35" s="1351" t="s">
        <v>65</v>
      </c>
      <c r="W35" s="1352">
        <f t="shared" si="14"/>
        <v>100</v>
      </c>
      <c r="X35" s="2221"/>
      <c r="Y35" s="3692"/>
      <c r="Z35" s="2220" t="str">
        <f t="shared" si="15"/>
        <v>建筑结构</v>
      </c>
      <c r="AA35" s="1354">
        <f t="shared" si="3"/>
        <v>1</v>
      </c>
      <c r="AB35" s="1354">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4"/>
      <c r="L36" s="2301"/>
      <c r="M36" s="2296"/>
      <c r="N36" s="2296"/>
      <c r="O36" s="2296"/>
      <c r="P36" s="3690"/>
      <c r="Q36" s="2219" t="str">
        <f t="shared" si="11"/>
        <v>公共部分装修</v>
      </c>
      <c r="R36" s="1351" t="s">
        <v>65</v>
      </c>
      <c r="S36" s="1352">
        <f t="shared" si="12"/>
        <v>100</v>
      </c>
      <c r="T36" s="1351" t="s">
        <v>65</v>
      </c>
      <c r="U36" s="1352">
        <f t="shared" si="13"/>
        <v>100</v>
      </c>
      <c r="V36" s="1351" t="s">
        <v>65</v>
      </c>
      <c r="W36" s="1352">
        <f t="shared" si="14"/>
        <v>100</v>
      </c>
      <c r="X36" s="2221"/>
      <c r="Y36" s="3692"/>
      <c r="Z36" s="2220" t="str">
        <f t="shared" si="15"/>
        <v>公共部分装修</v>
      </c>
      <c r="AA36" s="1354">
        <f t="shared" si="3"/>
        <v>1</v>
      </c>
      <c r="AB36" s="1354">
        <f t="shared" si="4"/>
        <v>1</v>
      </c>
      <c r="AC36" s="2337">
        <f t="shared" si="5"/>
        <v>1</v>
      </c>
    </row>
    <row r="37" spans="1:29" ht="15">
      <c r="A37" s="161"/>
      <c r="B37" s="12" t="s">
        <v>134</v>
      </c>
      <c r="C37" s="816"/>
      <c r="D37" s="778">
        <v>100</v>
      </c>
      <c r="E37" s="816"/>
      <c r="F37" s="804" t="e">
        <f>LOOKUP(E37,111:111,112:112)-LOOKUP(C37,111:111,112:112)+100</f>
        <v>#N/A</v>
      </c>
      <c r="G37" s="816"/>
      <c r="H37" s="804" t="e">
        <f>LOOKUP(G37,111:111,112:112)-LOOKUP(C37,111:111,112:112)+100</f>
        <v>#N/A</v>
      </c>
      <c r="I37" s="816"/>
      <c r="J37" s="778" t="e">
        <f>LOOKUP(I37,111:111,112:112)-LOOKUP(C37,111:111,112:112)+100</f>
        <v>#N/A</v>
      </c>
      <c r="K37" s="954"/>
      <c r="L37" s="2301"/>
      <c r="M37" s="2296"/>
      <c r="N37" s="2296"/>
      <c r="O37" s="2296"/>
      <c r="P37" s="3690"/>
      <c r="Q37" s="2219" t="str">
        <f t="shared" si="11"/>
        <v>成新度</v>
      </c>
      <c r="R37" s="1351" t="s">
        <v>65</v>
      </c>
      <c r="S37" s="1352" t="e">
        <f t="shared" si="12"/>
        <v>#N/A</v>
      </c>
      <c r="T37" s="1351" t="s">
        <v>65</v>
      </c>
      <c r="U37" s="1352" t="e">
        <f t="shared" si="13"/>
        <v>#N/A</v>
      </c>
      <c r="V37" s="1351" t="s">
        <v>65</v>
      </c>
      <c r="W37" s="1352" t="e">
        <f t="shared" si="14"/>
        <v>#N/A</v>
      </c>
      <c r="X37" s="2221"/>
      <c r="Y37" s="3692"/>
      <c r="Z37" s="2220" t="str">
        <f t="shared" si="15"/>
        <v>成新度</v>
      </c>
      <c r="AA37" s="1354" t="e">
        <f t="shared" si="3"/>
        <v>#N/A</v>
      </c>
      <c r="AB37" s="1354" t="e">
        <f t="shared" si="4"/>
        <v>#N/A</v>
      </c>
      <c r="AC37" s="2337" t="e">
        <f t="shared" si="5"/>
        <v>#N/A</v>
      </c>
    </row>
    <row r="38" spans="1:29" s="40" customFormat="1" ht="15">
      <c r="A38" s="1040"/>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4"/>
      <c r="L38" s="2297"/>
      <c r="M38" s="2259"/>
      <c r="N38" s="2259"/>
      <c r="O38" s="2259"/>
      <c r="P38" s="3690"/>
      <c r="Q38" s="2212" t="str">
        <f t="shared" si="11"/>
        <v>写字楼等级</v>
      </c>
      <c r="R38" s="1341" t="s">
        <v>65</v>
      </c>
      <c r="S38" s="1342">
        <f t="shared" si="12"/>
        <v>100</v>
      </c>
      <c r="T38" s="1341" t="s">
        <v>65</v>
      </c>
      <c r="U38" s="1342">
        <f t="shared" si="13"/>
        <v>100</v>
      </c>
      <c r="V38" s="1341" t="s">
        <v>65</v>
      </c>
      <c r="W38" s="1342">
        <f t="shared" si="14"/>
        <v>100</v>
      </c>
      <c r="X38" s="287"/>
      <c r="Y38" s="3692"/>
      <c r="Z38" s="2211" t="str">
        <f t="shared" si="15"/>
        <v>写字楼等级</v>
      </c>
      <c r="AA38" s="1343">
        <f t="shared" si="3"/>
        <v>1</v>
      </c>
      <c r="AB38" s="1343">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4"/>
      <c r="L39" s="2301"/>
      <c r="M39" s="2296"/>
      <c r="N39" s="2296"/>
      <c r="O39" s="2296"/>
      <c r="P39" s="3690" t="s">
        <v>70</v>
      </c>
      <c r="Q39" s="2219" t="str">
        <f t="shared" si="11"/>
        <v>物业管理</v>
      </c>
      <c r="R39" s="1351" t="s">
        <v>65</v>
      </c>
      <c r="S39" s="1352">
        <f t="shared" si="12"/>
        <v>100</v>
      </c>
      <c r="T39" s="1351" t="s">
        <v>65</v>
      </c>
      <c r="U39" s="1352">
        <f t="shared" si="13"/>
        <v>100</v>
      </c>
      <c r="V39" s="1351" t="s">
        <v>65</v>
      </c>
      <c r="W39" s="1352">
        <f t="shared" si="14"/>
        <v>100</v>
      </c>
      <c r="X39" s="2221"/>
      <c r="Y39" s="3692" t="s">
        <v>70</v>
      </c>
      <c r="Z39" s="2220" t="str">
        <f t="shared" si="15"/>
        <v>物业管理</v>
      </c>
      <c r="AA39" s="1354">
        <f t="shared" si="3"/>
        <v>1</v>
      </c>
      <c r="AB39" s="1354">
        <f t="shared" si="4"/>
        <v>1</v>
      </c>
      <c r="AC39" s="2337">
        <f t="shared" si="5"/>
        <v>1</v>
      </c>
    </row>
    <row r="40" spans="1:29" ht="15">
      <c r="A40" s="161"/>
      <c r="B40" s="12" t="s">
        <v>2651</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4"/>
      <c r="L40" s="2301"/>
      <c r="M40" s="2296"/>
      <c r="N40" s="2296"/>
      <c r="O40" s="2296"/>
      <c r="P40" s="3690"/>
      <c r="Q40" s="2219" t="str">
        <f t="shared" si="11"/>
        <v>市政基础设施</v>
      </c>
      <c r="R40" s="1351" t="s">
        <v>65</v>
      </c>
      <c r="S40" s="1352">
        <f t="shared" si="12"/>
        <v>100</v>
      </c>
      <c r="T40" s="1351" t="s">
        <v>65</v>
      </c>
      <c r="U40" s="1352">
        <f t="shared" si="13"/>
        <v>100</v>
      </c>
      <c r="V40" s="1351" t="s">
        <v>65</v>
      </c>
      <c r="W40" s="1352">
        <f t="shared" si="14"/>
        <v>100</v>
      </c>
      <c r="X40" s="2221"/>
      <c r="Y40" s="3692"/>
      <c r="Z40" s="2220" t="str">
        <f t="shared" si="15"/>
        <v>市政基础设施</v>
      </c>
      <c r="AA40" s="1354">
        <f t="shared" si="3"/>
        <v>1</v>
      </c>
      <c r="AB40" s="1354">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4"/>
      <c r="L41" s="2301"/>
      <c r="M41" s="2296"/>
      <c r="N41" s="2296"/>
      <c r="O41" s="2296"/>
      <c r="P41" s="3690"/>
      <c r="Q41" s="2219" t="str">
        <f t="shared" si="11"/>
        <v>层高</v>
      </c>
      <c r="R41" s="1351" t="s">
        <v>65</v>
      </c>
      <c r="S41" s="1352">
        <f t="shared" si="12"/>
        <v>100</v>
      </c>
      <c r="T41" s="1351" t="s">
        <v>65</v>
      </c>
      <c r="U41" s="1352">
        <f t="shared" si="13"/>
        <v>100</v>
      </c>
      <c r="V41" s="1351" t="s">
        <v>65</v>
      </c>
      <c r="W41" s="1352">
        <f t="shared" si="14"/>
        <v>100</v>
      </c>
      <c r="X41" s="2221"/>
      <c r="Y41" s="3692"/>
      <c r="Z41" s="2220" t="str">
        <f t="shared" si="15"/>
        <v>层高</v>
      </c>
      <c r="AA41" s="1354">
        <f t="shared" si="3"/>
        <v>1</v>
      </c>
      <c r="AB41" s="1354">
        <f t="shared" si="4"/>
        <v>1</v>
      </c>
      <c r="AC41" s="2337">
        <f t="shared" si="5"/>
        <v>1</v>
      </c>
    </row>
    <row r="42" spans="1:29" s="1038" customFormat="1" ht="14.25">
      <c r="A42" s="1042"/>
      <c r="B42" s="191" t="s">
        <v>1091</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90"/>
      <c r="Q42" s="1358" t="str">
        <f t="shared" si="11"/>
        <v>单套建筑面积</v>
      </c>
      <c r="R42" s="1359" t="s">
        <v>65</v>
      </c>
      <c r="S42" s="1360">
        <f t="shared" si="12"/>
        <v>100</v>
      </c>
      <c r="T42" s="1359" t="s">
        <v>65</v>
      </c>
      <c r="U42" s="1360">
        <f t="shared" si="13"/>
        <v>100</v>
      </c>
      <c r="V42" s="1359" t="s">
        <v>65</v>
      </c>
      <c r="W42" s="1360">
        <f t="shared" si="14"/>
        <v>100</v>
      </c>
      <c r="X42" s="1361"/>
      <c r="Y42" s="3692"/>
      <c r="Z42" s="1362" t="str">
        <f t="shared" si="15"/>
        <v>单套建筑面积</v>
      </c>
      <c r="AA42" s="1354">
        <f t="shared" si="3"/>
        <v>1</v>
      </c>
      <c r="AB42" s="1354">
        <f t="shared" si="4"/>
        <v>1</v>
      </c>
      <c r="AC42" s="2337">
        <f t="shared" si="5"/>
        <v>1</v>
      </c>
    </row>
    <row r="43" spans="1:29" ht="15">
      <c r="A43" s="161"/>
      <c r="B43" s="12" t="s">
        <v>1092</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4"/>
      <c r="L43" s="2301"/>
      <c r="M43" s="2296"/>
      <c r="N43" s="2296"/>
      <c r="O43" s="2296"/>
      <c r="P43" s="3690"/>
      <c r="Q43" s="2219" t="str">
        <f t="shared" si="11"/>
        <v>内部装修</v>
      </c>
      <c r="R43" s="1351" t="s">
        <v>65</v>
      </c>
      <c r="S43" s="1352">
        <f t="shared" si="12"/>
        <v>100</v>
      </c>
      <c r="T43" s="1351" t="s">
        <v>65</v>
      </c>
      <c r="U43" s="1352">
        <f t="shared" si="13"/>
        <v>100</v>
      </c>
      <c r="V43" s="1351" t="s">
        <v>65</v>
      </c>
      <c r="W43" s="1352">
        <f t="shared" si="14"/>
        <v>100</v>
      </c>
      <c r="X43" s="2221"/>
      <c r="Y43" s="3692"/>
      <c r="Z43" s="2220" t="str">
        <f t="shared" si="15"/>
        <v>内部装修</v>
      </c>
      <c r="AA43" s="1354">
        <f t="shared" si="3"/>
        <v>1</v>
      </c>
      <c r="AB43" s="1354">
        <f t="shared" si="4"/>
        <v>1</v>
      </c>
      <c r="AC43" s="2337">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4"/>
      <c r="L44" s="2301"/>
      <c r="M44" s="2296"/>
      <c r="N44" s="2296"/>
      <c r="O44" s="2296"/>
      <c r="P44" s="3690"/>
      <c r="Q44" s="2219" t="str">
        <f t="shared" si="11"/>
        <v>内部装修维护情况</v>
      </c>
      <c r="R44" s="1351" t="s">
        <v>65</v>
      </c>
      <c r="S44" s="1352">
        <f t="shared" si="12"/>
        <v>100</v>
      </c>
      <c r="T44" s="1351" t="s">
        <v>65</v>
      </c>
      <c r="U44" s="1352">
        <f t="shared" si="13"/>
        <v>100</v>
      </c>
      <c r="V44" s="1351" t="s">
        <v>65</v>
      </c>
      <c r="W44" s="1352">
        <f t="shared" si="14"/>
        <v>100</v>
      </c>
      <c r="X44" s="2221"/>
      <c r="Y44" s="3692"/>
      <c r="Z44" s="2220" t="str">
        <f t="shared" si="15"/>
        <v>内部装修维护情况</v>
      </c>
      <c r="AA44" s="1354">
        <f t="shared" si="3"/>
        <v>1</v>
      </c>
      <c r="AB44" s="1354">
        <f t="shared" si="4"/>
        <v>1</v>
      </c>
      <c r="AC44" s="2337">
        <f t="shared" si="5"/>
        <v>1</v>
      </c>
    </row>
    <row r="45" spans="1:29" s="40" customFormat="1" ht="14.25">
      <c r="A45" s="1040"/>
      <c r="B45" s="1356">
        <v>111</v>
      </c>
      <c r="C45" s="1357"/>
      <c r="D45" s="426">
        <v>100</v>
      </c>
      <c r="E45" s="1023"/>
      <c r="F45" s="768">
        <f>SUMIF(127:127,E45,128:128)-SUMIF(127:127,C45,128:128)+100</f>
        <v>100</v>
      </c>
      <c r="G45" s="1023"/>
      <c r="H45" s="426">
        <f>SUMIF(127:127,G45,128:128)-SUMIF(127:127,C45,128:128)+100</f>
        <v>100</v>
      </c>
      <c r="I45" s="1023"/>
      <c r="J45" s="426">
        <f>SUMIF(127:127,I45,128:128)-SUMIF(127:127,C45,128:128)+100</f>
        <v>100</v>
      </c>
      <c r="K45" s="188"/>
      <c r="L45" s="2297"/>
      <c r="M45" s="2259"/>
      <c r="N45" s="2259"/>
      <c r="O45" s="2259"/>
      <c r="P45" s="3690"/>
      <c r="Q45" s="2212">
        <f t="shared" si="11"/>
        <v>111</v>
      </c>
      <c r="R45" s="1341" t="s">
        <v>65</v>
      </c>
      <c r="S45" s="1342">
        <f t="shared" si="12"/>
        <v>100</v>
      </c>
      <c r="T45" s="1341" t="s">
        <v>65</v>
      </c>
      <c r="U45" s="1342">
        <f t="shared" si="13"/>
        <v>100</v>
      </c>
      <c r="V45" s="1341" t="s">
        <v>65</v>
      </c>
      <c r="W45" s="1342">
        <f t="shared" si="14"/>
        <v>100</v>
      </c>
      <c r="X45" s="287"/>
      <c r="Y45" s="3692"/>
      <c r="Z45" s="2211">
        <f t="shared" si="15"/>
        <v>111</v>
      </c>
      <c r="AA45" s="1343">
        <f t="shared" si="3"/>
        <v>1</v>
      </c>
      <c r="AB45" s="1343">
        <f t="shared" si="4"/>
        <v>1</v>
      </c>
      <c r="AC45" s="2336">
        <f t="shared" si="5"/>
        <v>1</v>
      </c>
    </row>
    <row r="46" spans="1:29" ht="14.25">
      <c r="A46" s="161"/>
      <c r="B46" s="1356">
        <v>111</v>
      </c>
      <c r="C46" s="93"/>
      <c r="D46" s="778">
        <v>100</v>
      </c>
      <c r="E46" s="1023"/>
      <c r="F46" s="804">
        <f>SUMIF(129:129,E46,130:130)-SUMIF(129:129,C46,130:130)+100</f>
        <v>100</v>
      </c>
      <c r="G46" s="1023"/>
      <c r="H46" s="778">
        <f>SUMIF(129:129,G46,130:130)-SUMIF(129:129,C46,130:130)+100</f>
        <v>100</v>
      </c>
      <c r="I46" s="1023"/>
      <c r="J46" s="778">
        <f>SUMIF(129:129,I46,130:130)-SUMIF(129:129,C46,130:130)+100</f>
        <v>100</v>
      </c>
      <c r="K46" s="188"/>
      <c r="L46" s="2301"/>
      <c r="M46" s="2296"/>
      <c r="N46" s="2296"/>
      <c r="O46" s="2296"/>
      <c r="P46" s="3690"/>
      <c r="Q46" s="2219">
        <f t="shared" si="11"/>
        <v>111</v>
      </c>
      <c r="R46" s="1351" t="s">
        <v>65</v>
      </c>
      <c r="S46" s="1352">
        <f t="shared" si="12"/>
        <v>100</v>
      </c>
      <c r="T46" s="1351" t="s">
        <v>65</v>
      </c>
      <c r="U46" s="1352">
        <f t="shared" si="13"/>
        <v>100</v>
      </c>
      <c r="V46" s="1351" t="s">
        <v>65</v>
      </c>
      <c r="W46" s="1352">
        <f t="shared" si="14"/>
        <v>100</v>
      </c>
      <c r="X46" s="2221"/>
      <c r="Y46" s="3692"/>
      <c r="Z46" s="2220">
        <f t="shared" si="15"/>
        <v>111</v>
      </c>
      <c r="AA46" s="1354">
        <f t="shared" si="3"/>
        <v>1</v>
      </c>
      <c r="AB46" s="1354">
        <f t="shared" si="4"/>
        <v>1</v>
      </c>
      <c r="AC46" s="2337">
        <f t="shared" si="5"/>
        <v>1</v>
      </c>
    </row>
    <row r="47" spans="1:29" ht="15" thickBot="1">
      <c r="A47" s="162"/>
      <c r="B47" s="1031">
        <v>111</v>
      </c>
      <c r="C47" s="94"/>
      <c r="D47" s="781">
        <v>100</v>
      </c>
      <c r="E47" s="1023"/>
      <c r="F47" s="782">
        <f>SUMIF(131:131,E47,132:132)-SUMIF(131:131,C47,132:132)+100</f>
        <v>100</v>
      </c>
      <c r="G47" s="1023"/>
      <c r="H47" s="781">
        <f>SUMIF(131:131,G47,132:132)-SUMIF(131:131,C47,132:132)+100</f>
        <v>100</v>
      </c>
      <c r="I47" s="1023"/>
      <c r="J47" s="781">
        <f>SUMIF(131:131,I47,132:132)-SUMIF(131:131,C47,132:132)+100</f>
        <v>100</v>
      </c>
      <c r="K47" s="188"/>
      <c r="L47" s="2301"/>
      <c r="M47" s="2296"/>
      <c r="N47" s="2296"/>
      <c r="O47" s="2296"/>
      <c r="P47" s="3691"/>
      <c r="Q47" s="2219">
        <f t="shared" si="11"/>
        <v>111</v>
      </c>
      <c r="R47" s="1351" t="s">
        <v>65</v>
      </c>
      <c r="S47" s="1352">
        <f t="shared" si="12"/>
        <v>100</v>
      </c>
      <c r="T47" s="1351" t="s">
        <v>65</v>
      </c>
      <c r="U47" s="1352">
        <f t="shared" si="13"/>
        <v>100</v>
      </c>
      <c r="V47" s="1351" t="s">
        <v>65</v>
      </c>
      <c r="W47" s="1352">
        <f t="shared" si="14"/>
        <v>100</v>
      </c>
      <c r="X47" s="2221"/>
      <c r="Y47" s="3693"/>
      <c r="Z47" s="2220">
        <f t="shared" si="15"/>
        <v>111</v>
      </c>
      <c r="AA47" s="1354">
        <f t="shared" si="3"/>
        <v>1</v>
      </c>
      <c r="AB47" s="1354">
        <f t="shared" si="4"/>
        <v>1</v>
      </c>
      <c r="AC47" s="2337">
        <f t="shared" si="5"/>
        <v>1</v>
      </c>
    </row>
    <row r="48" spans="1:29" ht="15">
      <c r="A48" s="163" t="s">
        <v>1033</v>
      </c>
      <c r="B48" s="164"/>
      <c r="C48" s="2833" t="s">
        <v>23</v>
      </c>
      <c r="D48" s="2834"/>
      <c r="E48" s="2835"/>
      <c r="F48" s="2836"/>
      <c r="G48" s="2837"/>
      <c r="H48" s="2838"/>
      <c r="I48" s="2835"/>
      <c r="J48" s="827"/>
      <c r="K48" s="1392"/>
      <c r="L48" s="2303"/>
      <c r="M48" s="2296"/>
      <c r="N48" s="2296"/>
      <c r="O48" s="2296"/>
      <c r="P48" s="3667" t="str">
        <f>A48</f>
        <v>成交单价（元/平方米）</v>
      </c>
      <c r="Q48" s="3685"/>
      <c r="R48" s="3686">
        <f>E48</f>
        <v>0</v>
      </c>
      <c r="S48" s="3686"/>
      <c r="T48" s="3686">
        <f>G48</f>
        <v>0</v>
      </c>
      <c r="U48" s="3686"/>
      <c r="V48" s="3686">
        <f>I48</f>
        <v>0</v>
      </c>
      <c r="W48" s="3686"/>
      <c r="X48" s="156"/>
      <c r="Y48" s="1365"/>
      <c r="Z48" s="156"/>
      <c r="AA48" s="156"/>
      <c r="AB48" s="156"/>
      <c r="AC48" s="209"/>
    </row>
    <row r="49" spans="1:29" ht="15.75" thickBot="1">
      <c r="A49" s="165" t="s">
        <v>1034</v>
      </c>
      <c r="B49" s="166"/>
      <c r="C49" s="2839" t="e">
        <f>R50</f>
        <v>#DIV/0!</v>
      </c>
      <c r="D49" s="2840"/>
      <c r="E49" s="2841" t="e">
        <f>R49</f>
        <v>#DIV/0!</v>
      </c>
      <c r="F49" s="2841"/>
      <c r="G49" s="2839" t="e">
        <f>T49</f>
        <v>#DIV/0!</v>
      </c>
      <c r="H49" s="2840"/>
      <c r="I49" s="2841" t="e">
        <f>V49</f>
        <v>#DIV/0!</v>
      </c>
      <c r="J49" s="831"/>
      <c r="K49" s="1393"/>
      <c r="L49" s="2303"/>
      <c r="M49" s="2296"/>
      <c r="N49" s="2296"/>
      <c r="O49" s="2296"/>
      <c r="P49" s="3667"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156"/>
      <c r="Y49" s="156"/>
      <c r="Z49" s="156"/>
      <c r="AA49" s="156"/>
      <c r="AB49" s="156"/>
      <c r="AC49" s="209"/>
    </row>
    <row r="50" spans="1:29" ht="15.75" thickBot="1">
      <c r="A50" s="115" t="s">
        <v>3013</v>
      </c>
      <c r="B50" s="116"/>
      <c r="C50" s="2843" t="e">
        <f>R50</f>
        <v>#DIV/0!</v>
      </c>
      <c r="D50" s="2843"/>
      <c r="E50" s="2843"/>
      <c r="F50" s="2843"/>
      <c r="G50" s="2843"/>
      <c r="H50" s="2843"/>
      <c r="I50" s="2843"/>
      <c r="J50" s="836"/>
      <c r="K50" s="1394"/>
      <c r="L50" s="2303"/>
      <c r="M50" s="2296"/>
      <c r="N50" s="2296"/>
      <c r="O50" s="2296"/>
      <c r="P50" s="3708" t="str">
        <f>A50</f>
        <v>估价对象XX用房的比较价值（楼面单价，元/平方米）</v>
      </c>
      <c r="Q50" s="3709"/>
      <c r="R50" s="3710" t="e">
        <f>IF(F1="售价",ROUND(AVERAGE(R49:V49),0),ROUND(AVERAGE(R49:V49),1))</f>
        <v>#DIV/0!</v>
      </c>
      <c r="S50" s="3710"/>
      <c r="T50" s="3710"/>
      <c r="U50" s="3710"/>
      <c r="V50" s="3710"/>
      <c r="W50" s="3710"/>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39" t="s">
        <v>1003</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5"/>
      <c r="L53" s="2306"/>
      <c r="M53" s="2304"/>
      <c r="N53" s="2304"/>
      <c r="O53" s="2304"/>
    </row>
    <row r="54" spans="1:29" ht="13.5" customHeight="1">
      <c r="A54" s="2304"/>
      <c r="B54" s="2304"/>
      <c r="C54" s="839" t="s">
        <v>1004</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5"/>
      <c r="L54" s="2306"/>
      <c r="M54" s="2304"/>
      <c r="N54" s="2304"/>
      <c r="O54" s="2304"/>
    </row>
    <row r="55" spans="1:29" s="119" customFormat="1" ht="13.5" customHeight="1">
      <c r="A55" s="2309"/>
      <c r="B55" s="2309"/>
      <c r="C55" s="839" t="s">
        <v>1005</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1" t="s">
        <v>1035</v>
      </c>
      <c r="B58" s="1364"/>
      <c r="C58" s="1372"/>
      <c r="D58" s="1372"/>
      <c r="E58" s="1372"/>
      <c r="F58" s="1373"/>
      <c r="G58" s="1373"/>
      <c r="H58" s="1372"/>
      <c r="I58" s="1372"/>
      <c r="J58" s="1372"/>
      <c r="K58" s="1374"/>
      <c r="L58" s="2311"/>
      <c r="M58" s="2312"/>
      <c r="N58" s="2312"/>
      <c r="O58" s="2312"/>
      <c r="P58" s="2326"/>
      <c r="Q58" s="121"/>
    </row>
    <row r="59" spans="1:29" s="850" customFormat="1" ht="15">
      <c r="A59" s="847" t="s">
        <v>2790</v>
      </c>
      <c r="B59" s="848"/>
      <c r="C59" s="3040" t="str">
        <f>YEAR(C7)&amp;"-"&amp;MONTH(C7)</f>
        <v>2017-9</v>
      </c>
      <c r="D59" s="3041">
        <f>EDATE(C59,-1)</f>
        <v>42948</v>
      </c>
      <c r="E59" s="3041">
        <f>EDATE(D59,-1)</f>
        <v>42917</v>
      </c>
      <c r="F59" s="3041">
        <f t="shared" ref="F59:O59" si="16">EDATE(E59,-1)</f>
        <v>42887</v>
      </c>
      <c r="G59" s="3041">
        <f t="shared" si="16"/>
        <v>42856</v>
      </c>
      <c r="H59" s="3041">
        <f t="shared" si="16"/>
        <v>42826</v>
      </c>
      <c r="I59" s="3041">
        <f t="shared" si="16"/>
        <v>42795</v>
      </c>
      <c r="J59" s="3041">
        <f t="shared" si="16"/>
        <v>42767</v>
      </c>
      <c r="K59" s="3041">
        <f t="shared" si="16"/>
        <v>42736</v>
      </c>
      <c r="L59" s="3041">
        <f t="shared" si="16"/>
        <v>42705</v>
      </c>
      <c r="M59" s="3041">
        <f t="shared" si="16"/>
        <v>42675</v>
      </c>
      <c r="N59" s="3041">
        <f t="shared" si="16"/>
        <v>42644</v>
      </c>
      <c r="O59" s="3041">
        <f t="shared" si="16"/>
        <v>42614</v>
      </c>
      <c r="P59" s="3035"/>
    </row>
    <row r="60" spans="1:29" s="40" customFormat="1" ht="14.25">
      <c r="A60" s="1044"/>
      <c r="B60" s="1045"/>
      <c r="C60" s="3038">
        <v>100</v>
      </c>
      <c r="D60" s="854"/>
      <c r="E60" s="854"/>
      <c r="F60" s="854"/>
      <c r="G60" s="854"/>
      <c r="H60" s="854"/>
      <c r="I60" s="854"/>
      <c r="J60" s="854"/>
      <c r="K60" s="854"/>
      <c r="L60" s="854"/>
      <c r="M60" s="855"/>
      <c r="N60" s="854"/>
      <c r="O60" s="855"/>
      <c r="P60" s="2327"/>
    </row>
    <row r="61" spans="1:29" s="40" customFormat="1" ht="15" thickBot="1">
      <c r="A61" s="1046" t="s">
        <v>1036</v>
      </c>
      <c r="B61" s="1047"/>
      <c r="C61" s="859"/>
      <c r="D61" s="860"/>
      <c r="E61" s="860"/>
      <c r="F61" s="860"/>
      <c r="G61" s="860"/>
      <c r="H61" s="860"/>
      <c r="I61" s="860"/>
      <c r="J61" s="860"/>
      <c r="K61" s="860"/>
      <c r="L61" s="860"/>
      <c r="M61" s="861"/>
      <c r="N61" s="860"/>
      <c r="O61" s="861"/>
      <c r="P61" s="2327"/>
      <c r="Q61" s="121"/>
    </row>
    <row r="62" spans="1:29" s="40" customFormat="1">
      <c r="A62" s="1048" t="s">
        <v>1037</v>
      </c>
      <c r="B62" s="1045"/>
      <c r="C62" s="1049" t="s">
        <v>1038</v>
      </c>
      <c r="D62" s="140"/>
      <c r="E62" s="140"/>
      <c r="F62" s="140"/>
      <c r="G62" s="140"/>
      <c r="H62" s="140"/>
      <c r="I62" s="140"/>
      <c r="J62" s="140"/>
      <c r="K62" s="140"/>
      <c r="L62" s="141"/>
      <c r="M62" s="1050"/>
      <c r="N62" s="1387"/>
      <c r="O62" s="1387"/>
      <c r="P62" s="2328"/>
      <c r="Q62" s="121"/>
    </row>
    <row r="63" spans="1:29" s="40" customFormat="1" ht="15" thickBot="1">
      <c r="A63" s="1048"/>
      <c r="B63" s="1045"/>
      <c r="C63" s="853">
        <v>100</v>
      </c>
      <c r="D63" s="854"/>
      <c r="E63" s="854"/>
      <c r="F63" s="854"/>
      <c r="G63" s="854"/>
      <c r="H63" s="854"/>
      <c r="I63" s="854"/>
      <c r="J63" s="854"/>
      <c r="K63" s="854"/>
      <c r="L63" s="854"/>
      <c r="M63" s="856"/>
      <c r="N63" s="1387"/>
      <c r="O63" s="1387"/>
      <c r="P63" s="2327"/>
      <c r="Q63" s="121"/>
    </row>
    <row r="64" spans="1:29">
      <c r="A64" s="172" t="s">
        <v>1039</v>
      </c>
      <c r="B64" s="286" t="s">
        <v>1040</v>
      </c>
      <c r="C64" s="176">
        <f>C9</f>
        <v>0</v>
      </c>
      <c r="D64" s="122"/>
      <c r="E64" s="122"/>
      <c r="F64" s="122"/>
      <c r="G64" s="122"/>
      <c r="H64" s="122"/>
      <c r="I64" s="122"/>
      <c r="J64" s="122"/>
      <c r="K64" s="123"/>
      <c r="L64" s="124"/>
      <c r="M64" s="125"/>
      <c r="N64" s="1388"/>
      <c r="O64" s="1388"/>
      <c r="P64" s="2329"/>
      <c r="Q64" s="121"/>
    </row>
    <row r="65" spans="1:17" ht="15" thickBot="1">
      <c r="A65" s="173"/>
      <c r="B65" s="1052"/>
      <c r="C65" s="878">
        <v>100</v>
      </c>
      <c r="D65" s="878"/>
      <c r="E65" s="878"/>
      <c r="F65" s="878"/>
      <c r="G65" s="878"/>
      <c r="H65" s="878"/>
      <c r="I65" s="878"/>
      <c r="J65" s="878"/>
      <c r="K65" s="878"/>
      <c r="L65" s="878"/>
      <c r="M65" s="879"/>
      <c r="N65" s="1389"/>
      <c r="O65" s="1389"/>
      <c r="P65" s="2329"/>
      <c r="Q65" s="121"/>
    </row>
    <row r="66" spans="1:17" ht="27.75" thickTop="1">
      <c r="A66" s="173"/>
      <c r="B66" s="1053" t="s">
        <v>1041</v>
      </c>
      <c r="C66" s="881" t="s">
        <v>1006</v>
      </c>
      <c r="D66" s="881" t="s">
        <v>1007</v>
      </c>
      <c r="E66" s="881" t="s">
        <v>1008</v>
      </c>
      <c r="F66" s="881" t="s">
        <v>1009</v>
      </c>
      <c r="G66" s="881" t="s">
        <v>1010</v>
      </c>
      <c r="H66" s="881" t="s">
        <v>1011</v>
      </c>
      <c r="I66" s="881" t="s">
        <v>1012</v>
      </c>
      <c r="J66" s="881"/>
      <c r="K66" s="882"/>
      <c r="L66" s="883"/>
      <c r="M66" s="884"/>
      <c r="N66" s="1388"/>
      <c r="O66" s="1388"/>
      <c r="P66" s="2329"/>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9"/>
      <c r="Q67" s="121"/>
    </row>
    <row r="68" spans="1:17" ht="15" thickTop="1">
      <c r="A68" s="173"/>
      <c r="B68" s="1055" t="s">
        <v>1042</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1" t="str">
        <f>M69&amp;"（含）"&amp;"-"&amp;P69</f>
        <v>（含）-</v>
      </c>
      <c r="N68" s="1389"/>
      <c r="O68" s="1389"/>
      <c r="P68" s="2329"/>
      <c r="Q68" s="121"/>
    </row>
    <row r="69" spans="1:17" ht="14.25">
      <c r="A69" s="173"/>
      <c r="B69" s="1056"/>
      <c r="C69" s="891"/>
      <c r="D69" s="891"/>
      <c r="E69" s="891"/>
      <c r="F69" s="891"/>
      <c r="G69" s="891"/>
      <c r="H69" s="891"/>
      <c r="I69" s="891"/>
      <c r="J69" s="891"/>
      <c r="K69" s="892"/>
      <c r="L69" s="893"/>
      <c r="M69" s="894"/>
      <c r="N69" s="1388"/>
      <c r="O69" s="1388"/>
      <c r="P69" s="2329"/>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9"/>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30"/>
      <c r="Q71" s="1062"/>
    </row>
    <row r="72" spans="1:17" s="1038" customFormat="1" ht="15" thickBot="1">
      <c r="A72" s="1057"/>
      <c r="B72" s="1054"/>
      <c r="C72" s="902"/>
      <c r="D72" s="878"/>
      <c r="E72" s="878"/>
      <c r="F72" s="878"/>
      <c r="G72" s="878"/>
      <c r="H72" s="878"/>
      <c r="I72" s="878"/>
      <c r="J72" s="878"/>
      <c r="K72" s="878"/>
      <c r="L72" s="878"/>
      <c r="M72" s="879"/>
      <c r="N72" s="1389"/>
      <c r="O72" s="1389"/>
      <c r="P72" s="2330"/>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1"/>
      <c r="Q73" s="1064"/>
    </row>
    <row r="74" spans="1:17" s="1038" customFormat="1" ht="15" thickBot="1">
      <c r="A74" s="1057"/>
      <c r="B74" s="1054"/>
      <c r="C74" s="902"/>
      <c r="D74" s="902"/>
      <c r="E74" s="902"/>
      <c r="F74" s="902"/>
      <c r="G74" s="902"/>
      <c r="H74" s="904"/>
      <c r="I74" s="904"/>
      <c r="J74" s="904"/>
      <c r="K74" s="904"/>
      <c r="L74" s="904"/>
      <c r="M74" s="905"/>
      <c r="N74" s="1390"/>
      <c r="O74" s="1390"/>
      <c r="P74" s="2330"/>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2"/>
      <c r="Q75" s="1062"/>
    </row>
    <row r="76" spans="1:17" s="1038" customFormat="1" ht="15" thickBot="1">
      <c r="A76" s="1069"/>
      <c r="B76" s="1070"/>
      <c r="C76" s="912"/>
      <c r="D76" s="912"/>
      <c r="E76" s="912"/>
      <c r="F76" s="912"/>
      <c r="G76" s="912"/>
      <c r="H76" s="913"/>
      <c r="I76" s="913"/>
      <c r="J76" s="913"/>
      <c r="K76" s="913"/>
      <c r="L76" s="913"/>
      <c r="M76" s="914"/>
      <c r="N76" s="1390"/>
      <c r="O76" s="1390"/>
      <c r="P76" s="2330"/>
      <c r="Q76" s="1062"/>
    </row>
    <row r="77" spans="1:17" ht="14.25">
      <c r="A77" s="172" t="s">
        <v>1043</v>
      </c>
      <c r="B77" s="286" t="s">
        <v>1093</v>
      </c>
      <c r="C77" s="915" t="s">
        <v>1013</v>
      </c>
      <c r="D77" s="915" t="s">
        <v>1014</v>
      </c>
      <c r="E77" s="915" t="s">
        <v>1015</v>
      </c>
      <c r="F77" s="915" t="s">
        <v>1016</v>
      </c>
      <c r="G77" s="915" t="s">
        <v>1017</v>
      </c>
      <c r="H77" s="871"/>
      <c r="I77" s="871"/>
      <c r="J77" s="871"/>
      <c r="K77" s="916"/>
      <c r="L77" s="917"/>
      <c r="M77" s="918"/>
      <c r="N77" s="1388"/>
      <c r="O77" s="1388"/>
      <c r="P77" s="2333"/>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9"/>
      <c r="Q78" s="121"/>
    </row>
    <row r="79" spans="1:17" ht="15" thickTop="1">
      <c r="A79" s="173"/>
      <c r="B79" s="1053" t="s">
        <v>1050</v>
      </c>
      <c r="C79" s="920" t="s">
        <v>1013</v>
      </c>
      <c r="D79" s="920" t="s">
        <v>1014</v>
      </c>
      <c r="E79" s="920" t="s">
        <v>1015</v>
      </c>
      <c r="F79" s="920" t="s">
        <v>1102</v>
      </c>
      <c r="G79" s="920" t="s">
        <v>1017</v>
      </c>
      <c r="H79" s="881"/>
      <c r="I79" s="881"/>
      <c r="J79" s="881"/>
      <c r="K79" s="882"/>
      <c r="L79" s="883"/>
      <c r="M79" s="884"/>
      <c r="N79" s="1388"/>
      <c r="O79" s="1388"/>
      <c r="P79" s="2329"/>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9"/>
      <c r="Q80" s="121"/>
    </row>
    <row r="81" spans="1:17" ht="15" thickTop="1">
      <c r="A81" s="173"/>
      <c r="B81" s="1053" t="s">
        <v>31</v>
      </c>
      <c r="C81" s="920" t="s">
        <v>1013</v>
      </c>
      <c r="D81" s="920" t="s">
        <v>1014</v>
      </c>
      <c r="E81" s="920" t="s">
        <v>1015</v>
      </c>
      <c r="F81" s="920" t="s">
        <v>1016</v>
      </c>
      <c r="G81" s="920" t="s">
        <v>1017</v>
      </c>
      <c r="H81" s="881"/>
      <c r="I81" s="881"/>
      <c r="J81" s="881"/>
      <c r="K81" s="882"/>
      <c r="L81" s="883"/>
      <c r="M81" s="884"/>
      <c r="N81" s="1388"/>
      <c r="O81" s="1388"/>
      <c r="P81" s="2329"/>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9"/>
      <c r="Q82" s="121"/>
    </row>
    <row r="83" spans="1:17" ht="15" thickTop="1">
      <c r="A83" s="173"/>
      <c r="B83" s="1055" t="s">
        <v>2660</v>
      </c>
      <c r="C83" s="213" t="s">
        <v>2653</v>
      </c>
      <c r="D83" s="213" t="s">
        <v>2654</v>
      </c>
      <c r="E83" s="213" t="s">
        <v>2655</v>
      </c>
      <c r="F83" s="213" t="s">
        <v>2656</v>
      </c>
      <c r="G83" s="213" t="s">
        <v>2657</v>
      </c>
      <c r="H83" s="881"/>
      <c r="I83" s="881"/>
      <c r="J83" s="881"/>
      <c r="K83" s="881"/>
      <c r="L83" s="881"/>
      <c r="M83" s="2765"/>
      <c r="N83" s="1389"/>
      <c r="O83" s="1389"/>
      <c r="P83" s="2329"/>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3"/>
      <c r="N84" s="1389"/>
      <c r="O84" s="1389"/>
      <c r="P84" s="2329"/>
      <c r="Q84" s="121"/>
    </row>
    <row r="85" spans="1:17" ht="15" thickTop="1">
      <c r="A85" s="173"/>
      <c r="B85" s="1053" t="s">
        <v>1094</v>
      </c>
      <c r="C85" s="920" t="s">
        <v>1013</v>
      </c>
      <c r="D85" s="920" t="s">
        <v>1014</v>
      </c>
      <c r="E85" s="920" t="s">
        <v>1015</v>
      </c>
      <c r="F85" s="920" t="s">
        <v>1016</v>
      </c>
      <c r="G85" s="920" t="s">
        <v>1017</v>
      </c>
      <c r="H85" s="881"/>
      <c r="I85" s="881"/>
      <c r="J85" s="881"/>
      <c r="K85" s="882"/>
      <c r="L85" s="883"/>
      <c r="M85" s="884"/>
      <c r="N85" s="1388"/>
      <c r="O85" s="1388"/>
      <c r="P85" s="2329"/>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9"/>
      <c r="Q86" s="121"/>
    </row>
    <row r="87" spans="1:17" s="40" customFormat="1" ht="27.75" thickTop="1">
      <c r="A87" s="1071"/>
      <c r="B87" s="1053" t="s">
        <v>1095</v>
      </c>
      <c r="C87" s="139"/>
      <c r="D87" s="139"/>
      <c r="E87" s="139"/>
      <c r="F87" s="139"/>
      <c r="G87" s="139"/>
      <c r="H87" s="139"/>
      <c r="I87" s="139"/>
      <c r="J87" s="139"/>
      <c r="K87" s="139"/>
      <c r="L87" s="1383"/>
      <c r="M87" s="1384"/>
      <c r="N87" s="1387"/>
      <c r="O87" s="1387"/>
      <c r="P87" s="2329"/>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9"/>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9"/>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9"/>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30"/>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30"/>
      <c r="Q92" s="1062"/>
    </row>
    <row r="93" spans="1:17" ht="14.25" thickTop="1">
      <c r="A93" s="173"/>
      <c r="B93" s="1053">
        <f>B29</f>
        <v>111</v>
      </c>
      <c r="C93" s="139"/>
      <c r="D93" s="139"/>
      <c r="E93" s="139"/>
      <c r="F93" s="139"/>
      <c r="G93" s="139"/>
      <c r="H93" s="139"/>
      <c r="I93" s="139"/>
      <c r="J93" s="139"/>
      <c r="K93" s="139"/>
      <c r="L93" s="1383"/>
      <c r="M93" s="1384"/>
      <c r="N93" s="1388"/>
      <c r="O93" s="1388"/>
      <c r="P93" s="2329"/>
      <c r="Q93" s="121"/>
    </row>
    <row r="94" spans="1:17" ht="15" thickBot="1">
      <c r="A94" s="173"/>
      <c r="B94" s="1054"/>
      <c r="C94" s="902"/>
      <c r="D94" s="878"/>
      <c r="E94" s="878"/>
      <c r="F94" s="878"/>
      <c r="G94" s="878"/>
      <c r="H94" s="878"/>
      <c r="I94" s="878"/>
      <c r="J94" s="878"/>
      <c r="K94" s="878"/>
      <c r="L94" s="878"/>
      <c r="M94" s="879"/>
      <c r="N94" s="1389"/>
      <c r="O94" s="1389"/>
      <c r="P94" s="2329"/>
      <c r="Q94" s="121"/>
    </row>
    <row r="95" spans="1:17" ht="14.25" thickTop="1">
      <c r="A95" s="173"/>
      <c r="B95" s="1053">
        <f>B30</f>
        <v>111</v>
      </c>
      <c r="C95" s="139"/>
      <c r="D95" s="139"/>
      <c r="E95" s="139"/>
      <c r="F95" s="139"/>
      <c r="G95" s="131"/>
      <c r="H95" s="131"/>
      <c r="I95" s="131"/>
      <c r="J95" s="131"/>
      <c r="K95" s="132"/>
      <c r="L95" s="133"/>
      <c r="M95" s="134"/>
      <c r="N95" s="1388"/>
      <c r="O95" s="1388"/>
      <c r="P95" s="2329"/>
      <c r="Q95" s="121"/>
    </row>
    <row r="96" spans="1:17" ht="15" thickBot="1">
      <c r="A96" s="173"/>
      <c r="B96" s="1054"/>
      <c r="C96" s="902"/>
      <c r="D96" s="902"/>
      <c r="E96" s="902"/>
      <c r="F96" s="902"/>
      <c r="G96" s="878"/>
      <c r="H96" s="878"/>
      <c r="I96" s="878"/>
      <c r="J96" s="878"/>
      <c r="K96" s="878"/>
      <c r="L96" s="878"/>
      <c r="M96" s="879"/>
      <c r="N96" s="1389"/>
      <c r="O96" s="1389"/>
      <c r="P96" s="2329"/>
      <c r="Q96" s="121"/>
    </row>
    <row r="97" spans="1:17" ht="14.25" thickTop="1">
      <c r="A97" s="173"/>
      <c r="B97" s="1053">
        <f>B31</f>
        <v>111</v>
      </c>
      <c r="C97" s="139"/>
      <c r="D97" s="139"/>
      <c r="E97" s="139"/>
      <c r="F97" s="139"/>
      <c r="G97" s="131"/>
      <c r="H97" s="131"/>
      <c r="I97" s="131"/>
      <c r="J97" s="131"/>
      <c r="K97" s="132"/>
      <c r="L97" s="133"/>
      <c r="M97" s="134"/>
      <c r="N97" s="1388"/>
      <c r="O97" s="1388"/>
      <c r="P97" s="2329"/>
      <c r="Q97" s="121"/>
    </row>
    <row r="98" spans="1:17" ht="15" thickBot="1">
      <c r="A98" s="173"/>
      <c r="B98" s="1054"/>
      <c r="C98" s="902"/>
      <c r="D98" s="878"/>
      <c r="E98" s="878"/>
      <c r="F98" s="878"/>
      <c r="G98" s="878"/>
      <c r="H98" s="878"/>
      <c r="I98" s="878"/>
      <c r="J98" s="878"/>
      <c r="K98" s="878"/>
      <c r="L98" s="878"/>
      <c r="M98" s="879"/>
      <c r="N98" s="1389"/>
      <c r="O98" s="1389"/>
      <c r="P98" s="2329"/>
      <c r="Q98" s="121"/>
    </row>
    <row r="99" spans="1:17" ht="14.25" thickTop="1">
      <c r="A99" s="173"/>
      <c r="B99" s="1055">
        <f>B32</f>
        <v>111</v>
      </c>
      <c r="C99" s="140"/>
      <c r="D99" s="140"/>
      <c r="E99" s="140"/>
      <c r="F99" s="140"/>
      <c r="G99" s="135"/>
      <c r="H99" s="135"/>
      <c r="I99" s="135"/>
      <c r="J99" s="135"/>
      <c r="K99" s="136"/>
      <c r="L99" s="137"/>
      <c r="M99" s="138"/>
      <c r="N99" s="1388"/>
      <c r="O99" s="1388"/>
      <c r="P99" s="2329"/>
      <c r="Q99" s="121"/>
    </row>
    <row r="100" spans="1:17" ht="15" thickBot="1">
      <c r="A100" s="174"/>
      <c r="B100" s="1070"/>
      <c r="C100" s="912"/>
      <c r="D100" s="912"/>
      <c r="E100" s="912"/>
      <c r="F100" s="912"/>
      <c r="G100" s="933"/>
      <c r="H100" s="933"/>
      <c r="I100" s="933"/>
      <c r="J100" s="933"/>
      <c r="K100" s="933"/>
      <c r="L100" s="933"/>
      <c r="M100" s="934"/>
      <c r="N100" s="1389"/>
      <c r="O100" s="1389"/>
      <c r="P100" s="2329"/>
      <c r="Q100" s="121"/>
    </row>
    <row r="101" spans="1:17">
      <c r="A101" s="172" t="s">
        <v>1053</v>
      </c>
      <c r="B101" s="286" t="s">
        <v>1096</v>
      </c>
      <c r="C101" s="122"/>
      <c r="D101" s="122"/>
      <c r="E101" s="122"/>
      <c r="F101" s="122"/>
      <c r="G101" s="122"/>
      <c r="H101" s="122"/>
      <c r="I101" s="122"/>
      <c r="J101" s="122"/>
      <c r="K101" s="123"/>
      <c r="L101" s="124"/>
      <c r="M101" s="125"/>
      <c r="N101" s="1388"/>
      <c r="O101" s="1388"/>
      <c r="P101" s="2329"/>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9"/>
      <c r="Q102" s="121"/>
    </row>
    <row r="103" spans="1:17" ht="15" thickTop="1">
      <c r="A103" s="173"/>
      <c r="B103" s="1053" t="s">
        <v>1055</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9"/>
      <c r="Q103" s="121"/>
    </row>
    <row r="104" spans="1:17" s="1038" customFormat="1" ht="14.25">
      <c r="A104" s="1072"/>
      <c r="B104" s="1073"/>
      <c r="C104" s="937"/>
      <c r="D104" s="937"/>
      <c r="E104" s="937"/>
      <c r="F104" s="937"/>
      <c r="G104" s="937"/>
      <c r="H104" s="937"/>
      <c r="I104" s="937"/>
      <c r="J104" s="938"/>
      <c r="K104" s="938"/>
      <c r="L104" s="939"/>
      <c r="M104" s="940"/>
      <c r="N104" s="1390"/>
      <c r="O104" s="1390"/>
      <c r="P104" s="2330"/>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30"/>
      <c r="Q105" s="1062"/>
    </row>
    <row r="106" spans="1:17" ht="14.25" thickTop="1">
      <c r="A106" s="175"/>
      <c r="B106" s="1053" t="s">
        <v>1056</v>
      </c>
      <c r="C106" s="139"/>
      <c r="D106" s="139"/>
      <c r="E106" s="131"/>
      <c r="F106" s="131"/>
      <c r="G106" s="131"/>
      <c r="H106" s="131"/>
      <c r="I106" s="131"/>
      <c r="J106" s="131"/>
      <c r="K106" s="132"/>
      <c r="L106" s="133"/>
      <c r="M106" s="134"/>
      <c r="N106" s="1388"/>
      <c r="O106" s="1388"/>
      <c r="P106" s="2329"/>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9"/>
      <c r="Q107" s="121"/>
    </row>
    <row r="108" spans="1:17" ht="14.25" thickTop="1">
      <c r="A108" s="175"/>
      <c r="B108" s="1053" t="s">
        <v>1057</v>
      </c>
      <c r="C108" s="139"/>
      <c r="D108" s="139"/>
      <c r="E108" s="139"/>
      <c r="F108" s="131"/>
      <c r="G108" s="131"/>
      <c r="H108" s="131"/>
      <c r="I108" s="131"/>
      <c r="J108" s="131"/>
      <c r="K108" s="132"/>
      <c r="L108" s="133"/>
      <c r="M108" s="134"/>
      <c r="N108" s="1388"/>
      <c r="O108" s="1388"/>
      <c r="P108" s="2329"/>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9"/>
      <c r="Q109" s="121"/>
    </row>
    <row r="110" spans="1:17" ht="15" thickTop="1">
      <c r="A110" s="175"/>
      <c r="B110" s="1053" t="s">
        <v>1058</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9"/>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9"/>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9"/>
      <c r="Q112" s="121"/>
    </row>
    <row r="113" spans="1:17" s="1038" customFormat="1" ht="14.25" thickTop="1">
      <c r="A113" s="1072"/>
      <c r="B113" s="1053" t="s">
        <v>1097</v>
      </c>
      <c r="C113" s="139"/>
      <c r="D113" s="139"/>
      <c r="E113" s="139"/>
      <c r="F113" s="139"/>
      <c r="G113" s="139"/>
      <c r="H113" s="131"/>
      <c r="I113" s="131"/>
      <c r="J113" s="131"/>
      <c r="K113" s="132"/>
      <c r="L113" s="133"/>
      <c r="M113" s="134"/>
      <c r="N113" s="1390"/>
      <c r="O113" s="1390"/>
      <c r="P113" s="2330"/>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30"/>
      <c r="Q114" s="1062"/>
    </row>
    <row r="115" spans="1:17" ht="14.25" thickTop="1">
      <c r="A115" s="175"/>
      <c r="B115" s="1053" t="s">
        <v>1098</v>
      </c>
      <c r="C115" s="139"/>
      <c r="D115" s="139"/>
      <c r="E115" s="131"/>
      <c r="F115" s="131"/>
      <c r="G115" s="131"/>
      <c r="H115" s="131"/>
      <c r="I115" s="131"/>
      <c r="J115" s="131"/>
      <c r="K115" s="132"/>
      <c r="L115" s="133"/>
      <c r="M115" s="134"/>
      <c r="N115" s="1388"/>
      <c r="O115" s="1388"/>
      <c r="P115" s="2329"/>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9"/>
      <c r="Q116" s="121"/>
    </row>
    <row r="117" spans="1:17" ht="14.25" thickTop="1">
      <c r="A117" s="175"/>
      <c r="B117" s="1053" t="s">
        <v>2635</v>
      </c>
      <c r="C117" s="139"/>
      <c r="D117" s="139"/>
      <c r="E117" s="139"/>
      <c r="F117" s="139"/>
      <c r="G117" s="139"/>
      <c r="H117" s="131"/>
      <c r="I117" s="131"/>
      <c r="J117" s="131"/>
      <c r="K117" s="132"/>
      <c r="L117" s="133"/>
      <c r="M117" s="134"/>
      <c r="N117" s="1388"/>
      <c r="O117" s="1388"/>
      <c r="P117" s="2329"/>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9"/>
      <c r="Q118" s="121"/>
    </row>
    <row r="119" spans="1:17" ht="14.25" thickTop="1">
      <c r="A119" s="175"/>
      <c r="B119" s="211" t="s">
        <v>1060</v>
      </c>
      <c r="C119" s="131"/>
      <c r="D119" s="131"/>
      <c r="E119" s="131"/>
      <c r="F119" s="131"/>
      <c r="G119" s="131"/>
      <c r="H119" s="131"/>
      <c r="I119" s="131"/>
      <c r="J119" s="131"/>
      <c r="K119" s="131"/>
      <c r="L119" s="198"/>
      <c r="M119" s="199"/>
      <c r="N119" s="1389"/>
      <c r="O119" s="1389"/>
      <c r="P119" s="2334"/>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9"/>
      <c r="Q120" s="121"/>
    </row>
    <row r="121" spans="1:17" s="1038" customFormat="1" ht="15" thickTop="1">
      <c r="A121" s="1072"/>
      <c r="B121" s="1053" t="s">
        <v>1061</v>
      </c>
      <c r="C121" s="896"/>
      <c r="D121" s="896"/>
      <c r="E121" s="896"/>
      <c r="F121" s="925"/>
      <c r="G121" s="897"/>
      <c r="H121" s="897"/>
      <c r="I121" s="897"/>
      <c r="J121" s="897"/>
      <c r="K121" s="897"/>
      <c r="L121" s="898"/>
      <c r="M121" s="899"/>
      <c r="N121" s="1390"/>
      <c r="O121" s="1390"/>
      <c r="P121" s="2330"/>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30"/>
      <c r="Q122" s="1062"/>
    </row>
    <row r="123" spans="1:17" ht="14.25" thickTop="1">
      <c r="A123" s="175"/>
      <c r="B123" s="1053" t="s">
        <v>1063</v>
      </c>
      <c r="C123" s="139"/>
      <c r="D123" s="139"/>
      <c r="E123" s="139"/>
      <c r="F123" s="131"/>
      <c r="G123" s="131"/>
      <c r="H123" s="131"/>
      <c r="I123" s="131"/>
      <c r="J123" s="131"/>
      <c r="K123" s="132"/>
      <c r="L123" s="133"/>
      <c r="M123" s="134"/>
      <c r="N123" s="1388"/>
      <c r="O123" s="1388"/>
      <c r="P123" s="2329"/>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9"/>
      <c r="Q124" s="121"/>
    </row>
    <row r="125" spans="1:17" ht="27.75" thickTop="1">
      <c r="A125" s="175"/>
      <c r="B125" s="1053" t="s">
        <v>1064</v>
      </c>
      <c r="C125" s="920" t="s">
        <v>1013</v>
      </c>
      <c r="D125" s="920" t="s">
        <v>1014</v>
      </c>
      <c r="E125" s="920" t="s">
        <v>1015</v>
      </c>
      <c r="F125" s="920" t="s">
        <v>1016</v>
      </c>
      <c r="G125" s="920" t="s">
        <v>1017</v>
      </c>
      <c r="H125" s="881"/>
      <c r="I125" s="881"/>
      <c r="J125" s="881"/>
      <c r="K125" s="882"/>
      <c r="L125" s="883"/>
      <c r="M125" s="884"/>
      <c r="N125" s="1388"/>
      <c r="O125" s="1388"/>
      <c r="P125" s="2330"/>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9"/>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30"/>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30"/>
      <c r="Q128" s="1062"/>
    </row>
    <row r="129" spans="1:17" ht="14.25" thickTop="1">
      <c r="A129" s="175"/>
      <c r="B129" s="1053">
        <f>B46</f>
        <v>111</v>
      </c>
      <c r="C129" s="139"/>
      <c r="D129" s="139"/>
      <c r="E129" s="139"/>
      <c r="F129" s="139"/>
      <c r="G129" s="131"/>
      <c r="H129" s="131"/>
      <c r="I129" s="131"/>
      <c r="J129" s="131"/>
      <c r="K129" s="132"/>
      <c r="L129" s="133"/>
      <c r="M129" s="134"/>
      <c r="N129" s="1388"/>
      <c r="O129" s="1388"/>
      <c r="P129" s="2329"/>
      <c r="Q129" s="121"/>
    </row>
    <row r="130" spans="1:17" ht="15" thickBot="1">
      <c r="A130" s="173"/>
      <c r="B130" s="1054"/>
      <c r="C130" s="902"/>
      <c r="D130" s="902"/>
      <c r="E130" s="902"/>
      <c r="F130" s="902"/>
      <c r="G130" s="878"/>
      <c r="H130" s="878"/>
      <c r="I130" s="878"/>
      <c r="J130" s="878"/>
      <c r="K130" s="878"/>
      <c r="L130" s="878"/>
      <c r="M130" s="879"/>
      <c r="N130" s="1389"/>
      <c r="O130" s="1389"/>
      <c r="P130" s="2329"/>
      <c r="Q130" s="121"/>
    </row>
    <row r="131" spans="1:17" ht="14.25" thickTop="1">
      <c r="A131" s="175"/>
      <c r="B131" s="1055">
        <f>B47</f>
        <v>111</v>
      </c>
      <c r="C131" s="140"/>
      <c r="D131" s="140"/>
      <c r="E131" s="140"/>
      <c r="F131" s="140"/>
      <c r="G131" s="135"/>
      <c r="H131" s="135"/>
      <c r="I131" s="135"/>
      <c r="J131" s="135"/>
      <c r="K131" s="140"/>
      <c r="L131" s="141"/>
      <c r="M131" s="138"/>
      <c r="N131" s="1388"/>
      <c r="O131" s="1388"/>
      <c r="P131" s="2329"/>
      <c r="Q131" s="121"/>
    </row>
    <row r="132" spans="1:17" ht="15" thickBot="1">
      <c r="A132" s="174"/>
      <c r="B132" s="1070"/>
      <c r="C132" s="912"/>
      <c r="D132" s="912"/>
      <c r="E132" s="912"/>
      <c r="F132" s="912"/>
      <c r="G132" s="933"/>
      <c r="H132" s="933"/>
      <c r="I132" s="933"/>
      <c r="J132" s="933"/>
      <c r="K132" s="933"/>
      <c r="L132" s="933"/>
      <c r="M132" s="934"/>
      <c r="N132" s="1389"/>
      <c r="O132" s="1389"/>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1103</v>
      </c>
      <c r="B1" s="3117" t="s">
        <v>1104</v>
      </c>
      <c r="C1" s="3111" t="s">
        <v>1105</v>
      </c>
      <c r="D1" s="3102"/>
      <c r="E1" s="3107"/>
      <c r="F1" s="3104"/>
      <c r="G1" s="3106" t="s">
        <v>1106</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1107</v>
      </c>
      <c r="B2" s="2844" t="e">
        <f ca="1">IF(C2="——",ROUND(C43*D3/10000,0),ROUND(C43*D3/10000,0)-D2)</f>
        <v>#DIV/0!</v>
      </c>
      <c r="C2" s="3096"/>
      <c r="D2" s="2342" t="e">
        <f ca="1">SUMIF(INDIRECT("'"&amp;F2&amp;"'"&amp;"!A:A"),"承租人权益价值",INDIRECT("'"&amp;F2&amp;"'"&amp;"!c:c"))</f>
        <v>#REF!</v>
      </c>
      <c r="E2" s="3097" t="s">
        <v>865</v>
      </c>
      <c r="F2" s="3098"/>
      <c r="G2" s="2318"/>
      <c r="H2" s="2318"/>
      <c r="I2" s="2318"/>
      <c r="J2" s="2318"/>
      <c r="K2" s="2318"/>
      <c r="L2" s="2319"/>
      <c r="M2" s="2320"/>
      <c r="N2" s="2320"/>
      <c r="O2" s="2320"/>
      <c r="P2" s="1333"/>
      <c r="Q2" s="1333"/>
      <c r="R2" s="1333"/>
      <c r="S2" s="1333"/>
      <c r="T2" s="1333"/>
      <c r="U2" s="1333"/>
      <c r="V2" s="1333"/>
      <c r="W2" s="1333"/>
      <c r="X2" s="1333"/>
      <c r="Y2" s="1333"/>
      <c r="Z2" s="1333"/>
      <c r="AA2" s="1333"/>
      <c r="AB2" s="1333"/>
      <c r="AC2" s="1391"/>
    </row>
    <row r="3" spans="1:29" s="90" customFormat="1" ht="28.5" customHeight="1" thickBot="1">
      <c r="A3" s="87" t="s">
        <v>1108</v>
      </c>
      <c r="B3" s="951" t="e">
        <f ca="1">IF(C2="——",C43,ROUND(B2*10000/D3,0))</f>
        <v>#DIV/0!</v>
      </c>
      <c r="C3" s="142" t="s">
        <v>1109</v>
      </c>
      <c r="D3" s="742">
        <f>IF(D1="",'数据-汇总表'!E3,SUMIF('数据-汇总表'!$C19:$C33,D1,'数据-汇总表'!$E19:$E33))</f>
        <v>12736.12000000001</v>
      </c>
      <c r="E3" s="2318"/>
      <c r="F3" s="2317"/>
      <c r="G3" s="2318"/>
      <c r="H3" s="2318"/>
      <c r="I3" s="2318"/>
      <c r="J3" s="2318"/>
      <c r="K3" s="2321"/>
      <c r="L3" s="2319"/>
      <c r="M3" s="2320"/>
      <c r="N3" s="2320"/>
      <c r="O3" s="2320"/>
      <c r="P3" s="1333"/>
      <c r="Q3" s="1333"/>
      <c r="R3" s="1333"/>
      <c r="S3" s="1333"/>
      <c r="T3" s="1333"/>
      <c r="U3" s="1333"/>
      <c r="V3" s="1333"/>
      <c r="W3" s="1333"/>
      <c r="X3" s="1333"/>
      <c r="Y3" s="1333"/>
      <c r="Z3" s="1333"/>
      <c r="AA3" s="1333"/>
      <c r="AB3" s="1409"/>
      <c r="AC3" s="1391"/>
    </row>
    <row r="4" spans="1:29">
      <c r="A4" s="143" t="s">
        <v>1110</v>
      </c>
      <c r="B4" s="144"/>
      <c r="C4" s="3668" t="s">
        <v>1111</v>
      </c>
      <c r="D4" s="3669"/>
      <c r="E4" s="3670" t="s">
        <v>1112</v>
      </c>
      <c r="F4" s="3671"/>
      <c r="G4" s="3668" t="s">
        <v>1113</v>
      </c>
      <c r="H4" s="3669"/>
      <c r="I4" s="3668" t="s">
        <v>1114</v>
      </c>
      <c r="J4" s="3669"/>
      <c r="K4" s="187" t="s">
        <v>1115</v>
      </c>
      <c r="L4" s="2295"/>
      <c r="M4" s="2296"/>
      <c r="N4" s="2296"/>
      <c r="O4" s="2296"/>
      <c r="P4" s="3672" t="s">
        <v>1110</v>
      </c>
      <c r="Q4" s="3673"/>
      <c r="R4" s="3655" t="s">
        <v>1112</v>
      </c>
      <c r="S4" s="3656"/>
      <c r="T4" s="3655" t="s">
        <v>1113</v>
      </c>
      <c r="U4" s="3656"/>
      <c r="V4" s="3680" t="s">
        <v>1114</v>
      </c>
      <c r="W4" s="3680"/>
      <c r="X4" s="1339"/>
      <c r="Y4" s="3655" t="s">
        <v>1110</v>
      </c>
      <c r="Z4" s="3656"/>
      <c r="AA4" s="3650" t="s">
        <v>1112</v>
      </c>
      <c r="AB4" s="3651" t="s">
        <v>1113</v>
      </c>
      <c r="AC4" s="3650" t="s">
        <v>1114</v>
      </c>
    </row>
    <row r="5" spans="1:29">
      <c r="A5" s="146"/>
      <c r="B5" s="147"/>
      <c r="C5" s="3661" t="s">
        <v>1116</v>
      </c>
      <c r="D5" s="3662"/>
      <c r="E5" s="3659" t="s">
        <v>1117</v>
      </c>
      <c r="F5" s="3660"/>
      <c r="G5" s="3661" t="s">
        <v>1118</v>
      </c>
      <c r="H5" s="3662"/>
      <c r="I5" s="3661" t="s">
        <v>1119</v>
      </c>
      <c r="J5" s="3662"/>
      <c r="K5" s="187"/>
      <c r="L5" s="2295"/>
      <c r="M5" s="2296"/>
      <c r="N5" s="2296"/>
      <c r="O5" s="2296"/>
      <c r="P5" s="3674"/>
      <c r="Q5" s="3675"/>
      <c r="R5" s="3657"/>
      <c r="S5" s="3658"/>
      <c r="T5" s="3657"/>
      <c r="U5" s="3658"/>
      <c r="V5" s="3680"/>
      <c r="W5" s="3680"/>
      <c r="X5" s="1339"/>
      <c r="Y5" s="3657"/>
      <c r="Z5" s="3658"/>
      <c r="AA5" s="3651"/>
      <c r="AB5" s="3651"/>
      <c r="AC5" s="3651"/>
    </row>
    <row r="6" spans="1:29" ht="14.25" thickBot="1">
      <c r="A6" s="148"/>
      <c r="B6" s="149"/>
      <c r="C6" s="3663" t="s">
        <v>1120</v>
      </c>
      <c r="D6" s="3664"/>
      <c r="E6" s="3665" t="s">
        <v>1120</v>
      </c>
      <c r="F6" s="3666"/>
      <c r="G6" s="3663" t="s">
        <v>1120</v>
      </c>
      <c r="H6" s="3664"/>
      <c r="I6" s="3663" t="s">
        <v>1120</v>
      </c>
      <c r="J6" s="3664"/>
      <c r="K6" s="187" t="s">
        <v>1121</v>
      </c>
      <c r="L6" s="2295"/>
      <c r="M6" s="2296"/>
      <c r="N6" s="2296"/>
      <c r="O6" s="2296"/>
      <c r="P6" s="3676"/>
      <c r="Q6" s="3677"/>
      <c r="R6" s="3657"/>
      <c r="S6" s="3658"/>
      <c r="T6" s="3678"/>
      <c r="U6" s="3679"/>
      <c r="V6" s="3680"/>
      <c r="W6" s="3680"/>
      <c r="X6" s="1339"/>
      <c r="Y6" s="3678"/>
      <c r="Z6" s="3679"/>
      <c r="AA6" s="3652"/>
      <c r="AB6" s="3652"/>
      <c r="AC6" s="3652"/>
    </row>
    <row r="7" spans="1:29" s="40" customFormat="1" ht="15" thickBot="1">
      <c r="A7" s="1013" t="s">
        <v>1122</v>
      </c>
      <c r="B7" s="1014"/>
      <c r="C7" s="753">
        <f>'数据-取费表'!B2</f>
        <v>42986</v>
      </c>
      <c r="D7" s="754">
        <v>100</v>
      </c>
      <c r="E7" s="1016"/>
      <c r="F7" s="756">
        <f>SUMIF(52:52,YEAR(E7)&amp;"-"&amp;MONTH(E7),53:53)</f>
        <v>0</v>
      </c>
      <c r="G7" s="1016"/>
      <c r="H7" s="754">
        <f>SUMIF(52:52,YEAR(G7)&amp;"-"&amp;MONTH(G7),53:53)</f>
        <v>0</v>
      </c>
      <c r="I7" s="1016"/>
      <c r="J7" s="754">
        <f>SUMIF(52:52,YEAR(I7)&amp;"-"&amp;MONTH(I7),53:53)</f>
        <v>0</v>
      </c>
      <c r="K7" s="1018"/>
      <c r="L7" s="2297"/>
      <c r="M7" s="2259"/>
      <c r="N7" s="2259"/>
      <c r="O7" s="2259"/>
      <c r="P7" s="3653" t="s">
        <v>1122</v>
      </c>
      <c r="Q7" s="3681"/>
      <c r="R7" s="1341" t="s">
        <v>65</v>
      </c>
      <c r="S7" s="1342">
        <f t="shared" ref="S7:S15" si="0">F7</f>
        <v>0</v>
      </c>
      <c r="T7" s="1341" t="s">
        <v>65</v>
      </c>
      <c r="U7" s="1342">
        <f t="shared" ref="U7:U15" si="1">H7</f>
        <v>0</v>
      </c>
      <c r="V7" s="1341" t="s">
        <v>65</v>
      </c>
      <c r="W7" s="1342">
        <f t="shared" ref="W7:W15" si="2">J7</f>
        <v>0</v>
      </c>
      <c r="X7" s="287"/>
      <c r="Y7" s="3653" t="s">
        <v>1122</v>
      </c>
      <c r="Z7" s="3654"/>
      <c r="AA7" s="1343" t="e">
        <f>D7/F7</f>
        <v>#DIV/0!</v>
      </c>
      <c r="AB7" s="1343" t="e">
        <f>D7/H7</f>
        <v>#DIV/0!</v>
      </c>
      <c r="AC7" s="1343" t="e">
        <f>D7/J7</f>
        <v>#DIV/0!</v>
      </c>
    </row>
    <row r="8" spans="1:29" s="40" customFormat="1" ht="15" thickBot="1">
      <c r="A8" s="1013" t="s">
        <v>1123</v>
      </c>
      <c r="B8" s="1014"/>
      <c r="C8" s="1019" t="s">
        <v>155</v>
      </c>
      <c r="D8" s="754">
        <v>100</v>
      </c>
      <c r="E8" s="1019"/>
      <c r="F8" s="756">
        <f>SUMIF(55:55,E8,56:56)-SUMIF(55:55,C8,56:56)+100</f>
        <v>0</v>
      </c>
      <c r="G8" s="1019"/>
      <c r="H8" s="754">
        <f>SUMIF(55:55,G8,56:56)-SUMIF(55:55,C8,56:56)+100</f>
        <v>0</v>
      </c>
      <c r="I8" s="1019"/>
      <c r="J8" s="754">
        <f>SUMIF(55:55,I8,56:56)-SUMIF(55:55,C8,56:56)+100</f>
        <v>0</v>
      </c>
      <c r="K8" s="1018"/>
      <c r="L8" s="2297"/>
      <c r="M8" s="2259"/>
      <c r="N8" s="2259"/>
      <c r="O8" s="2259"/>
      <c r="P8" s="3653" t="s">
        <v>1018</v>
      </c>
      <c r="Q8" s="3654"/>
      <c r="R8" s="1341" t="s">
        <v>65</v>
      </c>
      <c r="S8" s="1342">
        <f t="shared" si="0"/>
        <v>0</v>
      </c>
      <c r="T8" s="1341" t="s">
        <v>65</v>
      </c>
      <c r="U8" s="1342">
        <f t="shared" si="1"/>
        <v>0</v>
      </c>
      <c r="V8" s="1341" t="s">
        <v>65</v>
      </c>
      <c r="W8" s="1342">
        <f t="shared" si="2"/>
        <v>0</v>
      </c>
      <c r="X8" s="287"/>
      <c r="Y8" s="3653" t="s">
        <v>1018</v>
      </c>
      <c r="Z8" s="3654"/>
      <c r="AA8" s="1343" t="e">
        <f t="shared" ref="AA8:AA40" si="3">D8/F8</f>
        <v>#DIV/0!</v>
      </c>
      <c r="AB8" s="1343" t="e">
        <f t="shared" ref="AB8:AB40" si="4">D8/H8</f>
        <v>#DIV/0!</v>
      </c>
      <c r="AC8" s="1343" t="e">
        <f t="shared" ref="AC8:AC40" si="5">D8/J8</f>
        <v>#DIV/0!</v>
      </c>
    </row>
    <row r="9" spans="1:29" s="40" customFormat="1" ht="14.25">
      <c r="A9" s="1020" t="s">
        <v>1019</v>
      </c>
      <c r="B9" s="62" t="s">
        <v>1020</v>
      </c>
      <c r="C9" s="1345"/>
      <c r="D9" s="425">
        <v>100</v>
      </c>
      <c r="E9" s="1347"/>
      <c r="F9" s="425">
        <f>SUMIF(57:57,E9,58:58)-SUMIF(57:57,C9,58:58)+100</f>
        <v>100</v>
      </c>
      <c r="G9" s="1346"/>
      <c r="H9" s="425">
        <f>SUMIF(57:57,G9,58:58)-SUMIF(57:57,C9,58:58)+100</f>
        <v>100</v>
      </c>
      <c r="I9" s="1346"/>
      <c r="J9" s="425">
        <f>SUMIF(57:57,I9,58:58)-SUMIF(57:57,C9,58:58)+100</f>
        <v>100</v>
      </c>
      <c r="K9" s="1018"/>
      <c r="L9" s="2297"/>
      <c r="M9" s="2259"/>
      <c r="N9" s="2259"/>
      <c r="O9" s="2338"/>
      <c r="P9" s="3685" t="s">
        <v>67</v>
      </c>
      <c r="Q9" s="7" t="str">
        <f t="shared" ref="Q9:Q15" si="6">B9</f>
        <v>用途</v>
      </c>
      <c r="R9" s="1341" t="s">
        <v>65</v>
      </c>
      <c r="S9" s="1342">
        <f t="shared" si="0"/>
        <v>100</v>
      </c>
      <c r="T9" s="1341" t="s">
        <v>65</v>
      </c>
      <c r="U9" s="1342">
        <f t="shared" si="1"/>
        <v>100</v>
      </c>
      <c r="V9" s="1341" t="s">
        <v>65</v>
      </c>
      <c r="W9" s="1342">
        <f t="shared" si="2"/>
        <v>100</v>
      </c>
      <c r="X9" s="287"/>
      <c r="Y9" s="3491"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8"/>
      <c r="F10" s="426">
        <f>SUMIF(59:59,E10,60:60)-SUMIF(59:59,C10,60:60)+100</f>
        <v>100</v>
      </c>
      <c r="G10" s="1349"/>
      <c r="H10" s="426">
        <f>SUMIF(59:59,G10,60:60)-SUMIF(59:59,C10,60:60)+100</f>
        <v>100</v>
      </c>
      <c r="I10" s="1348"/>
      <c r="J10" s="426">
        <f>SUMIF(59:59,I10,60:60)-SUMIF(59:59,C10,60:60)+100</f>
        <v>100</v>
      </c>
      <c r="K10" s="954"/>
      <c r="L10" s="2298"/>
      <c r="M10" s="2299"/>
      <c r="N10" s="2299"/>
      <c r="O10" s="2339"/>
      <c r="P10" s="3685"/>
      <c r="Q10" s="7" t="str">
        <f t="shared" si="6"/>
        <v>土地使用年限（年）</v>
      </c>
      <c r="R10" s="1341" t="s">
        <v>65</v>
      </c>
      <c r="S10" s="1342">
        <f t="shared" si="0"/>
        <v>100</v>
      </c>
      <c r="T10" s="1341" t="s">
        <v>65</v>
      </c>
      <c r="U10" s="1342">
        <f t="shared" si="1"/>
        <v>100</v>
      </c>
      <c r="V10" s="1341" t="s">
        <v>65</v>
      </c>
      <c r="W10" s="1342">
        <f t="shared" si="2"/>
        <v>100</v>
      </c>
      <c r="X10" s="287"/>
      <c r="Y10" s="3491"/>
      <c r="Z10" s="288" t="str">
        <f t="shared" si="7"/>
        <v>土地使用年限（年）</v>
      </c>
      <c r="AA10" s="1343">
        <f t="shared" si="3"/>
        <v>1</v>
      </c>
      <c r="AB10" s="1343">
        <f t="shared" si="4"/>
        <v>1</v>
      </c>
      <c r="AC10" s="1343">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4"/>
      <c r="L11" s="2300"/>
      <c r="M11" s="2296"/>
      <c r="N11" s="2296"/>
      <c r="O11" s="2340"/>
      <c r="P11" s="3685"/>
      <c r="Q11" s="7" t="str">
        <f t="shared" si="6"/>
        <v>容积率</v>
      </c>
      <c r="R11" s="1341" t="s">
        <v>65</v>
      </c>
      <c r="S11" s="1342" t="e">
        <f t="shared" si="0"/>
        <v>#N/A</v>
      </c>
      <c r="T11" s="1341" t="s">
        <v>65</v>
      </c>
      <c r="U11" s="1342" t="e">
        <f t="shared" si="1"/>
        <v>#N/A</v>
      </c>
      <c r="V11" s="1341" t="s">
        <v>65</v>
      </c>
      <c r="W11" s="1342" t="e">
        <f t="shared" si="2"/>
        <v>#N/A</v>
      </c>
      <c r="X11" s="287"/>
      <c r="Y11" s="3491"/>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93"/>
      <c r="F12" s="426">
        <f>SUMIF(64:64,E12,65:65)-SUMIF(64:64,C12,65:65)+100</f>
        <v>100</v>
      </c>
      <c r="G12" s="1410"/>
      <c r="H12" s="426">
        <f>SUMIF(64:64,G12,65:65)-SUMIF(64:64,C12,65:65)+100</f>
        <v>100</v>
      </c>
      <c r="I12" s="1357"/>
      <c r="J12" s="426">
        <f>SUMIF(64:64,I12,65:65)-SUMIF(64:64,C12,65:65)+100</f>
        <v>100</v>
      </c>
      <c r="K12" s="188"/>
      <c r="L12" s="2297"/>
      <c r="M12" s="2259"/>
      <c r="N12" s="2259"/>
      <c r="O12" s="2338"/>
      <c r="P12" s="3685"/>
      <c r="Q12" s="7">
        <f t="shared" si="6"/>
        <v>111</v>
      </c>
      <c r="R12" s="1341" t="s">
        <v>65</v>
      </c>
      <c r="S12" s="1342">
        <f t="shared" si="0"/>
        <v>100</v>
      </c>
      <c r="T12" s="1341" t="s">
        <v>65</v>
      </c>
      <c r="U12" s="1342">
        <f t="shared" si="1"/>
        <v>100</v>
      </c>
      <c r="V12" s="1341" t="s">
        <v>65</v>
      </c>
      <c r="W12" s="1342">
        <f t="shared" si="2"/>
        <v>100</v>
      </c>
      <c r="X12" s="287"/>
      <c r="Y12" s="3491"/>
      <c r="Z12" s="288">
        <f t="shared" si="7"/>
        <v>111</v>
      </c>
      <c r="AA12" s="1343">
        <f>D12/F12</f>
        <v>1</v>
      </c>
      <c r="AB12" s="1343">
        <f>D12/H12</f>
        <v>1</v>
      </c>
      <c r="AC12" s="1343">
        <f>D12/J12</f>
        <v>1</v>
      </c>
    </row>
    <row r="13" spans="1:29" ht="14.25">
      <c r="A13" s="151"/>
      <c r="B13" s="1030">
        <v>111</v>
      </c>
      <c r="C13" s="93"/>
      <c r="D13" s="778">
        <v>100</v>
      </c>
      <c r="E13" s="93"/>
      <c r="F13" s="426">
        <f>SUMIF(66:66,E13,67:67)-SUMIF(66:66,C13,67:67)+100</f>
        <v>100</v>
      </c>
      <c r="G13" s="1410"/>
      <c r="H13" s="778">
        <f>SUMIF(66:66,G13,67:67)-SUMIF(66:66,C13,67:67)+100</f>
        <v>100</v>
      </c>
      <c r="I13" s="1357"/>
      <c r="J13" s="778">
        <f>SUMIF(66:66,I13,67:67)-SUMIF(66:66,C13,67:67)+100</f>
        <v>100</v>
      </c>
      <c r="K13" s="188"/>
      <c r="L13" s="2301"/>
      <c r="M13" s="2296"/>
      <c r="N13" s="2296"/>
      <c r="O13" s="2340"/>
      <c r="P13" s="3685"/>
      <c r="Q13" s="7">
        <f t="shared" si="6"/>
        <v>111</v>
      </c>
      <c r="R13" s="1341" t="s">
        <v>65</v>
      </c>
      <c r="S13" s="1342">
        <f t="shared" si="0"/>
        <v>100</v>
      </c>
      <c r="T13" s="1341" t="s">
        <v>65</v>
      </c>
      <c r="U13" s="1342">
        <f t="shared" si="1"/>
        <v>100</v>
      </c>
      <c r="V13" s="1341" t="s">
        <v>65</v>
      </c>
      <c r="W13" s="1342">
        <f t="shared" si="2"/>
        <v>100</v>
      </c>
      <c r="X13" s="287"/>
      <c r="Y13" s="3491"/>
      <c r="Z13" s="288">
        <f t="shared" si="7"/>
        <v>111</v>
      </c>
      <c r="AA13" s="1343">
        <f t="shared" si="3"/>
        <v>1</v>
      </c>
      <c r="AB13" s="1343">
        <f t="shared" si="4"/>
        <v>1</v>
      </c>
      <c r="AC13" s="1343">
        <f t="shared" si="5"/>
        <v>1</v>
      </c>
    </row>
    <row r="14" spans="1:29" ht="15" thickBot="1">
      <c r="A14" s="154"/>
      <c r="B14" s="1031">
        <v>111</v>
      </c>
      <c r="C14" s="94"/>
      <c r="D14" s="781">
        <v>100</v>
      </c>
      <c r="E14" s="94"/>
      <c r="F14" s="781">
        <f>SUMIF(68:68,E14,69:69)-SUMIF(68:68,C14,69:69)+100</f>
        <v>100</v>
      </c>
      <c r="G14" s="1410"/>
      <c r="H14" s="781">
        <f>SUMIF(68:68,G14,69:69)-SUMIF(68:68,C14,69:69)+100</f>
        <v>100</v>
      </c>
      <c r="I14" s="1357"/>
      <c r="J14" s="781">
        <f>SUMIF(68:68,I14,69:69)-SUMIF(68:68,C14,69:69)+100</f>
        <v>100</v>
      </c>
      <c r="K14" s="188"/>
      <c r="L14" s="2301"/>
      <c r="M14" s="2296"/>
      <c r="N14" s="2296"/>
      <c r="O14" s="2340"/>
      <c r="P14" s="3685"/>
      <c r="Q14" s="7">
        <f t="shared" si="6"/>
        <v>111</v>
      </c>
      <c r="R14" s="1341" t="s">
        <v>65</v>
      </c>
      <c r="S14" s="1342">
        <f t="shared" si="0"/>
        <v>100</v>
      </c>
      <c r="T14" s="1341" t="s">
        <v>65</v>
      </c>
      <c r="U14" s="1342">
        <f t="shared" si="1"/>
        <v>100</v>
      </c>
      <c r="V14" s="1341" t="s">
        <v>65</v>
      </c>
      <c r="W14" s="1342">
        <f t="shared" si="2"/>
        <v>100</v>
      </c>
      <c r="X14" s="287"/>
      <c r="Y14" s="3491"/>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6"/>
      <c r="L15" s="2301"/>
      <c r="M15" s="2296"/>
      <c r="N15" s="2296"/>
      <c r="O15" s="2340"/>
      <c r="P15" s="3687" t="s">
        <v>69</v>
      </c>
      <c r="Q15" s="1350" t="str">
        <f t="shared" si="6"/>
        <v>产业集聚程度</v>
      </c>
      <c r="R15" s="1351" t="s">
        <v>65</v>
      </c>
      <c r="S15" s="1352">
        <f t="shared" si="0"/>
        <v>100</v>
      </c>
      <c r="T15" s="1351" t="s">
        <v>65</v>
      </c>
      <c r="U15" s="1352">
        <f t="shared" si="1"/>
        <v>100</v>
      </c>
      <c r="V15" s="1351" t="s">
        <v>65</v>
      </c>
      <c r="W15" s="1352">
        <f t="shared" si="2"/>
        <v>100</v>
      </c>
      <c r="X15" s="1339"/>
      <c r="Y15" s="3687" t="s">
        <v>69</v>
      </c>
      <c r="Z15" s="1353" t="str">
        <f t="shared" si="7"/>
        <v>产业集聚程度</v>
      </c>
      <c r="AA15" s="1354">
        <f t="shared" si="3"/>
        <v>1</v>
      </c>
      <c r="AB15" s="1354">
        <f t="shared" si="4"/>
        <v>1</v>
      </c>
      <c r="AC15" s="1354">
        <f t="shared" si="5"/>
        <v>1</v>
      </c>
    </row>
    <row r="16" spans="1:29" ht="14.25">
      <c r="A16" s="151"/>
      <c r="B16" s="156"/>
      <c r="C16" s="97"/>
      <c r="D16" s="791"/>
      <c r="E16" s="97"/>
      <c r="F16" s="792"/>
      <c r="G16" s="97"/>
      <c r="H16" s="793"/>
      <c r="I16" s="97"/>
      <c r="J16" s="791"/>
      <c r="K16" s="189"/>
      <c r="L16" s="2301"/>
      <c r="M16" s="2296"/>
      <c r="N16" s="2296"/>
      <c r="O16" s="2340"/>
      <c r="P16" s="3688"/>
      <c r="Q16" s="1350"/>
      <c r="R16" s="1351"/>
      <c r="S16" s="1352"/>
      <c r="T16" s="1351"/>
      <c r="U16" s="1352"/>
      <c r="V16" s="1351"/>
      <c r="W16" s="1352"/>
      <c r="X16" s="1339"/>
      <c r="Y16" s="3688"/>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6"/>
      <c r="L17" s="2301"/>
      <c r="M17" s="2296"/>
      <c r="N17" s="2296"/>
      <c r="O17" s="2340"/>
      <c r="P17" s="3688"/>
      <c r="Q17" s="1350" t="str">
        <f>B17</f>
        <v>交通便捷度</v>
      </c>
      <c r="R17" s="1351" t="s">
        <v>65</v>
      </c>
      <c r="S17" s="1352">
        <f>F17</f>
        <v>100</v>
      </c>
      <c r="T17" s="1351" t="s">
        <v>65</v>
      </c>
      <c r="U17" s="1352">
        <f>H17</f>
        <v>100</v>
      </c>
      <c r="V17" s="1351" t="s">
        <v>65</v>
      </c>
      <c r="W17" s="1352">
        <f>J17</f>
        <v>100</v>
      </c>
      <c r="X17" s="1339"/>
      <c r="Y17" s="3688"/>
      <c r="Z17" s="1353" t="str">
        <f>Q17</f>
        <v>交通便捷度</v>
      </c>
      <c r="AA17" s="1354">
        <f t="shared" si="3"/>
        <v>1</v>
      </c>
      <c r="AB17" s="1354">
        <f t="shared" si="4"/>
        <v>1</v>
      </c>
      <c r="AC17" s="1354">
        <f t="shared" si="5"/>
        <v>1</v>
      </c>
    </row>
    <row r="18" spans="1:29" ht="14.25">
      <c r="A18" s="151"/>
      <c r="B18" s="1039"/>
      <c r="C18" s="102"/>
      <c r="D18" s="793"/>
      <c r="E18" s="103"/>
      <c r="F18" s="796"/>
      <c r="G18" s="104"/>
      <c r="H18" s="791"/>
      <c r="I18" s="103"/>
      <c r="J18" s="791"/>
      <c r="K18" s="189"/>
      <c r="L18" s="2301"/>
      <c r="M18" s="2296"/>
      <c r="N18" s="2296"/>
      <c r="O18" s="2340"/>
      <c r="P18" s="3688"/>
      <c r="Q18" s="1350"/>
      <c r="R18" s="1351"/>
      <c r="S18" s="1352"/>
      <c r="T18" s="1351"/>
      <c r="U18" s="1352"/>
      <c r="V18" s="1351"/>
      <c r="W18" s="1352"/>
      <c r="X18" s="1339"/>
      <c r="Y18" s="3688"/>
      <c r="Z18" s="1353"/>
      <c r="AA18" s="1354">
        <v>1</v>
      </c>
      <c r="AB18" s="1354">
        <v>1</v>
      </c>
      <c r="AC18" s="1354">
        <v>1</v>
      </c>
    </row>
    <row r="19" spans="1:29" ht="40.5">
      <c r="A19" s="151"/>
      <c r="B19" s="1355" t="s">
        <v>2658</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6"/>
      <c r="L19" s="2301"/>
      <c r="M19" s="2296"/>
      <c r="N19" s="2296"/>
      <c r="O19" s="2340"/>
      <c r="P19" s="3688"/>
      <c r="Q19" s="1350" t="str">
        <f>B19</f>
        <v>公共配套设施</v>
      </c>
      <c r="R19" s="1351" t="s">
        <v>65</v>
      </c>
      <c r="S19" s="1352">
        <f>F19</f>
        <v>100</v>
      </c>
      <c r="T19" s="1351" t="s">
        <v>65</v>
      </c>
      <c r="U19" s="1352">
        <f>H19</f>
        <v>100</v>
      </c>
      <c r="V19" s="1351" t="s">
        <v>65</v>
      </c>
      <c r="W19" s="1352">
        <f>J19</f>
        <v>100</v>
      </c>
      <c r="X19" s="1339"/>
      <c r="Y19" s="3688"/>
      <c r="Z19" s="1353" t="str">
        <f>Q19</f>
        <v>公共配套设施</v>
      </c>
      <c r="AA19" s="1354">
        <f t="shared" si="3"/>
        <v>1</v>
      </c>
      <c r="AB19" s="1354">
        <f t="shared" si="4"/>
        <v>1</v>
      </c>
      <c r="AC19" s="1354">
        <f t="shared" si="5"/>
        <v>1</v>
      </c>
    </row>
    <row r="20" spans="1:29" ht="14.25">
      <c r="A20" s="151"/>
      <c r="B20" s="1039"/>
      <c r="C20" s="97"/>
      <c r="D20" s="791"/>
      <c r="E20" s="98"/>
      <c r="F20" s="792"/>
      <c r="G20" s="99"/>
      <c r="H20" s="791"/>
      <c r="I20" s="98"/>
      <c r="J20" s="791"/>
      <c r="K20" s="189"/>
      <c r="L20" s="2301"/>
      <c r="M20" s="2296"/>
      <c r="N20" s="2296"/>
      <c r="O20" s="2340"/>
      <c r="P20" s="3688"/>
      <c r="Q20" s="1350"/>
      <c r="R20" s="1351"/>
      <c r="S20" s="1352"/>
      <c r="T20" s="1351"/>
      <c r="U20" s="1352"/>
      <c r="V20" s="1351"/>
      <c r="W20" s="1352"/>
      <c r="X20" s="1339"/>
      <c r="Y20" s="3688"/>
      <c r="Z20" s="1353"/>
      <c r="AA20" s="1354">
        <v>1</v>
      </c>
      <c r="AB20" s="1354">
        <v>1</v>
      </c>
      <c r="AC20" s="1354">
        <v>1</v>
      </c>
    </row>
    <row r="21" spans="1:29" ht="40.5">
      <c r="A21" s="151"/>
      <c r="B21" s="1411" t="s">
        <v>2661</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6"/>
      <c r="L21" s="2301"/>
      <c r="M21" s="2296"/>
      <c r="N21" s="2296"/>
      <c r="O21" s="2340"/>
      <c r="P21" s="3688"/>
      <c r="Q21" s="2746" t="str">
        <f>B21</f>
        <v>基础设施水平</v>
      </c>
      <c r="R21" s="1351" t="s">
        <v>65</v>
      </c>
      <c r="S21" s="1352">
        <f>F21</f>
        <v>100</v>
      </c>
      <c r="T21" s="1351" t="s">
        <v>65</v>
      </c>
      <c r="U21" s="1352">
        <f>H21</f>
        <v>100</v>
      </c>
      <c r="V21" s="1351" t="s">
        <v>65</v>
      </c>
      <c r="W21" s="1352">
        <f>J21</f>
        <v>100</v>
      </c>
      <c r="X21" s="2748"/>
      <c r="Y21" s="3688"/>
      <c r="Z21" s="2747"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66"/>
      <c r="L22" s="2301"/>
      <c r="M22" s="2296"/>
      <c r="N22" s="2296"/>
      <c r="O22" s="2340"/>
      <c r="P22" s="3688"/>
      <c r="Q22" s="2746"/>
      <c r="R22" s="1351"/>
      <c r="S22" s="1352"/>
      <c r="T22" s="1351"/>
      <c r="U22" s="1352"/>
      <c r="V22" s="1351"/>
      <c r="W22" s="1352"/>
      <c r="X22" s="2748"/>
      <c r="Y22" s="3688"/>
      <c r="Z22" s="2747"/>
      <c r="AA22" s="1354">
        <v>1</v>
      </c>
      <c r="AB22" s="1354">
        <v>1</v>
      </c>
      <c r="AC22" s="1354">
        <v>1</v>
      </c>
    </row>
    <row r="23" spans="1:29" ht="81">
      <c r="A23" s="151"/>
      <c r="B23" s="1355"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6"/>
      <c r="L23" s="2301"/>
      <c r="M23" s="2296"/>
      <c r="N23" s="2296"/>
      <c r="O23" s="2340"/>
      <c r="P23" s="3688"/>
      <c r="Q23" s="1350" t="str">
        <f>B23</f>
        <v>环境质量</v>
      </c>
      <c r="R23" s="1351" t="s">
        <v>65</v>
      </c>
      <c r="S23" s="1352">
        <f>F23</f>
        <v>100</v>
      </c>
      <c r="T23" s="1351" t="s">
        <v>65</v>
      </c>
      <c r="U23" s="1352">
        <f>H23</f>
        <v>100</v>
      </c>
      <c r="V23" s="1351" t="s">
        <v>65</v>
      </c>
      <c r="W23" s="1352">
        <f>J23</f>
        <v>100</v>
      </c>
      <c r="X23" s="1339"/>
      <c r="Y23" s="3688"/>
      <c r="Z23" s="1353" t="str">
        <f>Q23</f>
        <v>环境质量</v>
      </c>
      <c r="AA23" s="1354">
        <f t="shared" si="3"/>
        <v>1</v>
      </c>
      <c r="AB23" s="1354">
        <f t="shared" si="4"/>
        <v>1</v>
      </c>
      <c r="AC23" s="1354">
        <f t="shared" si="5"/>
        <v>1</v>
      </c>
    </row>
    <row r="24" spans="1:29" ht="14.25">
      <c r="A24" s="151"/>
      <c r="B24" s="1411"/>
      <c r="C24" s="97"/>
      <c r="D24" s="791"/>
      <c r="E24" s="98"/>
      <c r="F24" s="792"/>
      <c r="G24" s="99"/>
      <c r="H24" s="791"/>
      <c r="I24" s="98"/>
      <c r="J24" s="791"/>
      <c r="K24" s="189"/>
      <c r="L24" s="2301"/>
      <c r="M24" s="2296"/>
      <c r="N24" s="2296"/>
      <c r="O24" s="2340"/>
      <c r="P24" s="3688"/>
      <c r="Q24" s="1350"/>
      <c r="R24" s="1351"/>
      <c r="S24" s="1352"/>
      <c r="T24" s="1351"/>
      <c r="U24" s="1352"/>
      <c r="V24" s="1351"/>
      <c r="W24" s="1352"/>
      <c r="X24" s="1339"/>
      <c r="Y24" s="3688"/>
      <c r="Z24" s="1353"/>
      <c r="AA24" s="1354">
        <v>1</v>
      </c>
      <c r="AB24" s="1354">
        <v>1</v>
      </c>
      <c r="AC24" s="1354">
        <v>1</v>
      </c>
    </row>
    <row r="25" spans="1:29" ht="14.25">
      <c r="A25" s="146"/>
      <c r="B25" s="1356">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88"/>
      <c r="Q25" s="1350">
        <f>B25</f>
        <v>111</v>
      </c>
      <c r="R25" s="1351" t="s">
        <v>65</v>
      </c>
      <c r="S25" s="1352">
        <f>F25</f>
        <v>100</v>
      </c>
      <c r="T25" s="1351" t="s">
        <v>65</v>
      </c>
      <c r="U25" s="1352">
        <f>H25</f>
        <v>100</v>
      </c>
      <c r="V25" s="1351" t="s">
        <v>65</v>
      </c>
      <c r="W25" s="1352">
        <f>J25</f>
        <v>100</v>
      </c>
      <c r="X25" s="1339"/>
      <c r="Y25" s="3688"/>
      <c r="Z25" s="1353">
        <f>Q25</f>
        <v>111</v>
      </c>
      <c r="AA25" s="1354">
        <f t="shared" si="3"/>
        <v>1</v>
      </c>
      <c r="AB25" s="1354">
        <f t="shared" si="4"/>
        <v>1</v>
      </c>
      <c r="AC25" s="1354">
        <f t="shared" si="5"/>
        <v>1</v>
      </c>
    </row>
    <row r="26" spans="1:29" ht="14.25">
      <c r="A26" s="151"/>
      <c r="B26" s="1356">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88"/>
      <c r="Q26" s="1350">
        <f t="shared" ref="Q26:Q40" si="11">B26</f>
        <v>111</v>
      </c>
      <c r="R26" s="1351" t="s">
        <v>65</v>
      </c>
      <c r="S26" s="1352">
        <f>F26</f>
        <v>100</v>
      </c>
      <c r="T26" s="1351" t="s">
        <v>65</v>
      </c>
      <c r="U26" s="1352">
        <f>H26</f>
        <v>100</v>
      </c>
      <c r="V26" s="1351" t="s">
        <v>65</v>
      </c>
      <c r="W26" s="1352">
        <f>J26</f>
        <v>100</v>
      </c>
      <c r="X26" s="1339"/>
      <c r="Y26" s="3688"/>
      <c r="Z26" s="1353">
        <f>Q26</f>
        <v>111</v>
      </c>
      <c r="AA26" s="1354">
        <f t="shared" si="3"/>
        <v>1</v>
      </c>
      <c r="AB26" s="1354">
        <f t="shared" si="4"/>
        <v>1</v>
      </c>
      <c r="AC26" s="1354">
        <f t="shared" si="5"/>
        <v>1</v>
      </c>
    </row>
    <row r="27" spans="1:29" s="40" customFormat="1" ht="14.25">
      <c r="A27" s="1029"/>
      <c r="B27" s="1356">
        <v>111</v>
      </c>
      <c r="C27" s="93">
        <v>111</v>
      </c>
      <c r="D27" s="805">
        <v>100</v>
      </c>
      <c r="E27" s="93"/>
      <c r="F27" s="806">
        <f>SUMIF(84:84,E27,85:85)-SUMIF(84:84,C27,85:85)+100</f>
        <v>100</v>
      </c>
      <c r="G27" s="93"/>
      <c r="H27" s="805">
        <f>SUMIF(84:84,G27,85:85)-SUMIF(84:84,C27,85:85)+100</f>
        <v>100</v>
      </c>
      <c r="I27" s="93"/>
      <c r="J27" s="805">
        <f>SUMIF(84:84,I27,85:85)-SUMIF(84:84,C27,85:85)+100</f>
        <v>100</v>
      </c>
      <c r="K27" s="188"/>
      <c r="L27" s="2297"/>
      <c r="M27" s="2259"/>
      <c r="N27" s="2259"/>
      <c r="O27" s="2338"/>
      <c r="P27" s="3688"/>
      <c r="Q27" s="7">
        <f t="shared" si="11"/>
        <v>111</v>
      </c>
      <c r="R27" s="1341" t="s">
        <v>65</v>
      </c>
      <c r="S27" s="1342">
        <f>F27</f>
        <v>100</v>
      </c>
      <c r="T27" s="1341" t="s">
        <v>65</v>
      </c>
      <c r="U27" s="1342">
        <f>H27</f>
        <v>100</v>
      </c>
      <c r="V27" s="1341" t="s">
        <v>65</v>
      </c>
      <c r="W27" s="1342">
        <f>J27</f>
        <v>100</v>
      </c>
      <c r="X27" s="287"/>
      <c r="Y27" s="3688"/>
      <c r="Z27" s="288">
        <f>Q27</f>
        <v>111</v>
      </c>
      <c r="AA27" s="1354">
        <f>D27/F27</f>
        <v>1</v>
      </c>
      <c r="AB27" s="1354">
        <f>D27/H27</f>
        <v>1</v>
      </c>
      <c r="AC27" s="1354">
        <f>D27/J27</f>
        <v>1</v>
      </c>
    </row>
    <row r="28" spans="1:29" ht="15" thickBot="1">
      <c r="A28" s="154"/>
      <c r="B28" s="1356">
        <v>111</v>
      </c>
      <c r="C28" s="94">
        <v>111</v>
      </c>
      <c r="D28" s="781">
        <v>100</v>
      </c>
      <c r="E28" s="93"/>
      <c r="F28" s="782">
        <f>SUMIF(86:86,E28,87:87)-SUMIF(86:86,C28,87:87)+100</f>
        <v>100</v>
      </c>
      <c r="G28" s="1357"/>
      <c r="H28" s="781">
        <f>SUMIF(86:86,G28,87:87)-SUMIF(86:86,C28,87:87)+100</f>
        <v>100</v>
      </c>
      <c r="I28" s="1357"/>
      <c r="J28" s="781">
        <f>SUMIF(86:86,I28,87:87)-SUMIF(86:86,C28,87:87)+100</f>
        <v>100</v>
      </c>
      <c r="K28" s="188"/>
      <c r="L28" s="2301"/>
      <c r="M28" s="2296"/>
      <c r="N28" s="2296"/>
      <c r="O28" s="2340"/>
      <c r="P28" s="3688"/>
      <c r="Q28" s="1350">
        <f t="shared" si="11"/>
        <v>111</v>
      </c>
      <c r="R28" s="1351" t="s">
        <v>65</v>
      </c>
      <c r="S28" s="1352">
        <f t="shared" ref="S28:S40" si="12">F28</f>
        <v>100</v>
      </c>
      <c r="T28" s="1351" t="s">
        <v>65</v>
      </c>
      <c r="U28" s="1352">
        <f t="shared" ref="U28:U40" si="13">H28</f>
        <v>100</v>
      </c>
      <c r="V28" s="1351" t="s">
        <v>65</v>
      </c>
      <c r="W28" s="1352">
        <f t="shared" ref="W28:W40" si="14">J28</f>
        <v>100</v>
      </c>
      <c r="X28" s="1339"/>
      <c r="Y28" s="3688"/>
      <c r="Z28" s="1353">
        <f t="shared" ref="Z28:Z40" si="15">Q28</f>
        <v>111</v>
      </c>
      <c r="AA28" s="1354">
        <f t="shared" si="3"/>
        <v>1</v>
      </c>
      <c r="AB28" s="1354">
        <f t="shared" si="4"/>
        <v>1</v>
      </c>
      <c r="AC28" s="1354">
        <f t="shared" si="5"/>
        <v>1</v>
      </c>
    </row>
    <row r="29" spans="1:29" ht="15">
      <c r="A29" s="160" t="s">
        <v>70</v>
      </c>
      <c r="B29" s="62" t="s">
        <v>146</v>
      </c>
      <c r="C29" s="197"/>
      <c r="D29" s="809">
        <v>100</v>
      </c>
      <c r="E29" s="197"/>
      <c r="F29" s="804">
        <f>SUMIF(88:88,E29,89:89)-SUMIF(88:88,C29,89:89)+100</f>
        <v>100</v>
      </c>
      <c r="G29" s="197"/>
      <c r="H29" s="778">
        <f>SUMIF(88:88,G29,89:89)-SUMIF(88:88,C29,89:89)+100</f>
        <v>100</v>
      </c>
      <c r="I29" s="197"/>
      <c r="J29" s="809">
        <f>SUMIF(88:88,I29,89:89)-SUMIF(88:88,C29,89:89)+100</f>
        <v>100</v>
      </c>
      <c r="K29" s="954"/>
      <c r="L29" s="2301"/>
      <c r="M29" s="2296"/>
      <c r="N29" s="2296"/>
      <c r="O29" s="2340"/>
      <c r="P29" s="3711" t="s">
        <v>1124</v>
      </c>
      <c r="Q29" s="1350" t="str">
        <f t="shared" si="11"/>
        <v>建筑类型</v>
      </c>
      <c r="R29" s="1351" t="s">
        <v>65</v>
      </c>
      <c r="S29" s="1352">
        <f t="shared" si="12"/>
        <v>100</v>
      </c>
      <c r="T29" s="1351" t="s">
        <v>65</v>
      </c>
      <c r="U29" s="1352">
        <f t="shared" si="13"/>
        <v>100</v>
      </c>
      <c r="V29" s="1351" t="s">
        <v>65</v>
      </c>
      <c r="W29" s="1352">
        <f t="shared" si="14"/>
        <v>100</v>
      </c>
      <c r="X29" s="1339"/>
      <c r="Y29" s="3692" t="s">
        <v>1124</v>
      </c>
      <c r="Z29" s="1353" t="str">
        <f t="shared" si="15"/>
        <v>建筑类型</v>
      </c>
      <c r="AA29" s="1354">
        <f t="shared" si="3"/>
        <v>1</v>
      </c>
      <c r="AB29" s="1354">
        <f t="shared" si="4"/>
        <v>1</v>
      </c>
      <c r="AC29" s="1354">
        <f t="shared" si="5"/>
        <v>1</v>
      </c>
    </row>
    <row r="30" spans="1:29" s="1038" customFormat="1" ht="14.25">
      <c r="A30" s="1042"/>
      <c r="B30" s="12" t="s">
        <v>76</v>
      </c>
      <c r="C30" s="811"/>
      <c r="D30" s="426">
        <v>100</v>
      </c>
      <c r="E30" s="773"/>
      <c r="F30" s="768" t="e">
        <f>LOOKUP(E30,91:91,92:92)-LOOKUP(C30,91:91,92:92)+100</f>
        <v>#N/A</v>
      </c>
      <c r="G30" s="772"/>
      <c r="H30" s="426" t="e">
        <f>LOOKUP(G30,91:91,92:92)-LOOKUP(C30,91:91,92:92)+100</f>
        <v>#N/A</v>
      </c>
      <c r="I30" s="772"/>
      <c r="J30" s="426" t="e">
        <f>LOOKUP(I30,91:91,92:92)-LOOKUP(C30,91:91,92:92)+100</f>
        <v>#N/A</v>
      </c>
      <c r="K30" s="188"/>
      <c r="L30" s="2300"/>
      <c r="M30" s="2302"/>
      <c r="N30" s="2302"/>
      <c r="O30" s="2341"/>
      <c r="P30" s="3692"/>
      <c r="Q30" s="1358" t="str">
        <f t="shared" si="11"/>
        <v>项目建筑规模</v>
      </c>
      <c r="R30" s="1359" t="s">
        <v>65</v>
      </c>
      <c r="S30" s="1360" t="e">
        <f t="shared" si="12"/>
        <v>#N/A</v>
      </c>
      <c r="T30" s="1359" t="s">
        <v>65</v>
      </c>
      <c r="U30" s="1360" t="e">
        <f t="shared" si="13"/>
        <v>#N/A</v>
      </c>
      <c r="V30" s="1359" t="s">
        <v>65</v>
      </c>
      <c r="W30" s="1360" t="e">
        <f t="shared" si="14"/>
        <v>#N/A</v>
      </c>
      <c r="X30" s="1361"/>
      <c r="Y30" s="3692"/>
      <c r="Z30" s="1362" t="str">
        <f t="shared" si="15"/>
        <v>项目建筑规模</v>
      </c>
      <c r="AA30" s="1354" t="e">
        <f t="shared" si="3"/>
        <v>#N/A</v>
      </c>
      <c r="AB30" s="1354" t="e">
        <f t="shared" si="4"/>
        <v>#N/A</v>
      </c>
      <c r="AC30" s="1354"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4"/>
      <c r="L31" s="2301"/>
      <c r="M31" s="2296"/>
      <c r="N31" s="2296"/>
      <c r="O31" s="2340"/>
      <c r="P31" s="3692"/>
      <c r="Q31" s="1350" t="str">
        <f t="shared" si="11"/>
        <v>建筑结构</v>
      </c>
      <c r="R31" s="1351" t="s">
        <v>65</v>
      </c>
      <c r="S31" s="1352">
        <f t="shared" si="12"/>
        <v>100</v>
      </c>
      <c r="T31" s="1351" t="s">
        <v>65</v>
      </c>
      <c r="U31" s="1352">
        <f t="shared" si="13"/>
        <v>100</v>
      </c>
      <c r="V31" s="1351" t="s">
        <v>65</v>
      </c>
      <c r="W31" s="1352">
        <f t="shared" si="14"/>
        <v>100</v>
      </c>
      <c r="X31" s="1339"/>
      <c r="Y31" s="3692"/>
      <c r="Z31" s="1353" t="str">
        <f t="shared" si="15"/>
        <v>建筑结构</v>
      </c>
      <c r="AA31" s="1354">
        <f t="shared" si="3"/>
        <v>1</v>
      </c>
      <c r="AB31" s="1354">
        <f t="shared" si="4"/>
        <v>1</v>
      </c>
      <c r="AC31" s="1354">
        <f t="shared" si="5"/>
        <v>1</v>
      </c>
    </row>
    <row r="32" spans="1:29" ht="15">
      <c r="A32" s="161"/>
      <c r="B32" s="12" t="s">
        <v>1026</v>
      </c>
      <c r="C32" s="107"/>
      <c r="D32" s="778">
        <v>100</v>
      </c>
      <c r="E32" s="107"/>
      <c r="F32" s="804">
        <f>SUMIF(95:95,E32,96:96)-SUMIF(95:95,C32,96:96)+100</f>
        <v>100</v>
      </c>
      <c r="G32" s="107"/>
      <c r="H32" s="778">
        <f>SUMIF(95:95,G32,96:96)-SUMIF(95:95,C32,96:96)+100</f>
        <v>100</v>
      </c>
      <c r="I32" s="107"/>
      <c r="J32" s="778">
        <f>SUMIF(95:95,I32,96:96)-SUMIF(95:95,C32,96:96)+100</f>
        <v>100</v>
      </c>
      <c r="K32" s="954"/>
      <c r="L32" s="2301"/>
      <c r="M32" s="2296"/>
      <c r="N32" s="2296"/>
      <c r="O32" s="2340"/>
      <c r="P32" s="3692"/>
      <c r="Q32" s="1350" t="str">
        <f t="shared" si="11"/>
        <v>公共部分装修</v>
      </c>
      <c r="R32" s="1351" t="s">
        <v>65</v>
      </c>
      <c r="S32" s="1352">
        <f t="shared" si="12"/>
        <v>100</v>
      </c>
      <c r="T32" s="1351" t="s">
        <v>65</v>
      </c>
      <c r="U32" s="1352">
        <f t="shared" si="13"/>
        <v>100</v>
      </c>
      <c r="V32" s="1351" t="s">
        <v>65</v>
      </c>
      <c r="W32" s="1352">
        <f t="shared" si="14"/>
        <v>100</v>
      </c>
      <c r="X32" s="1339"/>
      <c r="Y32" s="3692"/>
      <c r="Z32" s="1353" t="str">
        <f t="shared" si="15"/>
        <v>公共部分装修</v>
      </c>
      <c r="AA32" s="1354">
        <f t="shared" si="3"/>
        <v>1</v>
      </c>
      <c r="AB32" s="1354">
        <f t="shared" si="4"/>
        <v>1</v>
      </c>
      <c r="AC32" s="1354">
        <f t="shared" si="5"/>
        <v>1</v>
      </c>
    </row>
    <row r="33" spans="1:29" ht="15">
      <c r="A33" s="161"/>
      <c r="B33" s="12" t="s">
        <v>1027</v>
      </c>
      <c r="C33" s="811"/>
      <c r="D33" s="778">
        <v>100</v>
      </c>
      <c r="E33" s="816"/>
      <c r="F33" s="804" t="e">
        <f>LOOKUP(E33,98:98,99:99)-LOOKUP(C33,98:98,99:99)+100</f>
        <v>#N/A</v>
      </c>
      <c r="G33" s="816"/>
      <c r="H33" s="804" t="e">
        <f>LOOKUP(G33,98:98,99:99)-LOOKUP(C33,98:98,99:99)+100</f>
        <v>#N/A</v>
      </c>
      <c r="I33" s="816"/>
      <c r="J33" s="778" t="e">
        <f>LOOKUP(I33,98:98,99:99)-LOOKUP(C33,98:98,99:99)+100</f>
        <v>#N/A</v>
      </c>
      <c r="K33" s="954"/>
      <c r="L33" s="2301"/>
      <c r="M33" s="2296"/>
      <c r="N33" s="2296"/>
      <c r="O33" s="2340"/>
      <c r="P33" s="3692"/>
      <c r="Q33" s="1350" t="str">
        <f t="shared" si="11"/>
        <v>成新度</v>
      </c>
      <c r="R33" s="1351" t="s">
        <v>65</v>
      </c>
      <c r="S33" s="1352" t="e">
        <f t="shared" si="12"/>
        <v>#N/A</v>
      </c>
      <c r="T33" s="1351" t="s">
        <v>65</v>
      </c>
      <c r="U33" s="1352" t="e">
        <f t="shared" si="13"/>
        <v>#N/A</v>
      </c>
      <c r="V33" s="1351" t="s">
        <v>65</v>
      </c>
      <c r="W33" s="1352" t="e">
        <f t="shared" si="14"/>
        <v>#N/A</v>
      </c>
      <c r="X33" s="1339"/>
      <c r="Y33" s="3692"/>
      <c r="Z33" s="1353" t="str">
        <f t="shared" si="15"/>
        <v>成新度</v>
      </c>
      <c r="AA33" s="1354" t="e">
        <f t="shared" si="3"/>
        <v>#N/A</v>
      </c>
      <c r="AB33" s="1354" t="e">
        <f t="shared" si="4"/>
        <v>#N/A</v>
      </c>
      <c r="AC33" s="1354" t="e">
        <f t="shared" si="5"/>
        <v>#N/A</v>
      </c>
    </row>
    <row r="34" spans="1:29" s="40" customFormat="1" ht="15">
      <c r="A34" s="1040"/>
      <c r="B34" s="12" t="s">
        <v>1125</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4"/>
      <c r="L34" s="2297"/>
      <c r="M34" s="2259"/>
      <c r="N34" s="2259"/>
      <c r="O34" s="2338"/>
      <c r="P34" s="3692"/>
      <c r="Q34" s="7" t="str">
        <f t="shared" si="11"/>
        <v>物业管理</v>
      </c>
      <c r="R34" s="1341" t="s">
        <v>65</v>
      </c>
      <c r="S34" s="1342">
        <f t="shared" si="12"/>
        <v>100</v>
      </c>
      <c r="T34" s="1341" t="s">
        <v>65</v>
      </c>
      <c r="U34" s="1342">
        <f t="shared" si="13"/>
        <v>100</v>
      </c>
      <c r="V34" s="1341" t="s">
        <v>65</v>
      </c>
      <c r="W34" s="1342">
        <f t="shared" si="14"/>
        <v>100</v>
      </c>
      <c r="X34" s="287"/>
      <c r="Y34" s="3692"/>
      <c r="Z34" s="288" t="str">
        <f t="shared" si="15"/>
        <v>物业管理</v>
      </c>
      <c r="AA34" s="1343">
        <f t="shared" si="3"/>
        <v>1</v>
      </c>
      <c r="AB34" s="1343">
        <f t="shared" si="4"/>
        <v>1</v>
      </c>
      <c r="AC34" s="1343">
        <f t="shared" si="5"/>
        <v>1</v>
      </c>
    </row>
    <row r="35" spans="1:29" ht="15">
      <c r="A35" s="161"/>
      <c r="B35" s="12" t="s">
        <v>2651</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4"/>
      <c r="L35" s="2301"/>
      <c r="M35" s="2296"/>
      <c r="N35" s="2296"/>
      <c r="O35" s="2340"/>
      <c r="P35" s="3692" t="s">
        <v>70</v>
      </c>
      <c r="Q35" s="1350" t="str">
        <f t="shared" si="11"/>
        <v>市政基础设施</v>
      </c>
      <c r="R35" s="1351" t="s">
        <v>65</v>
      </c>
      <c r="S35" s="1352">
        <f t="shared" si="12"/>
        <v>100</v>
      </c>
      <c r="T35" s="1351" t="s">
        <v>65</v>
      </c>
      <c r="U35" s="1352">
        <f t="shared" si="13"/>
        <v>100</v>
      </c>
      <c r="V35" s="1351" t="s">
        <v>65</v>
      </c>
      <c r="W35" s="1352">
        <f t="shared" si="14"/>
        <v>100</v>
      </c>
      <c r="X35" s="1339"/>
      <c r="Y35" s="3692" t="s">
        <v>70</v>
      </c>
      <c r="Z35" s="1353" t="str">
        <f t="shared" si="15"/>
        <v>市政基础设施</v>
      </c>
      <c r="AA35" s="1354">
        <f t="shared" si="3"/>
        <v>1</v>
      </c>
      <c r="AB35" s="1354">
        <f t="shared" si="4"/>
        <v>1</v>
      </c>
      <c r="AC35" s="1354">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4"/>
      <c r="L36" s="2301"/>
      <c r="M36" s="2296"/>
      <c r="N36" s="2296"/>
      <c r="O36" s="2340"/>
      <c r="P36" s="3692"/>
      <c r="Q36" s="1350" t="str">
        <f t="shared" si="11"/>
        <v>内部装修</v>
      </c>
      <c r="R36" s="1351" t="s">
        <v>65</v>
      </c>
      <c r="S36" s="1352">
        <f t="shared" si="12"/>
        <v>100</v>
      </c>
      <c r="T36" s="1351" t="s">
        <v>65</v>
      </c>
      <c r="U36" s="1352">
        <f t="shared" si="13"/>
        <v>100</v>
      </c>
      <c r="V36" s="1351" t="s">
        <v>65</v>
      </c>
      <c r="W36" s="1352">
        <f t="shared" si="14"/>
        <v>100</v>
      </c>
      <c r="X36" s="1339"/>
      <c r="Y36" s="3692"/>
      <c r="Z36" s="1353" t="str">
        <f t="shared" si="15"/>
        <v>内部装修</v>
      </c>
      <c r="AA36" s="1354">
        <f t="shared" si="3"/>
        <v>1</v>
      </c>
      <c r="AB36" s="1354">
        <f t="shared" si="4"/>
        <v>1</v>
      </c>
      <c r="AC36" s="1354">
        <f t="shared" si="5"/>
        <v>1</v>
      </c>
    </row>
    <row r="37" spans="1:29" ht="15">
      <c r="A37" s="161"/>
      <c r="B37" s="12" t="s">
        <v>1126</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4"/>
      <c r="L37" s="2301"/>
      <c r="M37" s="2296"/>
      <c r="N37" s="2296"/>
      <c r="O37" s="2340"/>
      <c r="P37" s="3692"/>
      <c r="Q37" s="1350" t="str">
        <f t="shared" si="11"/>
        <v>内部装修状况</v>
      </c>
      <c r="R37" s="1351" t="s">
        <v>65</v>
      </c>
      <c r="S37" s="1352">
        <f t="shared" si="12"/>
        <v>100</v>
      </c>
      <c r="T37" s="1351" t="s">
        <v>65</v>
      </c>
      <c r="U37" s="1352">
        <f t="shared" si="13"/>
        <v>100</v>
      </c>
      <c r="V37" s="1351" t="s">
        <v>65</v>
      </c>
      <c r="W37" s="1352">
        <f t="shared" si="14"/>
        <v>100</v>
      </c>
      <c r="X37" s="1339"/>
      <c r="Y37" s="3692"/>
      <c r="Z37" s="1353" t="str">
        <f t="shared" si="15"/>
        <v>内部装修状况</v>
      </c>
      <c r="AA37" s="1354">
        <f t="shared" si="3"/>
        <v>1</v>
      </c>
      <c r="AB37" s="1354">
        <f t="shared" si="4"/>
        <v>1</v>
      </c>
      <c r="AC37" s="1354">
        <f t="shared" si="5"/>
        <v>1</v>
      </c>
    </row>
    <row r="38" spans="1:29" s="1038" customFormat="1" ht="14.25">
      <c r="A38" s="1042"/>
      <c r="B38" s="1356">
        <v>111</v>
      </c>
      <c r="C38" s="1357"/>
      <c r="D38" s="778">
        <v>100</v>
      </c>
      <c r="E38" s="93"/>
      <c r="F38" s="804">
        <f>SUMIF(108:108,E38,109:109)-SUMIF(108:108,C38,109:109)+100</f>
        <v>100</v>
      </c>
      <c r="G38" s="1357"/>
      <c r="H38" s="778">
        <f>SUMIF(108:108,G38,109:109)-SUMIF(108:108,C38,109:109)+100</f>
        <v>100</v>
      </c>
      <c r="I38" s="1357"/>
      <c r="J38" s="778">
        <f>SUMIF(108:108,I38,109:1038)-SUMIF(108:108,C38,109:109)+100</f>
        <v>100</v>
      </c>
      <c r="K38" s="188"/>
      <c r="L38" s="2300"/>
      <c r="M38" s="2302"/>
      <c r="N38" s="2302"/>
      <c r="O38" s="2341"/>
      <c r="P38" s="3692"/>
      <c r="Q38" s="1358">
        <f t="shared" si="11"/>
        <v>111</v>
      </c>
      <c r="R38" s="1359" t="s">
        <v>65</v>
      </c>
      <c r="S38" s="1360">
        <f t="shared" si="12"/>
        <v>100</v>
      </c>
      <c r="T38" s="1359" t="s">
        <v>65</v>
      </c>
      <c r="U38" s="1360">
        <f t="shared" si="13"/>
        <v>100</v>
      </c>
      <c r="V38" s="1359" t="s">
        <v>65</v>
      </c>
      <c r="W38" s="1360">
        <f t="shared" si="14"/>
        <v>100</v>
      </c>
      <c r="X38" s="1361"/>
      <c r="Y38" s="3692"/>
      <c r="Z38" s="1362">
        <f t="shared" si="15"/>
        <v>111</v>
      </c>
      <c r="AA38" s="1354">
        <f t="shared" si="3"/>
        <v>1</v>
      </c>
      <c r="AB38" s="1354">
        <f t="shared" si="4"/>
        <v>1</v>
      </c>
      <c r="AC38" s="1354">
        <f t="shared" si="5"/>
        <v>1</v>
      </c>
    </row>
    <row r="39" spans="1:29" ht="14.25">
      <c r="A39" s="161"/>
      <c r="B39" s="1356">
        <v>111</v>
      </c>
      <c r="C39" s="1357"/>
      <c r="D39" s="778">
        <v>100</v>
      </c>
      <c r="E39" s="93"/>
      <c r="F39" s="804">
        <f>SUMIF(110:110,E39,111:111)-SUMIF(110:110,C39,111:111)+100</f>
        <v>100</v>
      </c>
      <c r="G39" s="1357"/>
      <c r="H39" s="778">
        <f>SUMIF(110:110,G39,111:111)-SUMIF(110:110,C39,111:111)+100</f>
        <v>100</v>
      </c>
      <c r="I39" s="1357"/>
      <c r="J39" s="778">
        <f>SUMIF(110:110,I39,111:111)-SUMIF(110:110,C39,111:111)+100</f>
        <v>100</v>
      </c>
      <c r="K39" s="188"/>
      <c r="L39" s="2301"/>
      <c r="M39" s="2296"/>
      <c r="N39" s="2296"/>
      <c r="O39" s="2340"/>
      <c r="P39" s="3692"/>
      <c r="Q39" s="1350">
        <f t="shared" si="11"/>
        <v>111</v>
      </c>
      <c r="R39" s="1351" t="s">
        <v>65</v>
      </c>
      <c r="S39" s="1352">
        <f t="shared" si="12"/>
        <v>100</v>
      </c>
      <c r="T39" s="1351" t="s">
        <v>65</v>
      </c>
      <c r="U39" s="1352">
        <f t="shared" si="13"/>
        <v>100</v>
      </c>
      <c r="V39" s="1351" t="s">
        <v>65</v>
      </c>
      <c r="W39" s="1352">
        <f t="shared" si="14"/>
        <v>100</v>
      </c>
      <c r="X39" s="1339"/>
      <c r="Y39" s="3692"/>
      <c r="Z39" s="1353">
        <f t="shared" si="15"/>
        <v>111</v>
      </c>
      <c r="AA39" s="1354">
        <f t="shared" si="3"/>
        <v>1</v>
      </c>
      <c r="AB39" s="1354">
        <f t="shared" si="4"/>
        <v>1</v>
      </c>
      <c r="AC39" s="1354">
        <f t="shared" si="5"/>
        <v>1</v>
      </c>
    </row>
    <row r="40" spans="1:29" ht="15" thickBot="1">
      <c r="A40" s="162"/>
      <c r="B40" s="1031">
        <v>111</v>
      </c>
      <c r="C40" s="94"/>
      <c r="D40" s="781">
        <v>100</v>
      </c>
      <c r="E40" s="93"/>
      <c r="F40" s="782">
        <f>SUMIF(112:112,E40,113:113)-SUMIF(112:112,C40,113:113)+100</f>
        <v>100</v>
      </c>
      <c r="G40" s="1357"/>
      <c r="H40" s="781">
        <f>SUMIF(112:112,G40,113:113)-SUMIF(112:112,C40,113:113)+100</f>
        <v>100</v>
      </c>
      <c r="I40" s="1357"/>
      <c r="J40" s="781">
        <f>SUMIF(112:112,I40,113:113)-SUMIF(112:112,C40,113:113)+100</f>
        <v>100</v>
      </c>
      <c r="K40" s="188"/>
      <c r="L40" s="2301"/>
      <c r="M40" s="2296"/>
      <c r="N40" s="2296"/>
      <c r="O40" s="2340"/>
      <c r="P40" s="3693"/>
      <c r="Q40" s="1350">
        <f t="shared" si="11"/>
        <v>111</v>
      </c>
      <c r="R40" s="1351" t="s">
        <v>65</v>
      </c>
      <c r="S40" s="1352">
        <f t="shared" si="12"/>
        <v>100</v>
      </c>
      <c r="T40" s="1351" t="s">
        <v>65</v>
      </c>
      <c r="U40" s="1352">
        <f t="shared" si="13"/>
        <v>100</v>
      </c>
      <c r="V40" s="1351" t="s">
        <v>65</v>
      </c>
      <c r="W40" s="1352">
        <f t="shared" si="14"/>
        <v>100</v>
      </c>
      <c r="X40" s="1339"/>
      <c r="Y40" s="3693"/>
      <c r="Z40" s="1353">
        <f t="shared" si="15"/>
        <v>111</v>
      </c>
      <c r="AA40" s="1354">
        <f t="shared" si="3"/>
        <v>1</v>
      </c>
      <c r="AB40" s="1354">
        <f t="shared" si="4"/>
        <v>1</v>
      </c>
      <c r="AC40" s="1354">
        <f t="shared" si="5"/>
        <v>1</v>
      </c>
    </row>
    <row r="41" spans="1:29" ht="15">
      <c r="A41" s="163" t="s">
        <v>102</v>
      </c>
      <c r="B41" s="164"/>
      <c r="C41" s="2833" t="s">
        <v>23</v>
      </c>
      <c r="D41" s="2834"/>
      <c r="E41" s="2835"/>
      <c r="F41" s="2836"/>
      <c r="G41" s="2837"/>
      <c r="H41" s="2838"/>
      <c r="I41" s="2835"/>
      <c r="J41" s="2838"/>
      <c r="K41" s="1392"/>
      <c r="L41" s="2303"/>
      <c r="M41" s="2304"/>
      <c r="N41" s="2296"/>
      <c r="O41" s="2304"/>
      <c r="P41" s="3685" t="str">
        <f>A41</f>
        <v>成交单价（元/平方米）</v>
      </c>
      <c r="Q41" s="3685"/>
      <c r="R41" s="3686">
        <f>E41</f>
        <v>0</v>
      </c>
      <c r="S41" s="3686"/>
      <c r="T41" s="3686">
        <f>G41</f>
        <v>0</v>
      </c>
      <c r="U41" s="3686"/>
      <c r="V41" s="3686">
        <f>I41</f>
        <v>0</v>
      </c>
      <c r="W41" s="3686"/>
      <c r="X41" s="1364"/>
      <c r="Y41" s="1365"/>
      <c r="Z41" s="1364"/>
      <c r="AA41" s="1364"/>
      <c r="AB41" s="1364"/>
      <c r="AC41" s="1364"/>
    </row>
    <row r="42" spans="1:29" ht="15.75" thickBot="1">
      <c r="A42" s="165" t="s">
        <v>100</v>
      </c>
      <c r="B42" s="166"/>
      <c r="C42" s="2839" t="e">
        <f>R43</f>
        <v>#DIV/0!</v>
      </c>
      <c r="D42" s="2840"/>
      <c r="E42" s="2841" t="e">
        <f>R42</f>
        <v>#DIV/0!</v>
      </c>
      <c r="F42" s="2841"/>
      <c r="G42" s="2839" t="e">
        <f>T42</f>
        <v>#DIV/0!</v>
      </c>
      <c r="H42" s="2840"/>
      <c r="I42" s="2841" t="e">
        <f>V42</f>
        <v>#DIV/0!</v>
      </c>
      <c r="J42" s="2840"/>
      <c r="K42" s="1393"/>
      <c r="L42" s="2303"/>
      <c r="M42" s="2304"/>
      <c r="N42" s="2296"/>
      <c r="O42" s="2304"/>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1364"/>
      <c r="Y42" s="1364"/>
      <c r="Z42" s="1364"/>
      <c r="AA42" s="1364"/>
      <c r="AB42" s="1364"/>
      <c r="AC42" s="1364"/>
    </row>
    <row r="43" spans="1:29" ht="15.75" thickBot="1">
      <c r="A43" s="115" t="s">
        <v>3013</v>
      </c>
      <c r="B43" s="116"/>
      <c r="C43" s="2843" t="e">
        <f>R43</f>
        <v>#DIV/0!</v>
      </c>
      <c r="D43" s="2843"/>
      <c r="E43" s="2843"/>
      <c r="F43" s="2843"/>
      <c r="G43" s="2843"/>
      <c r="H43" s="2843"/>
      <c r="I43" s="2843"/>
      <c r="J43" s="2843"/>
      <c r="K43" s="1394"/>
      <c r="L43" s="2303"/>
      <c r="M43" s="2304"/>
      <c r="N43" s="2304"/>
      <c r="O43" s="2304"/>
      <c r="P43" s="3682" t="str">
        <f>A43</f>
        <v>估价对象XX用房的比较价值（楼面单价，元/平方米）</v>
      </c>
      <c r="Q43" s="3683"/>
      <c r="R43" s="3684" t="e">
        <f>IF(F1="售价",ROUND(AVERAGE(R42:V42),0),ROUND(AVERAGE(R42:V42),1))</f>
        <v>#DIV/0!</v>
      </c>
      <c r="S43" s="3684"/>
      <c r="T43" s="3684"/>
      <c r="U43" s="3684"/>
      <c r="V43" s="3684"/>
      <c r="W43" s="3684"/>
      <c r="X43" s="1364"/>
      <c r="Y43" s="1364"/>
      <c r="Z43" s="1364"/>
      <c r="AA43" s="1364"/>
      <c r="AB43" s="1364"/>
      <c r="AC43" s="1364"/>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1" t="s">
        <v>127</v>
      </c>
      <c r="B51" s="1364"/>
      <c r="C51" s="1372"/>
      <c r="D51" s="1372"/>
      <c r="E51" s="1372"/>
      <c r="F51" s="1373"/>
      <c r="G51" s="1373"/>
      <c r="H51" s="1372"/>
      <c r="I51" s="1372"/>
      <c r="J51" s="1372"/>
      <c r="K51" s="2310"/>
      <c r="L51" s="2311"/>
      <c r="M51" s="2312"/>
      <c r="N51" s="2312"/>
      <c r="O51" s="2312"/>
      <c r="P51" s="120"/>
      <c r="Q51" s="121"/>
    </row>
    <row r="52" spans="1:17" s="850" customFormat="1" ht="15">
      <c r="A52" s="847" t="s">
        <v>2790</v>
      </c>
      <c r="B52" s="848"/>
      <c r="C52" s="3040" t="str">
        <f>YEAR(C7)&amp;"-"&amp;MONTH(C7)</f>
        <v>2017-9</v>
      </c>
      <c r="D52" s="3041">
        <f>EDATE(C52,-1)</f>
        <v>42948</v>
      </c>
      <c r="E52" s="3041">
        <f t="shared" ref="E52:O52" si="16">EDATE(D52,-1)</f>
        <v>42917</v>
      </c>
      <c r="F52" s="3041">
        <f t="shared" si="16"/>
        <v>42887</v>
      </c>
      <c r="G52" s="3041">
        <f t="shared" si="16"/>
        <v>42856</v>
      </c>
      <c r="H52" s="3041">
        <f t="shared" si="16"/>
        <v>42826</v>
      </c>
      <c r="I52" s="3041">
        <f t="shared" si="16"/>
        <v>42795</v>
      </c>
      <c r="J52" s="3041">
        <f t="shared" si="16"/>
        <v>42767</v>
      </c>
      <c r="K52" s="3041">
        <f t="shared" si="16"/>
        <v>42736</v>
      </c>
      <c r="L52" s="3041">
        <f t="shared" si="16"/>
        <v>42705</v>
      </c>
      <c r="M52" s="3041">
        <f t="shared" si="16"/>
        <v>42675</v>
      </c>
      <c r="N52" s="3041">
        <f t="shared" si="16"/>
        <v>42644</v>
      </c>
      <c r="O52" s="3041">
        <f t="shared" si="16"/>
        <v>42614</v>
      </c>
      <c r="P52" s="849"/>
    </row>
    <row r="53" spans="1:17" s="40" customFormat="1" ht="14.25">
      <c r="A53" s="1044"/>
      <c r="B53" s="1045"/>
      <c r="C53" s="3038">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1006</v>
      </c>
      <c r="D59" s="881" t="s">
        <v>1007</v>
      </c>
      <c r="E59" s="881" t="s">
        <v>1008</v>
      </c>
      <c r="F59" s="881" t="s">
        <v>1009</v>
      </c>
      <c r="G59" s="881" t="s">
        <v>1010</v>
      </c>
      <c r="H59" s="881" t="s">
        <v>1011</v>
      </c>
      <c r="I59" s="881" t="s">
        <v>1012</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1"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158</v>
      </c>
      <c r="C70" s="915" t="s">
        <v>1013</v>
      </c>
      <c r="D70" s="915" t="s">
        <v>1014</v>
      </c>
      <c r="E70" s="915" t="s">
        <v>1015</v>
      </c>
      <c r="F70" s="915" t="s">
        <v>1016</v>
      </c>
      <c r="G70" s="915" t="s">
        <v>1017</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1013</v>
      </c>
      <c r="D72" s="920" t="s">
        <v>1014</v>
      </c>
      <c r="E72" s="920" t="s">
        <v>1015</v>
      </c>
      <c r="F72" s="920" t="s">
        <v>1016</v>
      </c>
      <c r="G72" s="920" t="s">
        <v>1017</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2633</v>
      </c>
      <c r="C74" s="920" t="s">
        <v>1013</v>
      </c>
      <c r="D74" s="920" t="s">
        <v>1014</v>
      </c>
      <c r="E74" s="920" t="s">
        <v>1015</v>
      </c>
      <c r="F74" s="920" t="s">
        <v>1016</v>
      </c>
      <c r="G74" s="920" t="s">
        <v>1017</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2661</v>
      </c>
      <c r="C76" s="213" t="s">
        <v>2653</v>
      </c>
      <c r="D76" s="213" t="s">
        <v>2654</v>
      </c>
      <c r="E76" s="213" t="s">
        <v>2655</v>
      </c>
      <c r="F76" s="213" t="s">
        <v>2656</v>
      </c>
      <c r="G76" s="213" t="s">
        <v>2657</v>
      </c>
      <c r="H76" s="881"/>
      <c r="I76" s="881"/>
      <c r="J76" s="881"/>
      <c r="K76" s="881"/>
      <c r="L76" s="881"/>
      <c r="M76" s="2765"/>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3"/>
      <c r="N77" s="1389"/>
      <c r="O77" s="1389"/>
      <c r="P77" s="1"/>
      <c r="Q77" s="121"/>
    </row>
    <row r="78" spans="1:17" ht="15" thickTop="1">
      <c r="A78" s="173"/>
      <c r="B78" s="1053" t="s">
        <v>149</v>
      </c>
      <c r="C78" s="920" t="s">
        <v>1013</v>
      </c>
      <c r="D78" s="920" t="s">
        <v>1014</v>
      </c>
      <c r="E78" s="920" t="s">
        <v>1015</v>
      </c>
      <c r="F78" s="920" t="s">
        <v>1016</v>
      </c>
      <c r="G78" s="920" t="s">
        <v>1017</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2635</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1013</v>
      </c>
      <c r="D106" s="920" t="s">
        <v>1014</v>
      </c>
      <c r="E106" s="920" t="s">
        <v>1015</v>
      </c>
      <c r="F106" s="920" t="s">
        <v>1016</v>
      </c>
      <c r="G106" s="920" t="s">
        <v>1017</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45" t="s">
        <v>2006</v>
      </c>
    </row>
    <row r="2" spans="1:1">
      <c r="A2" s="1946"/>
    </row>
    <row r="3" spans="1:1" ht="18.75">
      <c r="A3" s="2886" t="str">
        <f>项目基本情况!B5&amp;"："</f>
        <v>：</v>
      </c>
    </row>
    <row r="4" spans="1:1" ht="37.5">
      <c r="A4" s="1947" t="str">
        <f>"受贵公司委托，我公司对"&amp;项目基本情况!S1&amp;"进行了预评估。"</f>
        <v>受贵公司委托，我公司对北京市怀柔区杨宋镇凤翔二园1号1-7幢房地产抵押价值进行了预评估。</v>
      </c>
    </row>
    <row r="5" spans="1:1" ht="18.75">
      <c r="A5" s="1948" t="s">
        <v>2007</v>
      </c>
    </row>
    <row r="6" spans="1:1" ht="18.75">
      <c r="A6" s="3051" t="s">
        <v>2866</v>
      </c>
    </row>
    <row r="7" spans="1:1" ht="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杨宋镇凤翔二园1号1-7幢房地产，为星美今晟影视城管理有限公司所有。根据《国有土地使用证》[京怀国用（2014出）第00037号]，估价对象（分摊）出让国有建设用地使用权面积为82323.28平方米，建筑面积为12736.12平方米。</v>
      </c>
    </row>
    <row r="8" spans="1:1" ht="56.25">
      <c r="A8" s="1991" t="s">
        <v>2860</v>
      </c>
    </row>
    <row r="9" spans="1:1" ht="18.75">
      <c r="A9" s="3051" t="s">
        <v>2867</v>
      </c>
    </row>
    <row r="10" spans="1:1" ht="93.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杨宋镇凤翔二园1号1-7幢房地产,为星美今晟影视城管理有限公司开发建设的综合项目（商业、办公），该项目尚在开发建设中。根据《国有土地使用证》[京怀国用（2014出）第00037号]，估价对象（分摊）出让国有建设用地使用权面积为82323.28平方米，规划建筑面积为12736.12平方米。</v>
      </c>
    </row>
    <row r="11" spans="1:1" ht="75">
      <c r="A11" s="1991" t="s">
        <v>2901</v>
      </c>
    </row>
    <row r="12" spans="1:1" ht="18.75">
      <c r="A12" s="1948" t="s">
        <v>2008</v>
      </c>
    </row>
    <row r="13" spans="1:1" ht="38.25" customHeight="1">
      <c r="A13" s="1949" t="str">
        <f>IF(项目基本情况!B8="抵押",IF(项目基本情况!B5=项目基本情况!B6,定义!C51,定义!B51),定义!D51)</f>
        <v>拟使用北京市怀柔区杨宋镇凤翔二园1号1-7幢房地产作为抵押担保物，向办理贷款手续。特委托北京康正宏基房地产评估有限公司对上述抵押物进行评估。本次评估为确定房地产抵押贷款额度提供参考依据而评估房地产抵押价值。</v>
      </c>
    </row>
    <row r="14" spans="1:1" ht="18.75">
      <c r="A14" s="1950" t="s">
        <v>2009</v>
      </c>
    </row>
    <row r="15" spans="1:1" ht="18.75">
      <c r="A15" s="1951" t="str">
        <f>TEXT(项目基本情况!D3,"yyyy年m月d日;;")&amp;IF(项目基本情况!D3=项目基本情况!B3,"（评估专业人员实地查勘之日）","")</f>
        <v>2017年9月8日（评估专业人员实地查勘之日）</v>
      </c>
    </row>
    <row r="16" spans="1:1" ht="18.75">
      <c r="A16" s="1950" t="s">
        <v>2011</v>
      </c>
    </row>
    <row r="17" spans="1:1" ht="75">
      <c r="A17" s="1947" t="s">
        <v>2861</v>
      </c>
    </row>
    <row r="18" spans="1:1" ht="7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8日，估价对象规划用途为，土地取得方式为出让，出让国有建设用地使用权剩余土地使用年限为34.31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34.31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2026</v>
      </c>
    </row>
    <row r="24" spans="1:1" ht="18.75">
      <c r="A24" s="1954" t="str">
        <f>"本次评估采用的主估价方法为"&amp;结果表!K4&amp;"和"&amp;结果表!L4&amp;"。"</f>
        <v>本次评估采用的主估价方法为成本法和收益法。</v>
      </c>
    </row>
    <row r="25" spans="1:1" ht="18.75">
      <c r="A25" s="1954"/>
    </row>
    <row r="26" spans="1:1" ht="18.75">
      <c r="A26" s="2083" t="s">
        <v>2106</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7" customWidth="1"/>
    <col min="12" max="12" width="12.25" style="838"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387</v>
      </c>
      <c r="B1" s="3120"/>
      <c r="C1" s="3121" t="s">
        <v>443</v>
      </c>
      <c r="D1" s="3122"/>
      <c r="E1" s="3123"/>
      <c r="F1" s="3104"/>
      <c r="G1" s="3124" t="s">
        <v>444</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445</v>
      </c>
      <c r="B2" s="2844" t="e">
        <f ca="1">IF(C2="——",IF(B37="元/平方米",ROUND(C39*D3/10000,0),ROUND(F3*C39/10000,0)),IF(B37="元/平方米",ROUND(C39*D3/10000,0),ROUND(F3*C39/10000,0))-D2)</f>
        <v>#DIV/0!</v>
      </c>
      <c r="C2" s="3096"/>
      <c r="D2" s="2342" t="e">
        <f ca="1">SUMIF(INDIRECT("'"&amp;F2&amp;"'"&amp;"!A:A"),"承租人权益价值",INDIRECT("'"&amp;F2&amp;"'"&amp;"!c:c"))</f>
        <v>#REF!</v>
      </c>
      <c r="E2" s="3097" t="s">
        <v>865</v>
      </c>
      <c r="F2" s="3098"/>
      <c r="G2" s="2343"/>
      <c r="H2" s="2343"/>
      <c r="I2" s="2343"/>
      <c r="J2" s="2343"/>
      <c r="K2" s="2345"/>
      <c r="L2" s="2346"/>
      <c r="M2" s="2347"/>
      <c r="N2" s="2347"/>
      <c r="O2" s="2347"/>
      <c r="P2" s="2845"/>
      <c r="Q2" s="1315"/>
      <c r="R2" s="1315"/>
      <c r="S2" s="1315"/>
      <c r="T2" s="1315"/>
      <c r="U2" s="1315"/>
      <c r="V2" s="1315"/>
      <c r="W2" s="1315"/>
      <c r="X2" s="1315"/>
      <c r="Y2" s="1315"/>
      <c r="Z2" s="1315"/>
      <c r="AA2" s="1315"/>
      <c r="AB2" s="1315"/>
      <c r="AC2" s="1316"/>
    </row>
    <row r="3" spans="1:29" s="741" customFormat="1" ht="28.5" customHeight="1" thickBot="1">
      <c r="A3" s="579" t="s">
        <v>446</v>
      </c>
      <c r="B3" s="951" t="e">
        <f ca="1">IF(AND(C2="——",B37="元/平方米"),C39,ROUND(B2*10000/D3,0))</f>
        <v>#DIV/0!</v>
      </c>
      <c r="C3" s="743" t="s">
        <v>447</v>
      </c>
      <c r="D3" s="742">
        <f>SUMIF('数据-汇总表'!$C19:$C33,D1,'数据-汇总表'!$E19:$E33)</f>
        <v>0</v>
      </c>
      <c r="E3" s="743" t="s">
        <v>2129</v>
      </c>
      <c r="F3" s="742">
        <f>SUMIF('数据-取费表'!A5:A15,D1,'数据-取费表'!AH5:AH15)</f>
        <v>0</v>
      </c>
      <c r="G3" s="2343"/>
      <c r="H3" s="2343"/>
      <c r="I3" s="2343"/>
      <c r="J3" s="2343"/>
      <c r="K3" s="2345"/>
      <c r="L3" s="2346"/>
      <c r="M3" s="2347"/>
      <c r="N3" s="2347"/>
      <c r="O3" s="2347"/>
      <c r="P3" s="2845"/>
      <c r="Q3" s="1315"/>
      <c r="R3" s="1315"/>
      <c r="S3" s="1315"/>
      <c r="T3" s="1315"/>
      <c r="U3" s="1315"/>
      <c r="V3" s="1315"/>
      <c r="W3" s="1315"/>
      <c r="X3" s="1315"/>
      <c r="Y3" s="1315"/>
      <c r="Z3" s="1315"/>
      <c r="AA3" s="1315"/>
      <c r="AB3" s="1408"/>
      <c r="AC3" s="1398"/>
    </row>
    <row r="4" spans="1:29" ht="15">
      <c r="A4" s="744" t="s">
        <v>448</v>
      </c>
      <c r="B4" s="745"/>
      <c r="C4" s="3730" t="s">
        <v>449</v>
      </c>
      <c r="D4" s="3731"/>
      <c r="E4" s="3732" t="s">
        <v>450</v>
      </c>
      <c r="F4" s="3733"/>
      <c r="G4" s="3730" t="s">
        <v>451</v>
      </c>
      <c r="H4" s="3731"/>
      <c r="I4" s="3730" t="s">
        <v>452</v>
      </c>
      <c r="J4" s="3731"/>
      <c r="K4" s="952" t="s">
        <v>453</v>
      </c>
      <c r="L4" s="2348"/>
      <c r="M4" s="2349"/>
      <c r="N4" s="2349"/>
      <c r="O4" s="2349"/>
      <c r="P4" s="3734" t="s">
        <v>454</v>
      </c>
      <c r="Q4" s="3735"/>
      <c r="R4" s="3717" t="s">
        <v>450</v>
      </c>
      <c r="S4" s="3718"/>
      <c r="T4" s="3717" t="s">
        <v>451</v>
      </c>
      <c r="U4" s="3718"/>
      <c r="V4" s="3742" t="s">
        <v>452</v>
      </c>
      <c r="W4" s="3742"/>
      <c r="X4" s="2830"/>
      <c r="Y4" s="3717" t="s">
        <v>454</v>
      </c>
      <c r="Z4" s="3718"/>
      <c r="AA4" s="3712" t="s">
        <v>450</v>
      </c>
      <c r="AB4" s="3713" t="s">
        <v>451</v>
      </c>
      <c r="AC4" s="3712" t="s">
        <v>452</v>
      </c>
    </row>
    <row r="5" spans="1:29" ht="15">
      <c r="A5" s="747"/>
      <c r="B5" s="748"/>
      <c r="C5" s="3723" t="s">
        <v>3014</v>
      </c>
      <c r="D5" s="3724"/>
      <c r="E5" s="3721" t="s">
        <v>3015</v>
      </c>
      <c r="F5" s="3722"/>
      <c r="G5" s="3723" t="s">
        <v>3016</v>
      </c>
      <c r="H5" s="3724"/>
      <c r="I5" s="3723" t="s">
        <v>3017</v>
      </c>
      <c r="J5" s="3724"/>
      <c r="K5" s="952"/>
      <c r="L5" s="2348"/>
      <c r="M5" s="2349"/>
      <c r="N5" s="2349"/>
      <c r="O5" s="2349"/>
      <c r="P5" s="3736"/>
      <c r="Q5" s="3737"/>
      <c r="R5" s="3719"/>
      <c r="S5" s="3720"/>
      <c r="T5" s="3719"/>
      <c r="U5" s="3720"/>
      <c r="V5" s="3742"/>
      <c r="W5" s="3742"/>
      <c r="X5" s="2830"/>
      <c r="Y5" s="3719"/>
      <c r="Z5" s="3720"/>
      <c r="AA5" s="3713"/>
      <c r="AB5" s="3713"/>
      <c r="AC5" s="3713"/>
    </row>
    <row r="6" spans="1:29" ht="15.75" thickBot="1">
      <c r="A6" s="749"/>
      <c r="B6" s="750"/>
      <c r="C6" s="3725" t="s">
        <v>3018</v>
      </c>
      <c r="D6" s="3726"/>
      <c r="E6" s="3727" t="s">
        <v>3018</v>
      </c>
      <c r="F6" s="3728"/>
      <c r="G6" s="3725" t="s">
        <v>3018</v>
      </c>
      <c r="H6" s="3726"/>
      <c r="I6" s="3725" t="s">
        <v>3018</v>
      </c>
      <c r="J6" s="3726"/>
      <c r="K6" s="952" t="s">
        <v>396</v>
      </c>
      <c r="L6" s="2348"/>
      <c r="M6" s="2349"/>
      <c r="N6" s="2349"/>
      <c r="O6" s="2349"/>
      <c r="P6" s="3738"/>
      <c r="Q6" s="3739"/>
      <c r="R6" s="3719"/>
      <c r="S6" s="3720"/>
      <c r="T6" s="3740"/>
      <c r="U6" s="3741"/>
      <c r="V6" s="3742"/>
      <c r="W6" s="3742"/>
      <c r="X6" s="2830"/>
      <c r="Y6" s="3740"/>
      <c r="Z6" s="3741"/>
      <c r="AA6" s="3714"/>
      <c r="AB6" s="3714"/>
      <c r="AC6" s="3714"/>
    </row>
    <row r="7" spans="1:29" s="407" customFormat="1" ht="15.75" thickBot="1">
      <c r="A7" s="751" t="s">
        <v>397</v>
      </c>
      <c r="B7" s="752"/>
      <c r="C7" s="753">
        <f>'数据-取费表'!B2</f>
        <v>42986</v>
      </c>
      <c r="D7" s="754">
        <v>100</v>
      </c>
      <c r="E7" s="755"/>
      <c r="F7" s="756">
        <f>SUMIF(48:48,YEAR(E7)&amp;"-"&amp;MONTH(E7),49:49)</f>
        <v>0</v>
      </c>
      <c r="G7" s="755"/>
      <c r="H7" s="754">
        <f>SUMIF(48:48,YEAR(G7)&amp;"-"&amp;MONTH(G7),49:49)</f>
        <v>0</v>
      </c>
      <c r="I7" s="755"/>
      <c r="J7" s="754">
        <f>SUMIF(48:48,YEAR(I7)&amp;"-"&amp;MONTH(I7),49:49)</f>
        <v>0</v>
      </c>
      <c r="K7" s="953"/>
      <c r="L7" s="2350"/>
      <c r="M7" s="2351"/>
      <c r="N7" s="2351"/>
      <c r="O7" s="2351"/>
      <c r="P7" s="3715" t="s">
        <v>398</v>
      </c>
      <c r="Q7" s="3743"/>
      <c r="R7" s="1318" t="s">
        <v>65</v>
      </c>
      <c r="S7" s="1319">
        <f t="shared" ref="S7:S14" si="0">F7</f>
        <v>0</v>
      </c>
      <c r="T7" s="1318" t="s">
        <v>65</v>
      </c>
      <c r="U7" s="1319">
        <f t="shared" ref="U7:U14" si="1">H7</f>
        <v>0</v>
      </c>
      <c r="V7" s="1318" t="s">
        <v>65</v>
      </c>
      <c r="W7" s="1319">
        <f t="shared" ref="W7:W14" si="2">J7</f>
        <v>0</v>
      </c>
      <c r="X7" s="1320"/>
      <c r="Y7" s="3715" t="s">
        <v>398</v>
      </c>
      <c r="Z7" s="3716"/>
      <c r="AA7" s="1321" t="e">
        <f>D7/F7</f>
        <v>#DIV/0!</v>
      </c>
      <c r="AB7" s="1321" t="e">
        <f>D7/H7</f>
        <v>#DIV/0!</v>
      </c>
      <c r="AC7" s="1321" t="e">
        <f>D7/J7</f>
        <v>#DIV/0!</v>
      </c>
    </row>
    <row r="8" spans="1:29" s="407" customFormat="1" ht="15.75" thickBot="1">
      <c r="A8" s="751" t="s">
        <v>399</v>
      </c>
      <c r="B8" s="752"/>
      <c r="C8" s="757" t="s">
        <v>416</v>
      </c>
      <c r="D8" s="754">
        <v>100</v>
      </c>
      <c r="E8" s="757"/>
      <c r="F8" s="756">
        <f>SUMIF(51:51,E8,52:52)-SUMIF(51:51,C8,52:52)+100</f>
        <v>0</v>
      </c>
      <c r="G8" s="757"/>
      <c r="H8" s="754">
        <f>SUMIF(51:51,G8,52:52)-SUMIF(51:51,C8,52:52)+100</f>
        <v>0</v>
      </c>
      <c r="I8" s="757"/>
      <c r="J8" s="754">
        <f>SUMIF(51:51,I8,52:52)-SUMIF(51:51,C8,52:52)+100</f>
        <v>0</v>
      </c>
      <c r="K8" s="953"/>
      <c r="L8" s="2350"/>
      <c r="M8" s="2351"/>
      <c r="N8" s="2351"/>
      <c r="O8" s="2351"/>
      <c r="P8" s="3715" t="s">
        <v>434</v>
      </c>
      <c r="Q8" s="3716"/>
      <c r="R8" s="1318" t="s">
        <v>65</v>
      </c>
      <c r="S8" s="1319">
        <f t="shared" si="0"/>
        <v>0</v>
      </c>
      <c r="T8" s="1318" t="s">
        <v>65</v>
      </c>
      <c r="U8" s="1319">
        <f t="shared" si="1"/>
        <v>0</v>
      </c>
      <c r="V8" s="1318" t="s">
        <v>65</v>
      </c>
      <c r="W8" s="1319">
        <f t="shared" si="2"/>
        <v>0</v>
      </c>
      <c r="X8" s="1320"/>
      <c r="Y8" s="3715" t="s">
        <v>434</v>
      </c>
      <c r="Z8" s="3716"/>
      <c r="AA8" s="1321" t="e">
        <f t="shared" ref="AA8:AA36" si="3">D8/F8</f>
        <v>#DIV/0!</v>
      </c>
      <c r="AB8" s="1321" t="e">
        <f t="shared" ref="AB8:AB36" si="4">D8/H8</f>
        <v>#DIV/0!</v>
      </c>
      <c r="AC8" s="1321" t="e">
        <f t="shared" ref="AC8:AC36" si="5">D8/J8</f>
        <v>#DIV/0!</v>
      </c>
    </row>
    <row r="9" spans="1:29" s="407" customFormat="1">
      <c r="A9" s="358" t="s">
        <v>400</v>
      </c>
      <c r="B9" s="982" t="s">
        <v>418</v>
      </c>
      <c r="C9" s="759"/>
      <c r="D9" s="425">
        <v>100</v>
      </c>
      <c r="E9" s="762"/>
      <c r="F9" s="425">
        <f>SUMIF(53:53,E9,54:54)-SUMIF(53:53,C9,54:54)+100</f>
        <v>100</v>
      </c>
      <c r="G9" s="760"/>
      <c r="H9" s="425">
        <f>SUMIF(53:53,G9,54:54)-SUMIF(53:53,C9,54:54)+100</f>
        <v>100</v>
      </c>
      <c r="I9" s="760"/>
      <c r="J9" s="425">
        <f>SUMIF(53:53,I9,54:54)-SUMIF(53:53,C9,54:54)+100</f>
        <v>100</v>
      </c>
      <c r="K9" s="953"/>
      <c r="L9" s="2350"/>
      <c r="M9" s="2351"/>
      <c r="N9" s="2351"/>
      <c r="O9" s="2351"/>
      <c r="P9" s="3729" t="s">
        <v>401</v>
      </c>
      <c r="Q9" s="2829" t="str">
        <f t="shared" ref="Q9:Q14" si="6">B9</f>
        <v>用途</v>
      </c>
      <c r="R9" s="1318" t="s">
        <v>65</v>
      </c>
      <c r="S9" s="1319">
        <f t="shared" si="0"/>
        <v>100</v>
      </c>
      <c r="T9" s="1318" t="s">
        <v>65</v>
      </c>
      <c r="U9" s="1319">
        <f t="shared" si="1"/>
        <v>100</v>
      </c>
      <c r="V9" s="1318" t="s">
        <v>65</v>
      </c>
      <c r="W9" s="1319">
        <f t="shared" si="2"/>
        <v>100</v>
      </c>
      <c r="X9" s="1320"/>
      <c r="Y9" s="3597" t="s">
        <v>402</v>
      </c>
      <c r="Z9" s="344" t="str">
        <f t="shared" ref="Z9:Z14" si="7">Q9</f>
        <v>用途</v>
      </c>
      <c r="AA9" s="1321">
        <f t="shared" si="3"/>
        <v>1</v>
      </c>
      <c r="AB9" s="1321">
        <f t="shared" si="4"/>
        <v>1</v>
      </c>
      <c r="AC9" s="1321">
        <f t="shared" si="5"/>
        <v>1</v>
      </c>
    </row>
    <row r="10" spans="1:29" s="770" customFormat="1" ht="27">
      <c r="A10" s="983"/>
      <c r="B10" s="984" t="s">
        <v>403</v>
      </c>
      <c r="C10" s="766"/>
      <c r="D10" s="426">
        <v>100</v>
      </c>
      <c r="E10" s="766"/>
      <c r="F10" s="426">
        <f>SUMIF(55:55,E10,56:56)-SUMIF(55:55,C10,56:56)+100</f>
        <v>100</v>
      </c>
      <c r="G10" s="767"/>
      <c r="H10" s="426">
        <f>SUMIF(55:55,G10,56:56)-SUMIF(55:55,C10,56:56)+100</f>
        <v>100</v>
      </c>
      <c r="I10" s="766"/>
      <c r="J10" s="426">
        <f>SUMIF(55:55,I10,56:56)-SUMIF(55:55,C10,56:56)+100</f>
        <v>100</v>
      </c>
      <c r="K10" s="954"/>
      <c r="L10" s="2353"/>
      <c r="M10" s="2354"/>
      <c r="N10" s="2354"/>
      <c r="O10" s="2354"/>
      <c r="P10" s="3729"/>
      <c r="Q10" s="2829" t="str">
        <f t="shared" si="6"/>
        <v>土地使用年限（年）</v>
      </c>
      <c r="R10" s="1318" t="s">
        <v>65</v>
      </c>
      <c r="S10" s="1319">
        <f t="shared" si="0"/>
        <v>100</v>
      </c>
      <c r="T10" s="1318" t="s">
        <v>65</v>
      </c>
      <c r="U10" s="1319">
        <f t="shared" si="1"/>
        <v>100</v>
      </c>
      <c r="V10" s="1318" t="s">
        <v>65</v>
      </c>
      <c r="W10" s="1319">
        <f t="shared" si="2"/>
        <v>100</v>
      </c>
      <c r="X10" s="1320"/>
      <c r="Y10" s="3597"/>
      <c r="Z10" s="344" t="str">
        <f t="shared" si="7"/>
        <v>土地使用年限（年）</v>
      </c>
      <c r="AA10" s="1321">
        <f t="shared" si="3"/>
        <v>1</v>
      </c>
      <c r="AB10" s="1321">
        <f t="shared" si="4"/>
        <v>1</v>
      </c>
      <c r="AC10" s="1321">
        <f t="shared" si="5"/>
        <v>1</v>
      </c>
    </row>
    <row r="11" spans="1:29" ht="15">
      <c r="A11" s="985"/>
      <c r="B11" s="986">
        <v>111</v>
      </c>
      <c r="C11" s="775"/>
      <c r="D11" s="426">
        <v>100</v>
      </c>
      <c r="E11" s="775"/>
      <c r="F11" s="426">
        <f>SUMIF(57:57,E11,58:58)-SUMIF(57:57,C11,58:58)+100</f>
        <v>100</v>
      </c>
      <c r="G11" s="775"/>
      <c r="H11" s="426">
        <f>SUMIF(57:57,G11,58:58)-SUMIF(57:57,C11,58:58)+100</f>
        <v>100</v>
      </c>
      <c r="I11" s="775"/>
      <c r="J11" s="426">
        <f>SUMIF(57:57,I11,58:58)-SUMIF(57:57,C11,58:58)+100</f>
        <v>100</v>
      </c>
      <c r="K11" s="955"/>
      <c r="L11" s="2356"/>
      <c r="M11" s="2349"/>
      <c r="N11" s="2349"/>
      <c r="O11" s="2349"/>
      <c r="P11" s="3729"/>
      <c r="Q11" s="2829">
        <f t="shared" si="6"/>
        <v>111</v>
      </c>
      <c r="R11" s="1318" t="s">
        <v>65</v>
      </c>
      <c r="S11" s="1319">
        <f t="shared" si="0"/>
        <v>100</v>
      </c>
      <c r="T11" s="1318" t="s">
        <v>65</v>
      </c>
      <c r="U11" s="1319">
        <f t="shared" si="1"/>
        <v>100</v>
      </c>
      <c r="V11" s="1318" t="s">
        <v>65</v>
      </c>
      <c r="W11" s="1319">
        <f t="shared" si="2"/>
        <v>100</v>
      </c>
      <c r="X11" s="1320"/>
      <c r="Y11" s="3597"/>
      <c r="Z11" s="344">
        <f t="shared" si="7"/>
        <v>111</v>
      </c>
      <c r="AA11" s="1321">
        <f t="shared" si="3"/>
        <v>1</v>
      </c>
      <c r="AB11" s="1321">
        <f t="shared" si="4"/>
        <v>1</v>
      </c>
      <c r="AC11" s="1321">
        <f t="shared" si="5"/>
        <v>1</v>
      </c>
    </row>
    <row r="12" spans="1:29" s="407" customFormat="1" ht="15">
      <c r="A12" s="987"/>
      <c r="B12" s="986">
        <v>111</v>
      </c>
      <c r="C12" s="775"/>
      <c r="D12" s="776">
        <v>100</v>
      </c>
      <c r="E12" s="775"/>
      <c r="F12" s="426">
        <f>SUMIF(59:59,E12,60:60)-SUMIF(59:59,C12,60:60)+100</f>
        <v>100</v>
      </c>
      <c r="G12" s="775"/>
      <c r="H12" s="426">
        <f>SUMIF(59:59,G12,60:60)-SUMIF(59:59,C12,60:60)+100</f>
        <v>100</v>
      </c>
      <c r="I12" s="775"/>
      <c r="J12" s="426">
        <f>SUMIF(59:59,I12,60:60)-SUMIF(59:59,C12,60:60)+100</f>
        <v>100</v>
      </c>
      <c r="K12" s="955"/>
      <c r="L12" s="2350"/>
      <c r="M12" s="2351"/>
      <c r="N12" s="2351"/>
      <c r="O12" s="2351"/>
      <c r="P12" s="3729"/>
      <c r="Q12" s="2829">
        <f t="shared" si="6"/>
        <v>111</v>
      </c>
      <c r="R12" s="1318" t="s">
        <v>65</v>
      </c>
      <c r="S12" s="1319">
        <f t="shared" si="0"/>
        <v>100</v>
      </c>
      <c r="T12" s="1318" t="s">
        <v>65</v>
      </c>
      <c r="U12" s="1319">
        <f t="shared" si="1"/>
        <v>100</v>
      </c>
      <c r="V12" s="1318" t="s">
        <v>65</v>
      </c>
      <c r="W12" s="1319">
        <f t="shared" si="2"/>
        <v>100</v>
      </c>
      <c r="X12" s="1320"/>
      <c r="Y12" s="3597"/>
      <c r="Z12" s="344">
        <f t="shared" si="7"/>
        <v>111</v>
      </c>
      <c r="AA12" s="1321">
        <f>D12/F12</f>
        <v>1</v>
      </c>
      <c r="AB12" s="1321">
        <f>D12/H12</f>
        <v>1</v>
      </c>
      <c r="AC12" s="1321">
        <f>D12/J12</f>
        <v>1</v>
      </c>
    </row>
    <row r="13" spans="1:29" ht="15.75" thickBot="1">
      <c r="A13" s="988"/>
      <c r="B13" s="986">
        <v>111</v>
      </c>
      <c r="C13" s="777"/>
      <c r="D13" s="778">
        <v>100</v>
      </c>
      <c r="E13" s="775"/>
      <c r="F13" s="426">
        <f>SUMIF(61:61,E13,62:62)-SUMIF(61:61,C13,62:62)+100</f>
        <v>100</v>
      </c>
      <c r="G13" s="775"/>
      <c r="H13" s="778">
        <f>SUMIF(61:61,G13,62:62)-SUMIF(61:61,C13,62:62)+100</f>
        <v>100</v>
      </c>
      <c r="I13" s="775"/>
      <c r="J13" s="778">
        <f>SUMIF(61:61,I13,62:62)-SUMIF(61:61,C13,62:62)+100</f>
        <v>100</v>
      </c>
      <c r="K13" s="955"/>
      <c r="L13" s="2358"/>
      <c r="M13" s="2349"/>
      <c r="N13" s="2349"/>
      <c r="O13" s="2349"/>
      <c r="P13" s="3729"/>
      <c r="Q13" s="2829">
        <f t="shared" si="6"/>
        <v>111</v>
      </c>
      <c r="R13" s="1318" t="s">
        <v>65</v>
      </c>
      <c r="S13" s="1319">
        <f t="shared" si="0"/>
        <v>100</v>
      </c>
      <c r="T13" s="1318" t="s">
        <v>65</v>
      </c>
      <c r="U13" s="1319">
        <f t="shared" si="1"/>
        <v>100</v>
      </c>
      <c r="V13" s="1318" t="s">
        <v>65</v>
      </c>
      <c r="W13" s="1319">
        <f t="shared" si="2"/>
        <v>100</v>
      </c>
      <c r="X13" s="1320"/>
      <c r="Y13" s="3597"/>
      <c r="Z13" s="344">
        <f t="shared" si="7"/>
        <v>111</v>
      </c>
      <c r="AA13" s="1321">
        <f t="shared" si="3"/>
        <v>1</v>
      </c>
      <c r="AB13" s="1321">
        <f t="shared" si="4"/>
        <v>1</v>
      </c>
      <c r="AC13" s="1321">
        <f t="shared" si="5"/>
        <v>1</v>
      </c>
    </row>
    <row r="14" spans="1:29" ht="175.5">
      <c r="A14" s="744" t="s">
        <v>405</v>
      </c>
      <c r="B14" s="971" t="s">
        <v>455</v>
      </c>
      <c r="C14" s="212" t="str">
        <f>IF(B1="工业",估价对象房地状况!G4,估价对象房地状况!C6)</f>
        <v>估价对象紧邻城市次干道——怀耿路，半径1公里内有866、H07、H09、H44路等公交线路，周边有怀耿路、杨雁路两条城市次干道，西北距离怀柔火车站4公里，交通便捷度较差</v>
      </c>
      <c r="D14" s="784">
        <v>100</v>
      </c>
      <c r="E14" s="785"/>
      <c r="F14" s="786">
        <f>SUMIF(63:63,E15,64:64)-SUMIF(63:63,C15,64:64)+100</f>
        <v>100</v>
      </c>
      <c r="G14" s="787"/>
      <c r="H14" s="784">
        <f>SUMIF(63:63,G15,64:64)-SUMIF(63:63,C15,64:64)+100</f>
        <v>100</v>
      </c>
      <c r="I14" s="785"/>
      <c r="J14" s="784">
        <f>SUMIF(63:63,I15,64:64)-SUMIF(63:63,C15,64:64)+100</f>
        <v>100</v>
      </c>
      <c r="K14" s="956"/>
      <c r="L14" s="2358"/>
      <c r="M14" s="2349"/>
      <c r="N14" s="2349"/>
      <c r="O14" s="2349"/>
      <c r="P14" s="3744" t="s">
        <v>406</v>
      </c>
      <c r="Q14" s="2831" t="str">
        <f t="shared" si="6"/>
        <v>交通便捷度</v>
      </c>
      <c r="R14" s="1323" t="s">
        <v>65</v>
      </c>
      <c r="S14" s="1324">
        <f t="shared" si="0"/>
        <v>100</v>
      </c>
      <c r="T14" s="1323" t="s">
        <v>65</v>
      </c>
      <c r="U14" s="1324">
        <f t="shared" si="1"/>
        <v>100</v>
      </c>
      <c r="V14" s="1323" t="s">
        <v>65</v>
      </c>
      <c r="W14" s="1324">
        <f t="shared" si="2"/>
        <v>100</v>
      </c>
      <c r="X14" s="2830"/>
      <c r="Y14" s="3744" t="s">
        <v>406</v>
      </c>
      <c r="Z14" s="2832" t="str">
        <f t="shared" si="7"/>
        <v>交通便捷度</v>
      </c>
      <c r="AA14" s="1326">
        <f t="shared" si="3"/>
        <v>1</v>
      </c>
      <c r="AB14" s="1326">
        <f t="shared" si="4"/>
        <v>1</v>
      </c>
      <c r="AC14" s="1326">
        <f t="shared" si="5"/>
        <v>1</v>
      </c>
    </row>
    <row r="15" spans="1:29" ht="15">
      <c r="A15" s="747"/>
      <c r="B15" s="989"/>
      <c r="C15" s="97"/>
      <c r="D15" s="791"/>
      <c r="E15" s="790"/>
      <c r="F15" s="792"/>
      <c r="G15" s="790"/>
      <c r="H15" s="793"/>
      <c r="I15" s="790"/>
      <c r="J15" s="791"/>
      <c r="K15" s="957"/>
      <c r="L15" s="2358"/>
      <c r="M15" s="2349"/>
      <c r="N15" s="2349"/>
      <c r="O15" s="2349"/>
      <c r="P15" s="3745"/>
      <c r="Q15" s="2831"/>
      <c r="R15" s="1323"/>
      <c r="S15" s="1324"/>
      <c r="T15" s="1323"/>
      <c r="U15" s="1324"/>
      <c r="V15" s="1323"/>
      <c r="W15" s="1324"/>
      <c r="X15" s="2830"/>
      <c r="Y15" s="3745"/>
      <c r="Z15" s="2832"/>
      <c r="AA15" s="1326">
        <v>1</v>
      </c>
      <c r="AB15" s="1326">
        <v>1</v>
      </c>
      <c r="AC15" s="1326">
        <v>1</v>
      </c>
    </row>
    <row r="16" spans="1:29" ht="216">
      <c r="A16" s="747"/>
      <c r="B16" s="1033" t="s">
        <v>2662</v>
      </c>
      <c r="C16" s="158" t="str">
        <f>IF(B1="工业",估价对象房地状况!G5,估价对象房地状况!C7)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6" s="798">
        <v>100</v>
      </c>
      <c r="E16" s="800"/>
      <c r="F16" s="801">
        <f>SUMIF(65:65,E17,66:66)-SUMIF(65:65,C17,66:66)+100</f>
        <v>100</v>
      </c>
      <c r="G16" s="802"/>
      <c r="H16" s="798">
        <f>SUMIF(65:65,G17,66:66)-SUMIF(65:65,C17,66:66)+100</f>
        <v>100</v>
      </c>
      <c r="I16" s="800"/>
      <c r="J16" s="798">
        <f>SUMIF(65:65,I17,66:66)-SUMIF(65:65,C17,66:66)+100</f>
        <v>100</v>
      </c>
      <c r="K16" s="956"/>
      <c r="L16" s="2358"/>
      <c r="M16" s="2349"/>
      <c r="N16" s="2349"/>
      <c r="O16" s="2349"/>
      <c r="P16" s="3745"/>
      <c r="Q16" s="2831" t="str">
        <f>B16</f>
        <v>公共配套设施</v>
      </c>
      <c r="R16" s="1323" t="s">
        <v>65</v>
      </c>
      <c r="S16" s="1324">
        <f>F16</f>
        <v>100</v>
      </c>
      <c r="T16" s="1323" t="s">
        <v>65</v>
      </c>
      <c r="U16" s="1324">
        <f>H16</f>
        <v>100</v>
      </c>
      <c r="V16" s="1323" t="s">
        <v>65</v>
      </c>
      <c r="W16" s="1324">
        <f>J16</f>
        <v>100</v>
      </c>
      <c r="X16" s="2830"/>
      <c r="Y16" s="3745"/>
      <c r="Z16" s="2832" t="str">
        <f>Q16</f>
        <v>公共配套设施</v>
      </c>
      <c r="AA16" s="1326">
        <f t="shared" si="3"/>
        <v>1</v>
      </c>
      <c r="AB16" s="1326">
        <f t="shared" si="4"/>
        <v>1</v>
      </c>
      <c r="AC16" s="1326">
        <f t="shared" si="5"/>
        <v>1</v>
      </c>
    </row>
    <row r="17" spans="1:29" ht="15">
      <c r="A17" s="747"/>
      <c r="B17" s="974"/>
      <c r="C17" s="102"/>
      <c r="D17" s="791"/>
      <c r="E17" s="790"/>
      <c r="F17" s="792"/>
      <c r="G17" s="790"/>
      <c r="H17" s="791"/>
      <c r="I17" s="790"/>
      <c r="J17" s="791"/>
      <c r="K17" s="957"/>
      <c r="L17" s="2358"/>
      <c r="M17" s="2349"/>
      <c r="N17" s="2349"/>
      <c r="O17" s="2349"/>
      <c r="P17" s="3745"/>
      <c r="Q17" s="2831"/>
      <c r="R17" s="1323"/>
      <c r="S17" s="1324"/>
      <c r="T17" s="1323"/>
      <c r="U17" s="1324"/>
      <c r="V17" s="1323"/>
      <c r="W17" s="1324"/>
      <c r="X17" s="2830"/>
      <c r="Y17" s="3745"/>
      <c r="Z17" s="2832"/>
      <c r="AA17" s="1326">
        <v>1</v>
      </c>
      <c r="AB17" s="1326">
        <v>1</v>
      </c>
      <c r="AC17" s="1326">
        <v>1</v>
      </c>
    </row>
    <row r="18" spans="1:29" ht="40.5">
      <c r="A18" s="747"/>
      <c r="B18" s="1035" t="s">
        <v>2661</v>
      </c>
      <c r="C18" s="158" t="str">
        <f>IF(B1="工业",估价对象房地状况!G6,估价对象房地状况!C8)</f>
        <v>估价对象所在区域基础设施水平达到七通</v>
      </c>
      <c r="D18" s="793">
        <v>100</v>
      </c>
      <c r="E18" s="795"/>
      <c r="F18" s="801">
        <f>SUMIF(67:67,E19,68:68)-SUMIF(67:67,C19,68:68)+100</f>
        <v>100</v>
      </c>
      <c r="G18" s="797"/>
      <c r="H18" s="798">
        <f>SUMIF(67:67,G19,68:68)-SUMIF(67:67,C19,68:68)+100</f>
        <v>100</v>
      </c>
      <c r="I18" s="795"/>
      <c r="J18" s="798">
        <f>SUMIF(67:67,I19,68:68)-SUMIF(67:67,C19,68:68)+100</f>
        <v>100</v>
      </c>
      <c r="K18" s="956"/>
      <c r="L18" s="2358"/>
      <c r="M18" s="2349"/>
      <c r="N18" s="2349"/>
      <c r="O18" s="2349"/>
      <c r="P18" s="3745"/>
      <c r="Q18" s="2831" t="str">
        <f>B18</f>
        <v>基础设施水平</v>
      </c>
      <c r="R18" s="1323" t="s">
        <v>65</v>
      </c>
      <c r="S18" s="1324">
        <f>F18</f>
        <v>100</v>
      </c>
      <c r="T18" s="1323" t="s">
        <v>65</v>
      </c>
      <c r="U18" s="1324">
        <f>H18</f>
        <v>100</v>
      </c>
      <c r="V18" s="1323" t="s">
        <v>65</v>
      </c>
      <c r="W18" s="1324">
        <f>J18</f>
        <v>100</v>
      </c>
      <c r="X18" s="2830"/>
      <c r="Y18" s="3745"/>
      <c r="Z18" s="2832" t="str">
        <f>Q18</f>
        <v>基础设施水平</v>
      </c>
      <c r="AA18" s="1326">
        <f t="shared" ref="AA18" si="8">D18/F18</f>
        <v>1</v>
      </c>
      <c r="AB18" s="1326">
        <f t="shared" ref="AB18" si="9">D18/H18</f>
        <v>1</v>
      </c>
      <c r="AC18" s="1326">
        <f t="shared" ref="AC18" si="10">D18/J18</f>
        <v>1</v>
      </c>
    </row>
    <row r="19" spans="1:29" ht="15">
      <c r="A19" s="747"/>
      <c r="B19" s="975"/>
      <c r="C19" s="102"/>
      <c r="D19" s="793"/>
      <c r="E19" s="102"/>
      <c r="F19" s="796"/>
      <c r="G19" s="102"/>
      <c r="H19" s="791"/>
      <c r="I19" s="97"/>
      <c r="J19" s="791"/>
      <c r="K19" s="2767"/>
      <c r="L19" s="2358"/>
      <c r="M19" s="2349"/>
      <c r="N19" s="2349"/>
      <c r="O19" s="2349"/>
      <c r="P19" s="3745"/>
      <c r="Q19" s="2831"/>
      <c r="R19" s="1323"/>
      <c r="S19" s="1324"/>
      <c r="T19" s="1323"/>
      <c r="U19" s="1324"/>
      <c r="V19" s="1323"/>
      <c r="W19" s="1324"/>
      <c r="X19" s="2830"/>
      <c r="Y19" s="3745"/>
      <c r="Z19" s="2832"/>
      <c r="AA19" s="1326">
        <v>1</v>
      </c>
      <c r="AB19" s="1326">
        <v>1</v>
      </c>
      <c r="AC19" s="1326">
        <v>1</v>
      </c>
    </row>
    <row r="20" spans="1:29" ht="175.5">
      <c r="A20" s="747"/>
      <c r="B20" s="973" t="s">
        <v>456</v>
      </c>
      <c r="C20" s="158" t="str">
        <f>IF(B1="工业",估价对象房地状况!G7,估价对象房地状况!C9)</f>
        <v>周边约1公里范围内有北京影视研修学院、北京怀柔中视腾飞影视培训学校等演艺教育学校，人文环境一般；周边有约1公里有栖河，自然环境一般。综合评价自然与人文环境一般</v>
      </c>
      <c r="D20" s="798">
        <v>100</v>
      </c>
      <c r="E20" s="800"/>
      <c r="F20" s="801">
        <f>SUMIF(69:69,E21,70:70)-SUMIF(69:69,C21,70:70)+100</f>
        <v>100</v>
      </c>
      <c r="G20" s="802"/>
      <c r="H20" s="793">
        <f>SUMIF(69:69,G21,70:70)-SUMIF(69:69,C21,70:70)+100</f>
        <v>100</v>
      </c>
      <c r="I20" s="795"/>
      <c r="J20" s="793">
        <f>SUMIF(69:69,I21,70:70)-SUMIF(69:69,C21,70:70)+100</f>
        <v>100</v>
      </c>
      <c r="K20" s="956"/>
      <c r="L20" s="2358"/>
      <c r="M20" s="2349"/>
      <c r="N20" s="2349"/>
      <c r="O20" s="2349"/>
      <c r="P20" s="3745"/>
      <c r="Q20" s="2831" t="str">
        <f>B20</f>
        <v>自然及人文环境</v>
      </c>
      <c r="R20" s="1323" t="s">
        <v>65</v>
      </c>
      <c r="S20" s="1324">
        <f>F20</f>
        <v>100</v>
      </c>
      <c r="T20" s="1323" t="s">
        <v>65</v>
      </c>
      <c r="U20" s="1324">
        <f>H20</f>
        <v>100</v>
      </c>
      <c r="V20" s="1323" t="s">
        <v>65</v>
      </c>
      <c r="W20" s="1324">
        <f>J20</f>
        <v>100</v>
      </c>
      <c r="X20" s="2830"/>
      <c r="Y20" s="3745"/>
      <c r="Z20" s="2832" t="str">
        <f>Q20</f>
        <v>自然及人文环境</v>
      </c>
      <c r="AA20" s="1326">
        <f t="shared" si="3"/>
        <v>1</v>
      </c>
      <c r="AB20" s="1326">
        <f t="shared" si="4"/>
        <v>1</v>
      </c>
      <c r="AC20" s="1326">
        <f t="shared" si="5"/>
        <v>1</v>
      </c>
    </row>
    <row r="21" spans="1:29" ht="15">
      <c r="A21" s="747"/>
      <c r="B21" s="974"/>
      <c r="C21" s="790"/>
      <c r="D21" s="791"/>
      <c r="E21" s="790"/>
      <c r="F21" s="792"/>
      <c r="G21" s="790"/>
      <c r="H21" s="791"/>
      <c r="I21" s="790"/>
      <c r="J21" s="791"/>
      <c r="K21" s="957"/>
      <c r="L21" s="2358"/>
      <c r="M21" s="2349"/>
      <c r="N21" s="2349"/>
      <c r="O21" s="2349"/>
      <c r="P21" s="3745"/>
      <c r="Q21" s="2831"/>
      <c r="R21" s="1323"/>
      <c r="S21" s="1324"/>
      <c r="T21" s="1323"/>
      <c r="U21" s="1324"/>
      <c r="V21" s="1323"/>
      <c r="W21" s="1324"/>
      <c r="X21" s="2830"/>
      <c r="Y21" s="3745"/>
      <c r="Z21" s="2832"/>
      <c r="AA21" s="1326">
        <v>1</v>
      </c>
      <c r="AB21" s="1326">
        <v>1</v>
      </c>
      <c r="AC21" s="1326">
        <v>1</v>
      </c>
    </row>
    <row r="22" spans="1:29" ht="15">
      <c r="A22" s="747"/>
      <c r="B22" s="973" t="s">
        <v>457</v>
      </c>
      <c r="C22" s="958"/>
      <c r="D22" s="793">
        <v>100</v>
      </c>
      <c r="E22" s="958"/>
      <c r="F22" s="804">
        <f>SUMIF(71:71,E22,72:72)-SUMIF(71:71,C22,72:72)+100</f>
        <v>100</v>
      </c>
      <c r="G22" s="958"/>
      <c r="H22" s="778">
        <f>SUMIF(71:71,G22,72:72)-SUMIF(71:71,C22,72:72)+100</f>
        <v>100</v>
      </c>
      <c r="I22" s="958"/>
      <c r="J22" s="778">
        <f>SUMIF(71:71,I22,72:72)-SUMIF(71:71,C22,72:72)+100</f>
        <v>100</v>
      </c>
      <c r="K22" s="954"/>
      <c r="L22" s="2358"/>
      <c r="M22" s="2349"/>
      <c r="N22" s="2349"/>
      <c r="O22" s="2349"/>
      <c r="P22" s="3745"/>
      <c r="Q22" s="2831" t="str">
        <f>B22</f>
        <v>楼层</v>
      </c>
      <c r="R22" s="1323" t="s">
        <v>65</v>
      </c>
      <c r="S22" s="1324">
        <f>F22</f>
        <v>100</v>
      </c>
      <c r="T22" s="1323" t="s">
        <v>65</v>
      </c>
      <c r="U22" s="1324">
        <f>H22</f>
        <v>100</v>
      </c>
      <c r="V22" s="1323" t="s">
        <v>65</v>
      </c>
      <c r="W22" s="1324">
        <f>J22</f>
        <v>100</v>
      </c>
      <c r="X22" s="2830"/>
      <c r="Y22" s="3745"/>
      <c r="Z22" s="2832" t="str">
        <f>Q22</f>
        <v>楼层</v>
      </c>
      <c r="AA22" s="1326">
        <f t="shared" si="3"/>
        <v>1</v>
      </c>
      <c r="AB22" s="1326">
        <f t="shared" si="4"/>
        <v>1</v>
      </c>
      <c r="AC22" s="1326">
        <f t="shared" si="5"/>
        <v>1</v>
      </c>
    </row>
    <row r="23" spans="1:29" ht="15">
      <c r="A23" s="747"/>
      <c r="B23" s="990">
        <v>111</v>
      </c>
      <c r="C23" s="775"/>
      <c r="D23" s="778">
        <v>100</v>
      </c>
      <c r="E23" s="775"/>
      <c r="F23" s="804">
        <f>SUMIF(73:73,E23,74:74)-SUMIF(73:73,C23,74:74)+100</f>
        <v>100</v>
      </c>
      <c r="G23" s="775"/>
      <c r="H23" s="778">
        <f>SUMIF(73:73,G23,74:74)-SUMIF(73:73,C23,74:74)+100</f>
        <v>100</v>
      </c>
      <c r="I23" s="775"/>
      <c r="J23" s="778">
        <f>SUMIF(73:73,I23,74:74)-SUMIF(73:73,C23,74:74)+100</f>
        <v>100</v>
      </c>
      <c r="K23" s="955"/>
      <c r="L23" s="2358"/>
      <c r="M23" s="2349"/>
      <c r="N23" s="2349"/>
      <c r="O23" s="2349"/>
      <c r="P23" s="3745"/>
      <c r="Q23" s="2831">
        <f>B23</f>
        <v>111</v>
      </c>
      <c r="R23" s="1323" t="s">
        <v>65</v>
      </c>
      <c r="S23" s="1324">
        <f>F23</f>
        <v>100</v>
      </c>
      <c r="T23" s="1323" t="s">
        <v>65</v>
      </c>
      <c r="U23" s="1324">
        <f>H23</f>
        <v>100</v>
      </c>
      <c r="V23" s="1323" t="s">
        <v>65</v>
      </c>
      <c r="W23" s="1324">
        <f>J23</f>
        <v>100</v>
      </c>
      <c r="X23" s="2830"/>
      <c r="Y23" s="3745"/>
      <c r="Z23" s="2832">
        <f>Q23</f>
        <v>111</v>
      </c>
      <c r="AA23" s="1326">
        <f t="shared" si="3"/>
        <v>1</v>
      </c>
      <c r="AB23" s="1326">
        <f t="shared" si="4"/>
        <v>1</v>
      </c>
      <c r="AC23" s="1326">
        <f t="shared" si="5"/>
        <v>1</v>
      </c>
    </row>
    <row r="24" spans="1:29" ht="15">
      <c r="A24" s="747"/>
      <c r="B24" s="990">
        <v>111</v>
      </c>
      <c r="C24" s="775"/>
      <c r="D24" s="778">
        <v>100</v>
      </c>
      <c r="E24" s="775"/>
      <c r="F24" s="804">
        <f>SUMIF(75:75,E24,76:76)-SUMIF(75:75,C24,76:76)+100</f>
        <v>100</v>
      </c>
      <c r="G24" s="775"/>
      <c r="H24" s="778">
        <f>SUMIF(75:75,G24,76:76)-SUMIF(75:75,C24,76:76)+100</f>
        <v>100</v>
      </c>
      <c r="I24" s="775"/>
      <c r="J24" s="778">
        <f>SUMIF(75:75,I24,76:76)-SUMIF(75:75,C24,76:76)+100</f>
        <v>100</v>
      </c>
      <c r="K24" s="955"/>
      <c r="L24" s="2358"/>
      <c r="M24" s="2349"/>
      <c r="N24" s="2349"/>
      <c r="O24" s="2349"/>
      <c r="P24" s="3745"/>
      <c r="Q24" s="2831">
        <f t="shared" ref="Q24:Q36" si="11">B24</f>
        <v>111</v>
      </c>
      <c r="R24" s="1323" t="s">
        <v>65</v>
      </c>
      <c r="S24" s="1324">
        <f>F24</f>
        <v>100</v>
      </c>
      <c r="T24" s="1323" t="s">
        <v>65</v>
      </c>
      <c r="U24" s="1324">
        <f>H24</f>
        <v>100</v>
      </c>
      <c r="V24" s="1323" t="s">
        <v>65</v>
      </c>
      <c r="W24" s="1324">
        <f>J24</f>
        <v>100</v>
      </c>
      <c r="X24" s="2830"/>
      <c r="Y24" s="3745"/>
      <c r="Z24" s="2832">
        <f>Q24</f>
        <v>111</v>
      </c>
      <c r="AA24" s="1326">
        <f t="shared" si="3"/>
        <v>1</v>
      </c>
      <c r="AB24" s="1326">
        <f t="shared" si="4"/>
        <v>1</v>
      </c>
      <c r="AC24" s="1326">
        <f t="shared" si="5"/>
        <v>1</v>
      </c>
    </row>
    <row r="25" spans="1:29" s="407" customFormat="1" ht="15.75" thickBot="1">
      <c r="A25" s="991"/>
      <c r="B25" s="977">
        <v>111</v>
      </c>
      <c r="C25" s="780"/>
      <c r="D25" s="992">
        <v>100</v>
      </c>
      <c r="E25" s="970"/>
      <c r="F25" s="993">
        <f>SUMIF(77:77,E25,78:78)-SUMIF(77:77,C25,78:78)+100</f>
        <v>100</v>
      </c>
      <c r="G25" s="970"/>
      <c r="H25" s="992">
        <f>SUMIF(77:77,G25,78:78)-SUMIF(77:77,C25,78:78)+100</f>
        <v>100</v>
      </c>
      <c r="I25" s="970"/>
      <c r="J25" s="992">
        <f>SUMIF(77:77,I25,78:78)-SUMIF(77:77,C25,78:78)+100</f>
        <v>100</v>
      </c>
      <c r="K25" s="955"/>
      <c r="L25" s="2350"/>
      <c r="M25" s="2351"/>
      <c r="N25" s="2351"/>
      <c r="O25" s="2351"/>
      <c r="P25" s="3745"/>
      <c r="Q25" s="2829">
        <f t="shared" si="11"/>
        <v>111</v>
      </c>
      <c r="R25" s="1318" t="s">
        <v>65</v>
      </c>
      <c r="S25" s="1319">
        <f>F25</f>
        <v>100</v>
      </c>
      <c r="T25" s="1318" t="s">
        <v>65</v>
      </c>
      <c r="U25" s="1319">
        <f>H25</f>
        <v>100</v>
      </c>
      <c r="V25" s="1318" t="s">
        <v>65</v>
      </c>
      <c r="W25" s="1319">
        <f>J25</f>
        <v>100</v>
      </c>
      <c r="X25" s="1320"/>
      <c r="Y25" s="3745"/>
      <c r="Z25" s="344">
        <f>Q25</f>
        <v>111</v>
      </c>
      <c r="AA25" s="1326">
        <f>D25/F25</f>
        <v>1</v>
      </c>
      <c r="AB25" s="1326">
        <f>D25/H25</f>
        <v>1</v>
      </c>
      <c r="AC25" s="1326">
        <f>D25/J25</f>
        <v>1</v>
      </c>
    </row>
    <row r="26" spans="1:29" ht="15">
      <c r="A26" s="994" t="s">
        <v>407</v>
      </c>
      <c r="B26" s="360" t="s">
        <v>458</v>
      </c>
      <c r="C26" s="2768">
        <f>B1</f>
        <v>0</v>
      </c>
      <c r="D26" s="791">
        <v>100</v>
      </c>
      <c r="E26" s="790"/>
      <c r="F26" s="792">
        <f>SUMIF(79:79,E26,80:80)-SUMIF(79:79,C26,80:80)+100</f>
        <v>100</v>
      </c>
      <c r="G26" s="790"/>
      <c r="H26" s="791">
        <f>SUMIF(79:79,G26,80:80)-SUMIF(79:79,C26,80:80)+100</f>
        <v>100</v>
      </c>
      <c r="I26" s="790"/>
      <c r="J26" s="791">
        <f>SUMIF(79:79,I26,80:80)-SUMIF(79:79,C26,80:80)+100</f>
        <v>100</v>
      </c>
      <c r="K26" s="954"/>
      <c r="L26" s="2358"/>
      <c r="M26" s="2349"/>
      <c r="N26" s="2349"/>
      <c r="O26" s="2349"/>
      <c r="P26" s="3746" t="s">
        <v>408</v>
      </c>
      <c r="Q26" s="2831" t="str">
        <f t="shared" si="11"/>
        <v>配套类型</v>
      </c>
      <c r="R26" s="1323" t="s">
        <v>65</v>
      </c>
      <c r="S26" s="1324">
        <f t="shared" ref="S26:S36" si="12">F26</f>
        <v>100</v>
      </c>
      <c r="T26" s="1323" t="s">
        <v>65</v>
      </c>
      <c r="U26" s="1324">
        <f t="shared" ref="U26:U36" si="13">H26</f>
        <v>100</v>
      </c>
      <c r="V26" s="1323" t="s">
        <v>65</v>
      </c>
      <c r="W26" s="1324">
        <f t="shared" ref="W26:W36" si="14">J26</f>
        <v>100</v>
      </c>
      <c r="X26" s="2830"/>
      <c r="Y26" s="3747" t="s">
        <v>408</v>
      </c>
      <c r="Z26" s="2832" t="str">
        <f t="shared" ref="Z26:Z36" si="15">Q26</f>
        <v>配套类型</v>
      </c>
      <c r="AA26" s="1326">
        <f t="shared" si="3"/>
        <v>1</v>
      </c>
      <c r="AB26" s="1326">
        <f t="shared" si="4"/>
        <v>1</v>
      </c>
      <c r="AC26" s="1326">
        <f t="shared" si="5"/>
        <v>1</v>
      </c>
    </row>
    <row r="27" spans="1:29" s="813" customFormat="1" ht="15">
      <c r="A27" s="995"/>
      <c r="B27" s="996" t="s">
        <v>459</v>
      </c>
      <c r="C27" s="997"/>
      <c r="D27" s="426">
        <v>100</v>
      </c>
      <c r="E27" s="997"/>
      <c r="F27" s="804">
        <f>SUMIF(81:81,E27,82:82)-SUMIF(81:81,C27,82:82)+100</f>
        <v>100</v>
      </c>
      <c r="G27" s="997"/>
      <c r="H27" s="778">
        <f>SUMIF(81:81,G27,82:82)-SUMIF(81:81,C27,82:82)+100</f>
        <v>100</v>
      </c>
      <c r="I27" s="997"/>
      <c r="J27" s="778">
        <f>SUMIF(81:81,I27,82:82)-SUMIF(81:81,C27,82:82)+100</f>
        <v>100</v>
      </c>
      <c r="K27" s="955"/>
      <c r="L27" s="2356"/>
      <c r="M27" s="2359"/>
      <c r="N27" s="2359"/>
      <c r="O27" s="2359"/>
      <c r="P27" s="3747"/>
      <c r="Q27" s="1327" t="str">
        <f t="shared" si="11"/>
        <v>项目停车位配比</v>
      </c>
      <c r="R27" s="1328" t="s">
        <v>65</v>
      </c>
      <c r="S27" s="1329">
        <f t="shared" si="12"/>
        <v>100</v>
      </c>
      <c r="T27" s="1328" t="s">
        <v>65</v>
      </c>
      <c r="U27" s="1329">
        <f t="shared" si="13"/>
        <v>100</v>
      </c>
      <c r="V27" s="1328" t="s">
        <v>65</v>
      </c>
      <c r="W27" s="1329">
        <f t="shared" si="14"/>
        <v>100</v>
      </c>
      <c r="X27" s="1330"/>
      <c r="Y27" s="3747"/>
      <c r="Z27" s="1331" t="str">
        <f t="shared" si="15"/>
        <v>项目停车位配比</v>
      </c>
      <c r="AA27" s="1326">
        <f t="shared" si="3"/>
        <v>1</v>
      </c>
      <c r="AB27" s="1326">
        <f t="shared" si="4"/>
        <v>1</v>
      </c>
      <c r="AC27" s="1326">
        <f t="shared" si="5"/>
        <v>1</v>
      </c>
    </row>
    <row r="28" spans="1:29" ht="15">
      <c r="A28" s="998"/>
      <c r="B28" s="996" t="s">
        <v>460</v>
      </c>
      <c r="C28" s="803"/>
      <c r="D28" s="778">
        <v>100</v>
      </c>
      <c r="E28" s="803"/>
      <c r="F28" s="804">
        <f>SUMIF(83:83,E28,84:84)-SUMIF(83:83,C28,84:84)+100</f>
        <v>100</v>
      </c>
      <c r="G28" s="803"/>
      <c r="H28" s="778">
        <f>SUMIF(83:83,G28,84:84)-SUMIF(83:83,C28,84:84)+100</f>
        <v>100</v>
      </c>
      <c r="I28" s="803"/>
      <c r="J28" s="778">
        <f>SUMIF(83:83,I28,84:84)-SUMIF(83:83,C28,84:84)+100</f>
        <v>100</v>
      </c>
      <c r="K28" s="954"/>
      <c r="L28" s="2358"/>
      <c r="M28" s="2349"/>
      <c r="N28" s="2349"/>
      <c r="O28" s="2349"/>
      <c r="P28" s="3747"/>
      <c r="Q28" s="2831" t="str">
        <f t="shared" si="11"/>
        <v>公共部分装修</v>
      </c>
      <c r="R28" s="1323" t="s">
        <v>65</v>
      </c>
      <c r="S28" s="1324">
        <f t="shared" si="12"/>
        <v>100</v>
      </c>
      <c r="T28" s="1323" t="s">
        <v>65</v>
      </c>
      <c r="U28" s="1324">
        <f t="shared" si="13"/>
        <v>100</v>
      </c>
      <c r="V28" s="1323" t="s">
        <v>65</v>
      </c>
      <c r="W28" s="1324">
        <f t="shared" si="14"/>
        <v>100</v>
      </c>
      <c r="X28" s="2830"/>
      <c r="Y28" s="3747"/>
      <c r="Z28" s="2832" t="str">
        <f t="shared" si="15"/>
        <v>公共部分装修</v>
      </c>
      <c r="AA28" s="1326">
        <f t="shared" si="3"/>
        <v>1</v>
      </c>
      <c r="AB28" s="1326">
        <f t="shared" si="4"/>
        <v>1</v>
      </c>
      <c r="AC28" s="1326">
        <f t="shared" si="5"/>
        <v>1</v>
      </c>
    </row>
    <row r="29" spans="1:29" ht="15">
      <c r="A29" s="998"/>
      <c r="B29" s="996" t="s">
        <v>461</v>
      </c>
      <c r="C29" s="811"/>
      <c r="D29" s="778">
        <v>100</v>
      </c>
      <c r="E29" s="816"/>
      <c r="F29" s="804" t="e">
        <f>LOOKUP(E29,86:86,87:87)-LOOKUP(C29,86:86,87:87)+100</f>
        <v>#N/A</v>
      </c>
      <c r="G29" s="816"/>
      <c r="H29" s="804" t="e">
        <f>LOOKUP(G29,86:86,87:87)-LOOKUP(C29,86:86,87:87)+100</f>
        <v>#N/A</v>
      </c>
      <c r="I29" s="816"/>
      <c r="J29" s="778" t="e">
        <f>LOOKUP(I29,86:86,87:87)-LOOKUP(C29,86:86,87:87)+100</f>
        <v>#N/A</v>
      </c>
      <c r="K29" s="954"/>
      <c r="L29" s="2358"/>
      <c r="M29" s="2349"/>
      <c r="N29" s="2349"/>
      <c r="O29" s="2349"/>
      <c r="P29" s="3747"/>
      <c r="Q29" s="2831" t="str">
        <f t="shared" si="11"/>
        <v>成新率</v>
      </c>
      <c r="R29" s="1323" t="s">
        <v>65</v>
      </c>
      <c r="S29" s="1324" t="e">
        <f t="shared" si="12"/>
        <v>#N/A</v>
      </c>
      <c r="T29" s="1323" t="s">
        <v>65</v>
      </c>
      <c r="U29" s="1324" t="e">
        <f t="shared" si="13"/>
        <v>#N/A</v>
      </c>
      <c r="V29" s="1323" t="s">
        <v>65</v>
      </c>
      <c r="W29" s="1324" t="e">
        <f t="shared" si="14"/>
        <v>#N/A</v>
      </c>
      <c r="X29" s="2830"/>
      <c r="Y29" s="3747"/>
      <c r="Z29" s="2832" t="str">
        <f t="shared" si="15"/>
        <v>成新率</v>
      </c>
      <c r="AA29" s="1326" t="e">
        <f t="shared" si="3"/>
        <v>#N/A</v>
      </c>
      <c r="AB29" s="1326" t="e">
        <f t="shared" si="4"/>
        <v>#N/A</v>
      </c>
      <c r="AC29" s="1326" t="e">
        <f t="shared" si="5"/>
        <v>#N/A</v>
      </c>
    </row>
    <row r="30" spans="1:29" ht="15">
      <c r="A30" s="998"/>
      <c r="B30" s="996" t="s">
        <v>462</v>
      </c>
      <c r="C30" s="999"/>
      <c r="D30" s="778">
        <v>100</v>
      </c>
      <c r="E30" s="999"/>
      <c r="F30" s="804">
        <f>SUMIF(88:88,E30,89:89)-SUMIF(88:88,C30,89:89)+100</f>
        <v>100</v>
      </c>
      <c r="G30" s="999"/>
      <c r="H30" s="778">
        <f>SUMIF(88:88,E30,89:89)-SUMIF(88:88,C30,89:89)+100</f>
        <v>100</v>
      </c>
      <c r="I30" s="999"/>
      <c r="J30" s="778">
        <f>SUMIF(88:88,E30,89:89)-SUMIF(88:88,C30,89:89)+100</f>
        <v>100</v>
      </c>
      <c r="K30" s="954"/>
      <c r="L30" s="2358"/>
      <c r="M30" s="2349"/>
      <c r="N30" s="2349"/>
      <c r="O30" s="2349"/>
      <c r="P30" s="3747"/>
      <c r="Q30" s="2831" t="str">
        <f t="shared" si="11"/>
        <v>物业等级</v>
      </c>
      <c r="R30" s="1323" t="s">
        <v>65</v>
      </c>
      <c r="S30" s="1324">
        <f t="shared" si="12"/>
        <v>100</v>
      </c>
      <c r="T30" s="1323" t="s">
        <v>65</v>
      </c>
      <c r="U30" s="1324">
        <f t="shared" si="13"/>
        <v>100</v>
      </c>
      <c r="V30" s="1323" t="s">
        <v>65</v>
      </c>
      <c r="W30" s="1324">
        <f t="shared" si="14"/>
        <v>100</v>
      </c>
      <c r="X30" s="2830"/>
      <c r="Y30" s="3747"/>
      <c r="Z30" s="2832" t="str">
        <f t="shared" si="15"/>
        <v>物业等级</v>
      </c>
      <c r="AA30" s="1326">
        <f t="shared" si="3"/>
        <v>1</v>
      </c>
      <c r="AB30" s="1326">
        <f t="shared" si="4"/>
        <v>1</v>
      </c>
      <c r="AC30" s="1326">
        <f t="shared" si="5"/>
        <v>1</v>
      </c>
    </row>
    <row r="31" spans="1:29" s="407" customFormat="1" ht="15">
      <c r="A31" s="1000"/>
      <c r="B31" s="996" t="s">
        <v>463</v>
      </c>
      <c r="C31" s="811"/>
      <c r="D31" s="426">
        <v>100</v>
      </c>
      <c r="E31" s="811"/>
      <c r="F31" s="804" t="e">
        <f>LOOKUP(E31,91:91,92:92)-LOOKUP(C31,91:91,92:92)+100</f>
        <v>#N/A</v>
      </c>
      <c r="G31" s="811"/>
      <c r="H31" s="778" t="e">
        <f>LOOKUP(G31,91:91,92:92)-LOOKUP(C31,91:91,92:92)+100</f>
        <v>#N/A</v>
      </c>
      <c r="I31" s="811"/>
      <c r="J31" s="778" t="e">
        <f>LOOKUP(I31,91:91,92:92)-LOOKUP(C31,91:91,92:92)+100</f>
        <v>#N/A</v>
      </c>
      <c r="K31" s="954"/>
      <c r="L31" s="2350"/>
      <c r="M31" s="2351"/>
      <c r="N31" s="2351"/>
      <c r="O31" s="2351"/>
      <c r="P31" s="3747"/>
      <c r="Q31" s="2829" t="str">
        <f t="shared" si="11"/>
        <v>停车位面积</v>
      </c>
      <c r="R31" s="1318" t="s">
        <v>65</v>
      </c>
      <c r="S31" s="1319" t="e">
        <f t="shared" si="12"/>
        <v>#N/A</v>
      </c>
      <c r="T31" s="1318" t="s">
        <v>65</v>
      </c>
      <c r="U31" s="1319" t="e">
        <f t="shared" si="13"/>
        <v>#N/A</v>
      </c>
      <c r="V31" s="1318" t="s">
        <v>65</v>
      </c>
      <c r="W31" s="1319" t="e">
        <f t="shared" si="14"/>
        <v>#N/A</v>
      </c>
      <c r="X31" s="1320"/>
      <c r="Y31" s="3747"/>
      <c r="Z31" s="344" t="str">
        <f t="shared" si="15"/>
        <v>停车位面积</v>
      </c>
      <c r="AA31" s="1321" t="e">
        <f t="shared" si="3"/>
        <v>#N/A</v>
      </c>
      <c r="AB31" s="1321" t="e">
        <f t="shared" si="4"/>
        <v>#N/A</v>
      </c>
      <c r="AC31" s="1321" t="e">
        <f t="shared" si="5"/>
        <v>#N/A</v>
      </c>
    </row>
    <row r="32" spans="1:29" ht="15">
      <c r="A32" s="998"/>
      <c r="B32" s="996" t="s">
        <v>464</v>
      </c>
      <c r="C32" s="803"/>
      <c r="D32" s="778">
        <v>100</v>
      </c>
      <c r="E32" s="803"/>
      <c r="F32" s="804">
        <f>SUMIF(93:93,E32,94:94)-SUMIF(93:93,C32,94:94)+100</f>
        <v>100</v>
      </c>
      <c r="G32" s="803"/>
      <c r="H32" s="778">
        <f>SUMIF(93:93,G32,94:94)-SUMIF(93:93,C32,94:94)+100</f>
        <v>100</v>
      </c>
      <c r="I32" s="803"/>
      <c r="J32" s="778">
        <f>SUMIF(93:93,I32,94:94)-SUMIF(93:93,C32,94:94)+100</f>
        <v>100</v>
      </c>
      <c r="K32" s="954"/>
      <c r="L32" s="2358"/>
      <c r="M32" s="2349"/>
      <c r="N32" s="2349"/>
      <c r="O32" s="2349"/>
      <c r="P32" s="3747" t="s">
        <v>408</v>
      </c>
      <c r="Q32" s="2831" t="str">
        <f t="shared" si="11"/>
        <v>车位类型</v>
      </c>
      <c r="R32" s="1323" t="s">
        <v>65</v>
      </c>
      <c r="S32" s="1324">
        <f t="shared" si="12"/>
        <v>100</v>
      </c>
      <c r="T32" s="1323" t="s">
        <v>65</v>
      </c>
      <c r="U32" s="1324">
        <f t="shared" si="13"/>
        <v>100</v>
      </c>
      <c r="V32" s="1323" t="s">
        <v>65</v>
      </c>
      <c r="W32" s="1324">
        <f t="shared" si="14"/>
        <v>100</v>
      </c>
      <c r="X32" s="2830"/>
      <c r="Y32" s="3747" t="s">
        <v>408</v>
      </c>
      <c r="Z32" s="2832" t="str">
        <f t="shared" si="15"/>
        <v>车位类型</v>
      </c>
      <c r="AA32" s="1326">
        <f t="shared" si="3"/>
        <v>1</v>
      </c>
      <c r="AB32" s="1326">
        <f t="shared" si="4"/>
        <v>1</v>
      </c>
      <c r="AC32" s="1326">
        <f t="shared" si="5"/>
        <v>1</v>
      </c>
    </row>
    <row r="33" spans="1:29" ht="15">
      <c r="A33" s="998"/>
      <c r="B33" s="996" t="s">
        <v>465</v>
      </c>
      <c r="C33" s="803"/>
      <c r="D33" s="778">
        <v>100</v>
      </c>
      <c r="E33" s="803"/>
      <c r="F33" s="804">
        <f>SUMIF(95:95,E33,96:96)-SUMIF(95:95,C33,96:96)+100</f>
        <v>100</v>
      </c>
      <c r="G33" s="803"/>
      <c r="H33" s="778">
        <f>SUMIF(95:95,G33,96:96)-SUMIF(95:95,C33,96:96)+100</f>
        <v>100</v>
      </c>
      <c r="I33" s="803"/>
      <c r="J33" s="778">
        <f>SUMIF(95:95,I33,96:96)-SUMIF(95:95,C33,96:96)+100</f>
        <v>100</v>
      </c>
      <c r="K33" s="954"/>
      <c r="L33" s="2358"/>
      <c r="M33" s="2349"/>
      <c r="N33" s="2349"/>
      <c r="O33" s="2349"/>
      <c r="P33" s="3747"/>
      <c r="Q33" s="2831" t="str">
        <f t="shared" si="11"/>
        <v>是否直接入户</v>
      </c>
      <c r="R33" s="1323" t="s">
        <v>65</v>
      </c>
      <c r="S33" s="1324">
        <f t="shared" si="12"/>
        <v>100</v>
      </c>
      <c r="T33" s="1323" t="s">
        <v>65</v>
      </c>
      <c r="U33" s="1324">
        <f t="shared" si="13"/>
        <v>100</v>
      </c>
      <c r="V33" s="1323" t="s">
        <v>65</v>
      </c>
      <c r="W33" s="1324">
        <f t="shared" si="14"/>
        <v>100</v>
      </c>
      <c r="X33" s="2830"/>
      <c r="Y33" s="3747"/>
      <c r="Z33" s="2832" t="str">
        <f t="shared" si="15"/>
        <v>是否直接入户</v>
      </c>
      <c r="AA33" s="1326">
        <f t="shared" si="3"/>
        <v>1</v>
      </c>
      <c r="AB33" s="1326">
        <f t="shared" si="4"/>
        <v>1</v>
      </c>
      <c r="AC33" s="1326">
        <f t="shared" si="5"/>
        <v>1</v>
      </c>
    </row>
    <row r="34" spans="1:29" ht="15">
      <c r="A34" s="998"/>
      <c r="B34" s="990">
        <v>111</v>
      </c>
      <c r="C34" s="775"/>
      <c r="D34" s="778">
        <v>100</v>
      </c>
      <c r="E34" s="775"/>
      <c r="F34" s="804">
        <f>SUMIF(97:97,E34,98:98)-SUMIF(97:97,C34,98:98)+100</f>
        <v>100</v>
      </c>
      <c r="G34" s="775"/>
      <c r="H34" s="778">
        <f>SUMIF(97:97,G34,98:98)-SUMIF(97:97,C34,98:98)+100</f>
        <v>100</v>
      </c>
      <c r="I34" s="775"/>
      <c r="J34" s="778">
        <f>SUMIF(97:97,I34,98:98)-SUMIF(97:97,C34,98:98)+100</f>
        <v>100</v>
      </c>
      <c r="K34" s="955"/>
      <c r="L34" s="2358"/>
      <c r="M34" s="2349"/>
      <c r="N34" s="2349"/>
      <c r="O34" s="2349"/>
      <c r="P34" s="3747"/>
      <c r="Q34" s="2831">
        <f t="shared" si="11"/>
        <v>111</v>
      </c>
      <c r="R34" s="1323" t="s">
        <v>65</v>
      </c>
      <c r="S34" s="1324">
        <f t="shared" si="12"/>
        <v>100</v>
      </c>
      <c r="T34" s="1323" t="s">
        <v>65</v>
      </c>
      <c r="U34" s="1324">
        <f t="shared" si="13"/>
        <v>100</v>
      </c>
      <c r="V34" s="1323" t="s">
        <v>65</v>
      </c>
      <c r="W34" s="1324">
        <f t="shared" si="14"/>
        <v>100</v>
      </c>
      <c r="X34" s="2830"/>
      <c r="Y34" s="3747"/>
      <c r="Z34" s="2832">
        <f t="shared" si="15"/>
        <v>111</v>
      </c>
      <c r="AA34" s="1326">
        <f t="shared" si="3"/>
        <v>1</v>
      </c>
      <c r="AB34" s="1326">
        <f t="shared" si="4"/>
        <v>1</v>
      </c>
      <c r="AC34" s="1326">
        <f t="shared" si="5"/>
        <v>1</v>
      </c>
    </row>
    <row r="35" spans="1:29" s="813" customFormat="1" ht="15">
      <c r="A35" s="995"/>
      <c r="B35" s="990">
        <v>111</v>
      </c>
      <c r="C35" s="775"/>
      <c r="D35" s="778">
        <v>100</v>
      </c>
      <c r="E35" s="775"/>
      <c r="F35" s="804">
        <f>SUMIF(99:99,E35,100:100)-SUMIF(99:99,C35,100:100)+100</f>
        <v>100</v>
      </c>
      <c r="G35" s="775"/>
      <c r="H35" s="778">
        <f>SUMIF(99:99,G35,100:100)-SUMIF(99:99,C35,100:100)+100</f>
        <v>100</v>
      </c>
      <c r="I35" s="775"/>
      <c r="J35" s="778">
        <f>SUMIF(99:99,I35,100:100)-SUMIF(99:99,C35,100:100)+100</f>
        <v>100</v>
      </c>
      <c r="K35" s="955"/>
      <c r="L35" s="2356"/>
      <c r="M35" s="2359"/>
      <c r="N35" s="2359"/>
      <c r="O35" s="2359"/>
      <c r="P35" s="3747"/>
      <c r="Q35" s="1327">
        <f t="shared" si="11"/>
        <v>111</v>
      </c>
      <c r="R35" s="1328" t="s">
        <v>65</v>
      </c>
      <c r="S35" s="1329">
        <f t="shared" si="12"/>
        <v>100</v>
      </c>
      <c r="T35" s="1328" t="s">
        <v>65</v>
      </c>
      <c r="U35" s="1329">
        <f t="shared" si="13"/>
        <v>100</v>
      </c>
      <c r="V35" s="1328" t="s">
        <v>65</v>
      </c>
      <c r="W35" s="1329">
        <f t="shared" si="14"/>
        <v>100</v>
      </c>
      <c r="X35" s="1330"/>
      <c r="Y35" s="3747"/>
      <c r="Z35" s="1331">
        <f t="shared" si="15"/>
        <v>111</v>
      </c>
      <c r="AA35" s="1326">
        <f t="shared" si="3"/>
        <v>1</v>
      </c>
      <c r="AB35" s="1326">
        <f t="shared" si="4"/>
        <v>1</v>
      </c>
      <c r="AC35" s="1326">
        <f t="shared" si="5"/>
        <v>1</v>
      </c>
    </row>
    <row r="36" spans="1:29" ht="15.75" thickBot="1">
      <c r="A36" s="1001"/>
      <c r="B36" s="977">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5"/>
      <c r="L36" s="2358"/>
      <c r="M36" s="2349"/>
      <c r="N36" s="2349"/>
      <c r="O36" s="2349"/>
      <c r="P36" s="3747"/>
      <c r="Q36" s="2831">
        <f t="shared" si="11"/>
        <v>111</v>
      </c>
      <c r="R36" s="1323" t="s">
        <v>65</v>
      </c>
      <c r="S36" s="1324">
        <f t="shared" si="12"/>
        <v>100</v>
      </c>
      <c r="T36" s="1323" t="s">
        <v>65</v>
      </c>
      <c r="U36" s="1324">
        <f t="shared" si="13"/>
        <v>100</v>
      </c>
      <c r="V36" s="1323" t="s">
        <v>65</v>
      </c>
      <c r="W36" s="1324">
        <f t="shared" si="14"/>
        <v>100</v>
      </c>
      <c r="X36" s="2830"/>
      <c r="Y36" s="3747"/>
      <c r="Z36" s="2832">
        <f t="shared" si="15"/>
        <v>111</v>
      </c>
      <c r="AA36" s="1326">
        <f t="shared" si="3"/>
        <v>1</v>
      </c>
      <c r="AB36" s="1326">
        <f t="shared" si="4"/>
        <v>1</v>
      </c>
      <c r="AC36" s="1326">
        <f t="shared" si="5"/>
        <v>1</v>
      </c>
    </row>
    <row r="37" spans="1:29" ht="15">
      <c r="A37" s="163" t="s">
        <v>2130</v>
      </c>
      <c r="B37" s="2099" t="s">
        <v>2131</v>
      </c>
      <c r="C37" s="2833" t="s">
        <v>23</v>
      </c>
      <c r="D37" s="2834"/>
      <c r="E37" s="2835"/>
      <c r="F37" s="2836"/>
      <c r="G37" s="2837"/>
      <c r="H37" s="2838"/>
      <c r="I37" s="2835"/>
      <c r="J37" s="2838"/>
      <c r="K37" s="961"/>
      <c r="L37" s="2361"/>
      <c r="M37" s="2362"/>
      <c r="N37" s="2349"/>
      <c r="O37" s="2362"/>
      <c r="P37" s="3729" t="str">
        <f>A37</f>
        <v>成交单价</v>
      </c>
      <c r="Q37" s="3729"/>
      <c r="R37" s="3748">
        <f>E37</f>
        <v>0</v>
      </c>
      <c r="S37" s="3748"/>
      <c r="T37" s="3748">
        <f>G37</f>
        <v>0</v>
      </c>
      <c r="U37" s="3748"/>
      <c r="V37" s="3748">
        <f>I37</f>
        <v>0</v>
      </c>
      <c r="W37" s="3748"/>
      <c r="X37" s="1306"/>
      <c r="Y37" s="1332"/>
      <c r="Z37" s="1306"/>
      <c r="AA37" s="1306"/>
      <c r="AB37" s="1306"/>
      <c r="AC37" s="1306"/>
    </row>
    <row r="38" spans="1:29" ht="15.75" thickBot="1">
      <c r="A38" s="828" t="s">
        <v>410</v>
      </c>
      <c r="B38" s="166" t="str">
        <f>B37</f>
        <v>元/车位</v>
      </c>
      <c r="C38" s="2839" t="e">
        <f>R39</f>
        <v>#DIV/0!</v>
      </c>
      <c r="D38" s="2840"/>
      <c r="E38" s="2841" t="e">
        <f>R38</f>
        <v>#DIV/0!</v>
      </c>
      <c r="F38" s="2841"/>
      <c r="G38" s="2839" t="e">
        <f>T38</f>
        <v>#DIV/0!</v>
      </c>
      <c r="H38" s="2840"/>
      <c r="I38" s="2841" t="e">
        <f>V38</f>
        <v>#DIV/0!</v>
      </c>
      <c r="J38" s="2840"/>
      <c r="K38" s="962"/>
      <c r="L38" s="2361"/>
      <c r="M38" s="2362"/>
      <c r="N38" s="2362"/>
      <c r="O38" s="2362"/>
      <c r="P38" s="3729" t="str">
        <f>A38</f>
        <v>比较价值（元/平方米）</v>
      </c>
      <c r="Q38" s="3729"/>
      <c r="R38" s="3748" t="e">
        <f>IF(F1="售价",ROUND(PRODUCT(R37,AA7:AA36),0),ROUND(PRODUCT(R37,AA7:AA36),1))</f>
        <v>#DIV/0!</v>
      </c>
      <c r="S38" s="3748"/>
      <c r="T38" s="3748" t="e">
        <f>IF(F1="售价",ROUND(PRODUCT(T37,AB7:AB36),0),ROUND(PRODUCT(T37,AB7:AB36),1))</f>
        <v>#DIV/0!</v>
      </c>
      <c r="U38" s="3748"/>
      <c r="V38" s="3748" t="e">
        <f>IF(F1="售价",ROUND(PRODUCT(V37,AC7:AC36),0),ROUND(PRODUCT(V37,AC7:AC36),1))</f>
        <v>#DIV/0!</v>
      </c>
      <c r="W38" s="3748"/>
      <c r="X38" s="1306"/>
      <c r="Y38" s="1306"/>
      <c r="Z38" s="1306"/>
      <c r="AA38" s="1306"/>
      <c r="AB38" s="1306"/>
      <c r="AC38" s="1306"/>
    </row>
    <row r="39" spans="1:29" ht="15.75" thickBot="1">
      <c r="A39" s="834" t="s">
        <v>3019</v>
      </c>
      <c r="B39" s="835"/>
      <c r="C39" s="2843" t="e">
        <f>R39</f>
        <v>#DIV/0!</v>
      </c>
      <c r="D39" s="2843"/>
      <c r="E39" s="2843"/>
      <c r="F39" s="2843"/>
      <c r="G39" s="2843"/>
      <c r="H39" s="2843"/>
      <c r="I39" s="2843"/>
      <c r="J39" s="2843"/>
      <c r="K39" s="963"/>
      <c r="L39" s="2361"/>
      <c r="M39" s="2362"/>
      <c r="N39" s="2362"/>
      <c r="O39" s="2362"/>
      <c r="P39" s="3749" t="str">
        <f>A39</f>
        <v>估价对象XX用房的比较价值（楼面单价，元/平方米）</v>
      </c>
      <c r="Q39" s="3750"/>
      <c r="R39" s="3751" t="e">
        <f>IF(F1="售价",ROUND(AVERAGE(R38:V38),0),ROUND(AVERAGE(R38:V38),1))</f>
        <v>#DIV/0!</v>
      </c>
      <c r="S39" s="3751"/>
      <c r="T39" s="3751"/>
      <c r="U39" s="3751"/>
      <c r="V39" s="3751"/>
      <c r="W39" s="3751"/>
      <c r="X39" s="1306"/>
      <c r="Y39" s="1306"/>
      <c r="Z39" s="1306"/>
      <c r="AA39" s="1306"/>
      <c r="AB39" s="1306"/>
      <c r="AC39" s="1306"/>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39" t="s">
        <v>411</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39" t="s">
        <v>412</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4" customFormat="1" ht="13.5" customHeight="1">
      <c r="A44" s="2363"/>
      <c r="B44" s="2363"/>
      <c r="C44" s="839" t="s">
        <v>413</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4"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414</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0" customFormat="1" ht="15">
      <c r="A48" s="847" t="s">
        <v>2790</v>
      </c>
      <c r="B48" s="848"/>
      <c r="C48" s="3040" t="str">
        <f>YEAR(C7)&amp;"-"&amp;MONTH(C7)</f>
        <v>2017-9</v>
      </c>
      <c r="D48" s="3041">
        <f>EDATE(C48,-1)</f>
        <v>42948</v>
      </c>
      <c r="E48" s="3041">
        <f t="shared" ref="E48:O48" si="16">EDATE(D48,-1)</f>
        <v>42917</v>
      </c>
      <c r="F48" s="3041">
        <f t="shared" si="16"/>
        <v>42887</v>
      </c>
      <c r="G48" s="3041">
        <f t="shared" si="16"/>
        <v>42856</v>
      </c>
      <c r="H48" s="3041">
        <f t="shared" si="16"/>
        <v>42826</v>
      </c>
      <c r="I48" s="3041">
        <f t="shared" si="16"/>
        <v>42795</v>
      </c>
      <c r="J48" s="3041">
        <f t="shared" si="16"/>
        <v>42767</v>
      </c>
      <c r="K48" s="3041">
        <f t="shared" si="16"/>
        <v>42736</v>
      </c>
      <c r="L48" s="3041">
        <f t="shared" si="16"/>
        <v>42705</v>
      </c>
      <c r="M48" s="3041">
        <f t="shared" si="16"/>
        <v>42675</v>
      </c>
      <c r="N48" s="3041">
        <f t="shared" si="16"/>
        <v>42644</v>
      </c>
      <c r="O48" s="3041">
        <f t="shared" si="16"/>
        <v>42614</v>
      </c>
      <c r="P48" s="2864"/>
      <c r="Q48" s="2865"/>
      <c r="R48" s="2865"/>
      <c r="S48" s="2865"/>
      <c r="T48" s="2865"/>
      <c r="U48" s="2865"/>
      <c r="V48" s="2865"/>
      <c r="W48" s="2865"/>
      <c r="X48" s="2865"/>
      <c r="Y48" s="2865"/>
      <c r="Z48" s="2865"/>
      <c r="AA48" s="2865"/>
      <c r="AB48" s="2865"/>
      <c r="AC48" s="2865"/>
    </row>
    <row r="49" spans="1:29" s="407" customFormat="1" ht="15">
      <c r="A49" s="851"/>
      <c r="B49" s="852"/>
      <c r="C49" s="3030">
        <v>100</v>
      </c>
      <c r="D49" s="854"/>
      <c r="E49" s="854"/>
      <c r="F49" s="854"/>
      <c r="G49" s="854"/>
      <c r="H49" s="854"/>
      <c r="I49" s="854"/>
      <c r="J49" s="854"/>
      <c r="K49" s="854"/>
      <c r="L49" s="854"/>
      <c r="M49" s="855"/>
      <c r="N49" s="854"/>
      <c r="O49" s="855"/>
      <c r="P49" s="2854"/>
      <c r="Q49" s="2853"/>
      <c r="R49" s="2853"/>
      <c r="S49" s="2853"/>
      <c r="T49" s="2853"/>
      <c r="U49" s="2853"/>
      <c r="V49" s="2853"/>
      <c r="W49" s="2853"/>
      <c r="X49" s="2853"/>
      <c r="Y49" s="2853"/>
      <c r="Z49" s="2853"/>
      <c r="AA49" s="2853"/>
      <c r="AB49" s="2853"/>
      <c r="AC49" s="2853"/>
    </row>
    <row r="50" spans="1:29" s="407" customFormat="1" ht="15.75" thickBot="1">
      <c r="A50" s="857" t="s">
        <v>415</v>
      </c>
      <c r="B50" s="858"/>
      <c r="C50" s="859"/>
      <c r="D50" s="860"/>
      <c r="E50" s="860"/>
      <c r="F50" s="860"/>
      <c r="G50" s="860"/>
      <c r="H50" s="860"/>
      <c r="I50" s="860"/>
      <c r="J50" s="860"/>
      <c r="K50" s="860"/>
      <c r="L50" s="860"/>
      <c r="M50" s="861"/>
      <c r="N50" s="860"/>
      <c r="O50" s="861"/>
      <c r="P50" s="2854"/>
      <c r="Q50" s="2849"/>
      <c r="R50" s="2853"/>
      <c r="S50" s="2853"/>
      <c r="T50" s="2853"/>
      <c r="U50" s="2853"/>
      <c r="V50" s="2853"/>
      <c r="W50" s="2853"/>
      <c r="X50" s="2853"/>
      <c r="Y50" s="2853"/>
      <c r="Z50" s="2853"/>
      <c r="AA50" s="2853"/>
      <c r="AB50" s="2853"/>
      <c r="AC50" s="2853"/>
    </row>
    <row r="51" spans="1:29" s="407" customFormat="1" ht="15">
      <c r="A51" s="863" t="s">
        <v>399</v>
      </c>
      <c r="B51" s="852"/>
      <c r="C51" s="864" t="s">
        <v>416</v>
      </c>
      <c r="D51" s="865"/>
      <c r="E51" s="865"/>
      <c r="F51" s="865"/>
      <c r="G51" s="865"/>
      <c r="H51" s="865"/>
      <c r="I51" s="865"/>
      <c r="J51" s="865"/>
      <c r="K51" s="865"/>
      <c r="L51" s="866"/>
      <c r="M51" s="867"/>
      <c r="N51" s="2369"/>
      <c r="O51" s="2369"/>
      <c r="P51" s="2852"/>
      <c r="Q51" s="2849"/>
      <c r="R51" s="2853"/>
      <c r="S51" s="2853"/>
      <c r="T51" s="2853"/>
      <c r="U51" s="2853"/>
      <c r="V51" s="2853"/>
      <c r="W51" s="2853"/>
      <c r="X51" s="2853"/>
      <c r="Y51" s="2853"/>
      <c r="Z51" s="2853"/>
      <c r="AA51" s="2853"/>
      <c r="AB51" s="2853"/>
      <c r="AC51" s="2853"/>
    </row>
    <row r="52" spans="1:29" s="407" customFormat="1" ht="15.75" thickBot="1">
      <c r="A52" s="863"/>
      <c r="B52" s="852"/>
      <c r="C52" s="981">
        <v>100</v>
      </c>
      <c r="D52" s="854"/>
      <c r="E52" s="854"/>
      <c r="F52" s="854"/>
      <c r="G52" s="854"/>
      <c r="H52" s="854"/>
      <c r="I52" s="854"/>
      <c r="J52" s="854"/>
      <c r="K52" s="854"/>
      <c r="L52" s="854"/>
      <c r="M52" s="856"/>
      <c r="N52" s="2369"/>
      <c r="O52" s="2369"/>
      <c r="P52" s="2854"/>
      <c r="Q52" s="2849"/>
      <c r="R52" s="2853"/>
      <c r="S52" s="2853"/>
      <c r="T52" s="2853"/>
      <c r="U52" s="2853"/>
      <c r="V52" s="2853"/>
      <c r="W52" s="2853"/>
      <c r="X52" s="2853"/>
      <c r="Y52" s="2853"/>
      <c r="Z52" s="2853"/>
      <c r="AA52" s="2853"/>
      <c r="AB52" s="2853"/>
      <c r="AC52" s="2853"/>
    </row>
    <row r="53" spans="1:29">
      <c r="A53" s="869" t="s">
        <v>417</v>
      </c>
      <c r="B53" s="870" t="s">
        <v>418</v>
      </c>
      <c r="C53" s="871">
        <f>C9</f>
        <v>0</v>
      </c>
      <c r="D53" s="872"/>
      <c r="E53" s="872"/>
      <c r="F53" s="872"/>
      <c r="G53" s="872"/>
      <c r="H53" s="872"/>
      <c r="I53" s="872"/>
      <c r="J53" s="872"/>
      <c r="K53" s="873"/>
      <c r="L53" s="874"/>
      <c r="M53" s="875"/>
      <c r="N53" s="2370"/>
      <c r="O53" s="2370"/>
      <c r="P53" s="2855"/>
      <c r="Q53" s="2849"/>
      <c r="R53" s="2362"/>
      <c r="S53" s="2362"/>
      <c r="T53" s="2362"/>
      <c r="U53" s="2362"/>
      <c r="V53" s="2362"/>
      <c r="W53" s="2362"/>
      <c r="X53" s="2362"/>
      <c r="Y53" s="2362"/>
      <c r="Z53" s="2362"/>
      <c r="AA53" s="2362"/>
      <c r="AB53" s="2362"/>
      <c r="AC53" s="2362"/>
    </row>
    <row r="54" spans="1:29" ht="15.75" thickBot="1">
      <c r="A54" s="876"/>
      <c r="B54" s="877"/>
      <c r="C54" s="878">
        <v>100</v>
      </c>
      <c r="D54" s="878"/>
      <c r="E54" s="878"/>
      <c r="F54" s="878"/>
      <c r="G54" s="878"/>
      <c r="H54" s="878"/>
      <c r="I54" s="878"/>
      <c r="J54" s="878"/>
      <c r="K54" s="878"/>
      <c r="L54" s="878"/>
      <c r="M54" s="879"/>
      <c r="N54" s="2371"/>
      <c r="O54" s="2371"/>
      <c r="P54" s="2855"/>
      <c r="Q54" s="2849"/>
      <c r="R54" s="2362"/>
      <c r="S54" s="2362"/>
      <c r="T54" s="2362"/>
      <c r="U54" s="2362"/>
      <c r="V54" s="2362"/>
      <c r="W54" s="2362"/>
      <c r="X54" s="2362"/>
      <c r="Y54" s="2362"/>
      <c r="Z54" s="2362"/>
      <c r="AA54" s="2362"/>
      <c r="AB54" s="2362"/>
      <c r="AC54" s="2362"/>
    </row>
    <row r="55" spans="1:29" ht="27.75" thickTop="1">
      <c r="A55" s="876"/>
      <c r="B55" s="880" t="s">
        <v>403</v>
      </c>
      <c r="C55" s="881" t="s">
        <v>419</v>
      </c>
      <c r="D55" s="881" t="s">
        <v>420</v>
      </c>
      <c r="E55" s="881" t="s">
        <v>421</v>
      </c>
      <c r="F55" s="881" t="s">
        <v>422</v>
      </c>
      <c r="G55" s="881" t="s">
        <v>437</v>
      </c>
      <c r="H55" s="881" t="s">
        <v>438</v>
      </c>
      <c r="I55" s="881" t="s">
        <v>439</v>
      </c>
      <c r="J55" s="881"/>
      <c r="K55" s="882"/>
      <c r="L55" s="883"/>
      <c r="M55" s="884"/>
      <c r="N55" s="2370"/>
      <c r="O55" s="2370"/>
      <c r="P55" s="2855"/>
      <c r="Q55" s="2849"/>
      <c r="R55" s="2362"/>
      <c r="S55" s="2362"/>
      <c r="T55" s="2362"/>
      <c r="U55" s="2362"/>
      <c r="V55" s="2362"/>
      <c r="W55" s="2362"/>
      <c r="X55" s="2362"/>
      <c r="Y55" s="2362"/>
      <c r="Z55" s="2362"/>
      <c r="AA55" s="2362"/>
      <c r="AB55" s="2362"/>
      <c r="AC55" s="2362"/>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1"/>
      <c r="O56" s="2371"/>
      <c r="P56" s="2855"/>
      <c r="Q56" s="2849"/>
      <c r="R56" s="2362"/>
      <c r="S56" s="2362"/>
      <c r="T56" s="2362"/>
      <c r="U56" s="2362"/>
      <c r="V56" s="2362"/>
      <c r="W56" s="2362"/>
      <c r="X56" s="2362"/>
      <c r="Y56" s="2362"/>
      <c r="Z56" s="2362"/>
      <c r="AA56" s="2362"/>
      <c r="AB56" s="2362"/>
      <c r="AC56" s="2362"/>
    </row>
    <row r="57" spans="1:29" ht="15.75" thickTop="1">
      <c r="A57" s="876"/>
      <c r="B57" s="1002">
        <f>B11</f>
        <v>111</v>
      </c>
      <c r="C57" s="891"/>
      <c r="D57" s="891"/>
      <c r="E57" s="891"/>
      <c r="F57" s="891"/>
      <c r="G57" s="891"/>
      <c r="H57" s="891"/>
      <c r="I57" s="891"/>
      <c r="J57" s="891"/>
      <c r="K57" s="892"/>
      <c r="L57" s="893"/>
      <c r="M57" s="894"/>
      <c r="N57" s="2370"/>
      <c r="O57" s="2370"/>
      <c r="P57" s="2855"/>
      <c r="Q57" s="2849"/>
      <c r="R57" s="2362"/>
      <c r="S57" s="2362"/>
      <c r="T57" s="2362"/>
      <c r="U57" s="2362"/>
      <c r="V57" s="2362"/>
      <c r="W57" s="2362"/>
      <c r="X57" s="2362"/>
      <c r="Y57" s="2362"/>
      <c r="Z57" s="2362"/>
      <c r="AA57" s="2362"/>
      <c r="AB57" s="2362"/>
      <c r="AC57" s="2362"/>
    </row>
    <row r="58" spans="1:29" ht="15.75" thickBot="1">
      <c r="A58" s="876"/>
      <c r="B58" s="877"/>
      <c r="C58" s="902"/>
      <c r="D58" s="878"/>
      <c r="E58" s="878"/>
      <c r="F58" s="878"/>
      <c r="G58" s="878"/>
      <c r="H58" s="878"/>
      <c r="I58" s="878"/>
      <c r="J58" s="878"/>
      <c r="K58" s="878"/>
      <c r="L58" s="878"/>
      <c r="M58" s="879"/>
      <c r="N58" s="2371"/>
      <c r="O58" s="2371"/>
      <c r="P58" s="2855"/>
      <c r="Q58" s="2849"/>
      <c r="R58" s="2362"/>
      <c r="S58" s="2362"/>
      <c r="T58" s="2362"/>
      <c r="U58" s="2362"/>
      <c r="V58" s="2362"/>
      <c r="W58" s="2362"/>
      <c r="X58" s="2362"/>
      <c r="Y58" s="2362"/>
      <c r="Z58" s="2362"/>
      <c r="AA58" s="2362"/>
      <c r="AB58" s="2362"/>
      <c r="AC58" s="2362"/>
    </row>
    <row r="59" spans="1:29" s="813" customFormat="1" ht="15.75" thickTop="1">
      <c r="A59" s="895"/>
      <c r="B59" s="880">
        <f>B12</f>
        <v>111</v>
      </c>
      <c r="C59" s="891"/>
      <c r="D59" s="891"/>
      <c r="E59" s="891"/>
      <c r="F59" s="891"/>
      <c r="G59" s="896"/>
      <c r="H59" s="897"/>
      <c r="I59" s="897"/>
      <c r="J59" s="897"/>
      <c r="K59" s="897"/>
      <c r="L59" s="898"/>
      <c r="M59" s="899"/>
      <c r="N59" s="2372"/>
      <c r="O59" s="2372"/>
      <c r="P59" s="2856"/>
      <c r="Q59" s="2857"/>
      <c r="R59" s="2858"/>
      <c r="S59" s="2858"/>
      <c r="T59" s="2858"/>
      <c r="U59" s="2858"/>
      <c r="V59" s="2858"/>
      <c r="W59" s="2858"/>
      <c r="X59" s="2858"/>
      <c r="Y59" s="2858"/>
      <c r="Z59" s="2858"/>
      <c r="AA59" s="2858"/>
      <c r="AB59" s="2858"/>
      <c r="AC59" s="2858"/>
    </row>
    <row r="60" spans="1:29" s="813" customFormat="1" ht="15.75" thickBot="1">
      <c r="A60" s="895"/>
      <c r="B60" s="885"/>
      <c r="C60" s="902"/>
      <c r="D60" s="878"/>
      <c r="E60" s="878"/>
      <c r="F60" s="878"/>
      <c r="G60" s="878"/>
      <c r="H60" s="878"/>
      <c r="I60" s="878"/>
      <c r="J60" s="878"/>
      <c r="K60" s="878"/>
      <c r="L60" s="878"/>
      <c r="M60" s="879"/>
      <c r="N60" s="2371"/>
      <c r="O60" s="2371"/>
      <c r="P60" s="2856"/>
      <c r="Q60" s="2857"/>
      <c r="R60" s="2858"/>
      <c r="S60" s="2858"/>
      <c r="T60" s="2858"/>
      <c r="U60" s="2858"/>
      <c r="V60" s="2858"/>
      <c r="W60" s="2858"/>
      <c r="X60" s="2858"/>
      <c r="Y60" s="2858"/>
      <c r="Z60" s="2858"/>
      <c r="AA60" s="2858"/>
      <c r="AB60" s="2858"/>
      <c r="AC60" s="2858"/>
    </row>
    <row r="61" spans="1:29" s="813" customFormat="1" ht="15.75" thickTop="1">
      <c r="A61" s="895"/>
      <c r="B61" s="880">
        <f>B13</f>
        <v>111</v>
      </c>
      <c r="C61" s="896"/>
      <c r="D61" s="896"/>
      <c r="E61" s="896"/>
      <c r="F61" s="896"/>
      <c r="G61" s="896"/>
      <c r="H61" s="897"/>
      <c r="I61" s="897"/>
      <c r="J61" s="897"/>
      <c r="K61" s="897"/>
      <c r="L61" s="898"/>
      <c r="M61" s="899"/>
      <c r="N61" s="2372"/>
      <c r="O61" s="2372"/>
      <c r="P61" s="2859"/>
      <c r="Q61" s="2860"/>
      <c r="R61" s="2858"/>
      <c r="S61" s="2858"/>
      <c r="T61" s="2858"/>
      <c r="U61" s="2858"/>
      <c r="V61" s="2858"/>
      <c r="W61" s="2858"/>
      <c r="X61" s="2858"/>
      <c r="Y61" s="2858"/>
      <c r="Z61" s="2858"/>
      <c r="AA61" s="2858"/>
      <c r="AB61" s="2858"/>
      <c r="AC61" s="2858"/>
    </row>
    <row r="62" spans="1:29" s="813" customFormat="1" ht="15.75" thickBot="1">
      <c r="A62" s="895"/>
      <c r="B62" s="885"/>
      <c r="C62" s="902"/>
      <c r="D62" s="902"/>
      <c r="E62" s="902"/>
      <c r="F62" s="902"/>
      <c r="G62" s="902"/>
      <c r="H62" s="904"/>
      <c r="I62" s="904"/>
      <c r="J62" s="904"/>
      <c r="K62" s="904"/>
      <c r="L62" s="904"/>
      <c r="M62" s="905"/>
      <c r="N62" s="2372"/>
      <c r="O62" s="2372"/>
      <c r="P62" s="2856"/>
      <c r="Q62" s="2857"/>
      <c r="R62" s="2858"/>
      <c r="S62" s="2858"/>
      <c r="T62" s="2858"/>
      <c r="U62" s="2858"/>
      <c r="V62" s="2858"/>
      <c r="W62" s="2858"/>
      <c r="X62" s="2858"/>
      <c r="Y62" s="2858"/>
      <c r="Z62" s="2858"/>
      <c r="AA62" s="2858"/>
      <c r="AB62" s="2858"/>
      <c r="AC62" s="2858"/>
    </row>
    <row r="63" spans="1:29" ht="15" thickTop="1">
      <c r="A63" s="869" t="s">
        <v>405</v>
      </c>
      <c r="B63" s="870" t="s">
        <v>429</v>
      </c>
      <c r="C63" s="915" t="s">
        <v>424</v>
      </c>
      <c r="D63" s="915" t="s">
        <v>425</v>
      </c>
      <c r="E63" s="915" t="s">
        <v>426</v>
      </c>
      <c r="F63" s="915" t="s">
        <v>427</v>
      </c>
      <c r="G63" s="915" t="s">
        <v>428</v>
      </c>
      <c r="H63" s="871"/>
      <c r="I63" s="871"/>
      <c r="J63" s="871"/>
      <c r="K63" s="916"/>
      <c r="L63" s="917"/>
      <c r="M63" s="918"/>
      <c r="N63" s="2370"/>
      <c r="O63" s="2370"/>
      <c r="P63" s="2861"/>
      <c r="Q63" s="2849"/>
      <c r="R63" s="2362"/>
      <c r="S63" s="2362"/>
      <c r="T63" s="2362"/>
      <c r="U63" s="2362"/>
      <c r="V63" s="2362"/>
      <c r="W63" s="2362"/>
      <c r="X63" s="2362"/>
      <c r="Y63" s="2362"/>
      <c r="Z63" s="2362"/>
      <c r="AA63" s="2362"/>
      <c r="AB63" s="2362"/>
      <c r="AC63" s="2362"/>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1"/>
      <c r="O64" s="2371"/>
      <c r="P64" s="2855"/>
      <c r="Q64" s="2849"/>
      <c r="R64" s="2362"/>
      <c r="S64" s="2362"/>
      <c r="T64" s="2362"/>
      <c r="U64" s="2362"/>
      <c r="V64" s="2362"/>
      <c r="W64" s="2362"/>
      <c r="X64" s="2362"/>
      <c r="Y64" s="2362"/>
      <c r="Z64" s="2362"/>
      <c r="AA64" s="2362"/>
      <c r="AB64" s="2362"/>
      <c r="AC64" s="2362"/>
    </row>
    <row r="65" spans="1:29" ht="15.75" thickTop="1">
      <c r="A65" s="876"/>
      <c r="B65" s="1053" t="s">
        <v>2633</v>
      </c>
      <c r="C65" s="920" t="s">
        <v>424</v>
      </c>
      <c r="D65" s="920" t="s">
        <v>425</v>
      </c>
      <c r="E65" s="920" t="s">
        <v>426</v>
      </c>
      <c r="F65" s="920" t="s">
        <v>427</v>
      </c>
      <c r="G65" s="920" t="s">
        <v>428</v>
      </c>
      <c r="H65" s="881"/>
      <c r="I65" s="881"/>
      <c r="J65" s="881"/>
      <c r="K65" s="882"/>
      <c r="L65" s="883"/>
      <c r="M65" s="884"/>
      <c r="N65" s="2370"/>
      <c r="O65" s="2370"/>
      <c r="P65" s="2855"/>
      <c r="Q65" s="2849"/>
      <c r="R65" s="2362"/>
      <c r="S65" s="2362"/>
      <c r="T65" s="2362"/>
      <c r="U65" s="2362"/>
      <c r="V65" s="2362"/>
      <c r="W65" s="2362"/>
      <c r="X65" s="2362"/>
      <c r="Y65" s="2362"/>
      <c r="Z65" s="2362"/>
      <c r="AA65" s="2362"/>
      <c r="AB65" s="2362"/>
      <c r="AC65" s="2362"/>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1"/>
      <c r="O66" s="2371"/>
      <c r="P66" s="2855"/>
      <c r="Q66" s="2849"/>
      <c r="R66" s="2362"/>
      <c r="S66" s="2362"/>
      <c r="T66" s="2362"/>
      <c r="U66" s="2362"/>
      <c r="V66" s="2362"/>
      <c r="W66" s="2362"/>
      <c r="X66" s="2362"/>
      <c r="Y66" s="2362"/>
      <c r="Z66" s="2362"/>
      <c r="AA66" s="2362"/>
      <c r="AB66" s="2362"/>
      <c r="AC66" s="2362"/>
    </row>
    <row r="67" spans="1:29" ht="15.75" thickTop="1">
      <c r="A67" s="876"/>
      <c r="B67" s="1055" t="s">
        <v>2663</v>
      </c>
      <c r="C67" s="213" t="s">
        <v>2653</v>
      </c>
      <c r="D67" s="213" t="s">
        <v>2654</v>
      </c>
      <c r="E67" s="213" t="s">
        <v>2655</v>
      </c>
      <c r="F67" s="213" t="s">
        <v>2656</v>
      </c>
      <c r="G67" s="213" t="s">
        <v>2657</v>
      </c>
      <c r="H67" s="881"/>
      <c r="I67" s="881"/>
      <c r="J67" s="881"/>
      <c r="K67" s="881"/>
      <c r="L67" s="881"/>
      <c r="M67" s="2765"/>
      <c r="N67" s="2371"/>
      <c r="O67" s="2371"/>
      <c r="P67" s="2855"/>
      <c r="Q67" s="2849"/>
      <c r="R67" s="2362"/>
      <c r="S67" s="2362"/>
      <c r="T67" s="2362"/>
      <c r="U67" s="2362"/>
      <c r="V67" s="2362"/>
      <c r="W67" s="2362"/>
      <c r="X67" s="2362"/>
      <c r="Y67" s="2362"/>
      <c r="Z67" s="2362"/>
      <c r="AA67" s="2362"/>
      <c r="AB67" s="2362"/>
      <c r="AC67" s="2362"/>
    </row>
    <row r="68" spans="1:29" ht="15.75" thickBot="1">
      <c r="A68" s="876"/>
      <c r="B68" s="888"/>
      <c r="C68" s="886">
        <v>100</v>
      </c>
      <c r="D68" s="886">
        <f>C68-$K18</f>
        <v>100</v>
      </c>
      <c r="E68" s="886">
        <f>D68-$K18</f>
        <v>100</v>
      </c>
      <c r="F68" s="886">
        <f>E68-$K18</f>
        <v>100</v>
      </c>
      <c r="G68" s="886">
        <f>F68-$K18</f>
        <v>100</v>
      </c>
      <c r="H68" s="1002"/>
      <c r="I68" s="1002"/>
      <c r="J68" s="1002"/>
      <c r="K68" s="1002"/>
      <c r="L68" s="1002"/>
      <c r="M68" s="793"/>
      <c r="N68" s="2371"/>
      <c r="O68" s="2371"/>
      <c r="P68" s="2855"/>
      <c r="Q68" s="2849"/>
      <c r="R68" s="2362"/>
      <c r="S68" s="2362"/>
      <c r="T68" s="2362"/>
      <c r="U68" s="2362"/>
      <c r="V68" s="2362"/>
      <c r="W68" s="2362"/>
      <c r="X68" s="2362"/>
      <c r="Y68" s="2362"/>
      <c r="Z68" s="2362"/>
      <c r="AA68" s="2362"/>
      <c r="AB68" s="2362"/>
      <c r="AC68" s="2362"/>
    </row>
    <row r="69" spans="1:29" ht="15.75" thickTop="1">
      <c r="A69" s="876"/>
      <c r="B69" s="880" t="s">
        <v>431</v>
      </c>
      <c r="C69" s="920" t="s">
        <v>424</v>
      </c>
      <c r="D69" s="920" t="s">
        <v>425</v>
      </c>
      <c r="E69" s="920" t="s">
        <v>426</v>
      </c>
      <c r="F69" s="920" t="s">
        <v>427</v>
      </c>
      <c r="G69" s="920" t="s">
        <v>428</v>
      </c>
      <c r="H69" s="881"/>
      <c r="I69" s="881"/>
      <c r="J69" s="881"/>
      <c r="K69" s="882"/>
      <c r="L69" s="883"/>
      <c r="M69" s="884"/>
      <c r="N69" s="2370"/>
      <c r="O69" s="2370"/>
      <c r="P69" s="2855"/>
      <c r="Q69" s="2849"/>
      <c r="R69" s="2362"/>
      <c r="S69" s="2362"/>
      <c r="T69" s="2362"/>
      <c r="U69" s="2362"/>
      <c r="V69" s="2362"/>
      <c r="W69" s="2362"/>
      <c r="X69" s="2362"/>
      <c r="Y69" s="2362"/>
      <c r="Z69" s="2362"/>
      <c r="AA69" s="2362"/>
      <c r="AB69" s="2362"/>
      <c r="AC69" s="2362"/>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1"/>
      <c r="O70" s="2371"/>
      <c r="P70" s="2855"/>
      <c r="Q70" s="2849"/>
      <c r="R70" s="2362"/>
      <c r="S70" s="2362"/>
      <c r="T70" s="2362"/>
      <c r="U70" s="2362"/>
      <c r="V70" s="2362"/>
      <c r="W70" s="2362"/>
      <c r="X70" s="2362"/>
      <c r="Y70" s="2362"/>
      <c r="Z70" s="2362"/>
      <c r="AA70" s="2362"/>
      <c r="AB70" s="2362"/>
      <c r="AC70" s="2362"/>
    </row>
    <row r="71" spans="1:29" ht="15.75" thickTop="1">
      <c r="A71" s="876"/>
      <c r="B71" s="880" t="s">
        <v>432</v>
      </c>
      <c r="C71" s="896"/>
      <c r="D71" s="896"/>
      <c r="E71" s="896"/>
      <c r="F71" s="896"/>
      <c r="G71" s="896"/>
      <c r="H71" s="925"/>
      <c r="I71" s="925"/>
      <c r="J71" s="925"/>
      <c r="K71" s="926"/>
      <c r="L71" s="927"/>
      <c r="M71" s="928"/>
      <c r="N71" s="2370"/>
      <c r="O71" s="2370"/>
      <c r="P71" s="2855"/>
      <c r="Q71" s="2849"/>
      <c r="R71" s="2362"/>
      <c r="S71" s="2362"/>
      <c r="T71" s="2362"/>
      <c r="U71" s="2362"/>
      <c r="V71" s="2362"/>
      <c r="W71" s="2362"/>
      <c r="X71" s="2362"/>
      <c r="Y71" s="2362"/>
      <c r="Z71" s="2362"/>
      <c r="AA71" s="2362"/>
      <c r="AB71" s="2362"/>
      <c r="AC71" s="2362"/>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1"/>
      <c r="O72" s="2371"/>
      <c r="P72" s="2855"/>
      <c r="Q72" s="2849"/>
      <c r="R72" s="2362"/>
      <c r="S72" s="2362"/>
      <c r="T72" s="2362"/>
      <c r="U72" s="2362"/>
      <c r="V72" s="2362"/>
      <c r="W72" s="2362"/>
      <c r="X72" s="2362"/>
      <c r="Y72" s="2362"/>
      <c r="Z72" s="2362"/>
      <c r="AA72" s="2362"/>
      <c r="AB72" s="2362"/>
      <c r="AC72" s="2362"/>
    </row>
    <row r="73" spans="1:29" s="407" customFormat="1" ht="15.75" thickTop="1">
      <c r="A73" s="921"/>
      <c r="B73" s="880">
        <f>B23</f>
        <v>111</v>
      </c>
      <c r="C73" s="891"/>
      <c r="D73" s="891"/>
      <c r="E73" s="891"/>
      <c r="F73" s="891"/>
      <c r="G73" s="896"/>
      <c r="H73" s="896"/>
      <c r="I73" s="896"/>
      <c r="J73" s="896"/>
      <c r="K73" s="896"/>
      <c r="L73" s="922"/>
      <c r="M73" s="923"/>
      <c r="N73" s="2369"/>
      <c r="O73" s="2369"/>
      <c r="P73" s="2855"/>
      <c r="Q73" s="2849"/>
      <c r="R73" s="2853"/>
      <c r="S73" s="2853"/>
      <c r="T73" s="2853"/>
      <c r="U73" s="2853"/>
      <c r="V73" s="2853"/>
      <c r="W73" s="2853"/>
      <c r="X73" s="2853"/>
      <c r="Y73" s="2853"/>
      <c r="Z73" s="2853"/>
      <c r="AA73" s="2853"/>
      <c r="AB73" s="2853"/>
      <c r="AC73" s="2853"/>
    </row>
    <row r="74" spans="1:29" s="407" customFormat="1" ht="15.75" thickBot="1">
      <c r="A74" s="921"/>
      <c r="B74" s="885"/>
      <c r="C74" s="902"/>
      <c r="D74" s="878"/>
      <c r="E74" s="878"/>
      <c r="F74" s="878"/>
      <c r="G74" s="878"/>
      <c r="H74" s="878"/>
      <c r="I74" s="878"/>
      <c r="J74" s="878"/>
      <c r="K74" s="878"/>
      <c r="L74" s="878"/>
      <c r="M74" s="879"/>
      <c r="N74" s="2371"/>
      <c r="O74" s="2371"/>
      <c r="P74" s="2855"/>
      <c r="Q74" s="2849"/>
      <c r="R74" s="2853"/>
      <c r="S74" s="2853"/>
      <c r="T74" s="2853"/>
      <c r="U74" s="2853"/>
      <c r="V74" s="2853"/>
      <c r="W74" s="2853"/>
      <c r="X74" s="2853"/>
      <c r="Y74" s="2853"/>
      <c r="Z74" s="2853"/>
      <c r="AA74" s="2853"/>
      <c r="AB74" s="2853"/>
      <c r="AC74" s="2853"/>
    </row>
    <row r="75" spans="1:29" s="407" customFormat="1" ht="15.75" thickTop="1">
      <c r="A75" s="921"/>
      <c r="B75" s="880">
        <f>B24</f>
        <v>111</v>
      </c>
      <c r="C75" s="891"/>
      <c r="D75" s="891"/>
      <c r="E75" s="891"/>
      <c r="F75" s="891"/>
      <c r="G75" s="896"/>
      <c r="H75" s="896"/>
      <c r="I75" s="896"/>
      <c r="J75" s="896"/>
      <c r="K75" s="896"/>
      <c r="L75" s="896"/>
      <c r="M75" s="923"/>
      <c r="N75" s="2369"/>
      <c r="O75" s="2369"/>
      <c r="P75" s="2855"/>
      <c r="Q75" s="2849"/>
      <c r="R75" s="2853"/>
      <c r="S75" s="2853"/>
      <c r="T75" s="2853"/>
      <c r="U75" s="2853"/>
      <c r="V75" s="2853"/>
      <c r="W75" s="2853"/>
      <c r="X75" s="2853"/>
      <c r="Y75" s="2853"/>
      <c r="Z75" s="2853"/>
      <c r="AA75" s="2853"/>
      <c r="AB75" s="2853"/>
      <c r="AC75" s="2853"/>
    </row>
    <row r="76" spans="1:29" s="407" customFormat="1" ht="15.75" thickBot="1">
      <c r="A76" s="921"/>
      <c r="B76" s="885"/>
      <c r="C76" s="902"/>
      <c r="D76" s="878"/>
      <c r="E76" s="878"/>
      <c r="F76" s="878"/>
      <c r="G76" s="878"/>
      <c r="H76" s="878"/>
      <c r="I76" s="878"/>
      <c r="J76" s="878"/>
      <c r="K76" s="878"/>
      <c r="L76" s="878"/>
      <c r="M76" s="879"/>
      <c r="N76" s="2371"/>
      <c r="O76" s="2371"/>
      <c r="P76" s="2855"/>
      <c r="Q76" s="2849"/>
      <c r="R76" s="2853"/>
      <c r="S76" s="2853"/>
      <c r="T76" s="2853"/>
      <c r="U76" s="2853"/>
      <c r="V76" s="2853"/>
      <c r="W76" s="2853"/>
      <c r="X76" s="2853"/>
      <c r="Y76" s="2853"/>
      <c r="Z76" s="2853"/>
      <c r="AA76" s="2853"/>
      <c r="AB76" s="2853"/>
      <c r="AC76" s="2853"/>
    </row>
    <row r="77" spans="1:29" s="813" customFormat="1" ht="15.75" thickTop="1">
      <c r="A77" s="895"/>
      <c r="B77" s="880">
        <f>B25</f>
        <v>111</v>
      </c>
      <c r="C77" s="896"/>
      <c r="D77" s="896"/>
      <c r="E77" s="896"/>
      <c r="F77" s="896"/>
      <c r="G77" s="896"/>
      <c r="H77" s="897"/>
      <c r="I77" s="897"/>
      <c r="J77" s="897"/>
      <c r="K77" s="897"/>
      <c r="L77" s="898"/>
      <c r="M77" s="899"/>
      <c r="N77" s="2372"/>
      <c r="O77" s="2372"/>
      <c r="P77" s="2856"/>
      <c r="Q77" s="2857"/>
      <c r="R77" s="2858"/>
      <c r="S77" s="2858"/>
      <c r="T77" s="2858"/>
      <c r="U77" s="2858"/>
      <c r="V77" s="2858"/>
      <c r="W77" s="2858"/>
      <c r="X77" s="2858"/>
      <c r="Y77" s="2858"/>
      <c r="Z77" s="2858"/>
      <c r="AA77" s="2858"/>
      <c r="AB77" s="2858"/>
      <c r="AC77" s="2858"/>
    </row>
    <row r="78" spans="1:29" s="813" customFormat="1" ht="15.75" thickBot="1">
      <c r="A78" s="895"/>
      <c r="B78" s="885"/>
      <c r="C78" s="902"/>
      <c r="D78" s="902"/>
      <c r="E78" s="902"/>
      <c r="F78" s="902"/>
      <c r="G78" s="878"/>
      <c r="H78" s="878"/>
      <c r="I78" s="878"/>
      <c r="J78" s="878"/>
      <c r="K78" s="878"/>
      <c r="L78" s="878"/>
      <c r="M78" s="879"/>
      <c r="N78" s="2372"/>
      <c r="O78" s="2372"/>
      <c r="P78" s="2856"/>
      <c r="Q78" s="2857"/>
      <c r="R78" s="2858"/>
      <c r="S78" s="2858"/>
      <c r="T78" s="2858"/>
      <c r="U78" s="2858"/>
      <c r="V78" s="2858"/>
      <c r="W78" s="2858"/>
      <c r="X78" s="2858"/>
      <c r="Y78" s="2858"/>
      <c r="Z78" s="2858"/>
      <c r="AA78" s="2858"/>
      <c r="AB78" s="2858"/>
      <c r="AC78" s="2858"/>
    </row>
    <row r="79" spans="1:29" ht="27.75" thickTop="1">
      <c r="A79" s="869" t="s">
        <v>407</v>
      </c>
      <c r="B79" s="870" t="s">
        <v>466</v>
      </c>
      <c r="C79" s="871">
        <f>C26</f>
        <v>0</v>
      </c>
      <c r="D79" s="872"/>
      <c r="E79" s="872"/>
      <c r="F79" s="872"/>
      <c r="G79" s="872"/>
      <c r="H79" s="872"/>
      <c r="I79" s="872"/>
      <c r="J79" s="872"/>
      <c r="K79" s="873"/>
      <c r="L79" s="874"/>
      <c r="M79" s="875"/>
      <c r="N79" s="2370"/>
      <c r="O79" s="2370"/>
      <c r="P79" s="2855"/>
      <c r="Q79" s="2849"/>
      <c r="R79" s="2362"/>
      <c r="S79" s="2362"/>
      <c r="T79" s="2362"/>
      <c r="U79" s="2362"/>
      <c r="V79" s="2362"/>
      <c r="W79" s="2362"/>
      <c r="X79" s="2362"/>
      <c r="Y79" s="2362"/>
      <c r="Z79" s="2362"/>
      <c r="AA79" s="2362"/>
      <c r="AB79" s="2362"/>
      <c r="AC79" s="2362"/>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6"/>
      <c r="B81" s="880" t="s">
        <v>467</v>
      </c>
      <c r="C81" s="1003"/>
      <c r="D81" s="1003"/>
      <c r="E81" s="1003"/>
      <c r="F81" s="1003"/>
      <c r="G81" s="1003"/>
      <c r="H81" s="1003"/>
      <c r="I81" s="1003"/>
      <c r="J81" s="1003"/>
      <c r="K81" s="1004"/>
      <c r="L81" s="1005"/>
      <c r="M81" s="1006"/>
      <c r="N81" s="2369"/>
      <c r="O81" s="2369"/>
      <c r="P81" s="2855"/>
      <c r="Q81" s="2849"/>
      <c r="R81" s="2362"/>
      <c r="S81" s="2362"/>
      <c r="T81" s="2362"/>
      <c r="U81" s="2362"/>
      <c r="V81" s="2362"/>
      <c r="W81" s="2362"/>
      <c r="X81" s="2362"/>
      <c r="Y81" s="2362"/>
      <c r="Z81" s="2362"/>
      <c r="AA81" s="2362"/>
      <c r="AB81" s="2362"/>
      <c r="AC81" s="2362"/>
    </row>
    <row r="82" spans="1:29" s="813" customFormat="1" ht="15.75" thickBot="1">
      <c r="A82" s="895"/>
      <c r="B82" s="885"/>
      <c r="C82" s="902"/>
      <c r="D82" s="878"/>
      <c r="E82" s="878"/>
      <c r="F82" s="878"/>
      <c r="G82" s="878"/>
      <c r="H82" s="878"/>
      <c r="I82" s="878"/>
      <c r="J82" s="878"/>
      <c r="K82" s="878"/>
      <c r="L82" s="878"/>
      <c r="M82" s="879"/>
      <c r="N82" s="2371"/>
      <c r="O82" s="2371"/>
      <c r="P82" s="2856"/>
      <c r="Q82" s="2857"/>
      <c r="R82" s="2858"/>
      <c r="S82" s="2858"/>
      <c r="T82" s="2858"/>
      <c r="U82" s="2858"/>
      <c r="V82" s="2858"/>
      <c r="W82" s="2858"/>
      <c r="X82" s="2858"/>
      <c r="Y82" s="2858"/>
      <c r="Z82" s="2858"/>
      <c r="AA82" s="2858"/>
      <c r="AB82" s="2858"/>
      <c r="AC82" s="2858"/>
    </row>
    <row r="83" spans="1:29" ht="15" thickTop="1">
      <c r="A83" s="941"/>
      <c r="B83" s="880" t="s">
        <v>433</v>
      </c>
      <c r="C83" s="896"/>
      <c r="D83" s="896"/>
      <c r="E83" s="925"/>
      <c r="F83" s="925"/>
      <c r="G83" s="925"/>
      <c r="H83" s="925"/>
      <c r="I83" s="925"/>
      <c r="J83" s="925"/>
      <c r="K83" s="926"/>
      <c r="L83" s="927"/>
      <c r="M83" s="928"/>
      <c r="N83" s="2370"/>
      <c r="O83" s="2370"/>
      <c r="P83" s="2855"/>
      <c r="Q83" s="2849"/>
      <c r="R83" s="2362"/>
      <c r="S83" s="2362"/>
      <c r="T83" s="2362"/>
      <c r="U83" s="2362"/>
      <c r="V83" s="2362"/>
      <c r="W83" s="2362"/>
      <c r="X83" s="2362"/>
      <c r="Y83" s="2362"/>
      <c r="Z83" s="2362"/>
      <c r="AA83" s="2362"/>
      <c r="AB83" s="2362"/>
      <c r="AC83" s="2362"/>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1"/>
      <c r="B85" s="880" t="s">
        <v>468</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70"/>
      <c r="O85" s="2370"/>
      <c r="P85" s="2855"/>
      <c r="Q85" s="2849"/>
      <c r="R85" s="2362"/>
      <c r="S85" s="2362"/>
      <c r="T85" s="2362"/>
      <c r="U85" s="2362"/>
      <c r="V85" s="2362"/>
      <c r="W85" s="2362"/>
      <c r="X85" s="2362"/>
      <c r="Y85" s="2362"/>
      <c r="Z85" s="2362"/>
      <c r="AA85" s="2362"/>
      <c r="AB85" s="2362"/>
      <c r="AC85" s="2362"/>
    </row>
    <row r="86" spans="1:29">
      <c r="A86" s="941"/>
      <c r="B86" s="888"/>
      <c r="C86" s="945">
        <v>0.5</v>
      </c>
      <c r="D86" s="945">
        <v>0.6</v>
      </c>
      <c r="E86" s="945">
        <v>0.7</v>
      </c>
      <c r="F86" s="945">
        <v>0.8</v>
      </c>
      <c r="G86" s="945">
        <v>0.9</v>
      </c>
      <c r="H86" s="945">
        <v>1.0001</v>
      </c>
      <c r="I86" s="965"/>
      <c r="J86" s="965"/>
      <c r="K86" s="966"/>
      <c r="L86" s="967"/>
      <c r="M86" s="968"/>
      <c r="N86" s="2370"/>
      <c r="O86" s="2370"/>
      <c r="P86" s="2855"/>
      <c r="Q86" s="2849"/>
      <c r="R86" s="2362"/>
      <c r="S86" s="2362"/>
      <c r="T86" s="2362"/>
      <c r="U86" s="2362"/>
      <c r="V86" s="2362"/>
      <c r="W86" s="2362"/>
      <c r="X86" s="2362"/>
      <c r="Y86" s="2362"/>
      <c r="Z86" s="2362"/>
      <c r="AA86" s="2362"/>
      <c r="AB86" s="2362"/>
      <c r="AC86" s="2362"/>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1"/>
      <c r="B88" s="888" t="s">
        <v>469</v>
      </c>
      <c r="C88" s="872"/>
      <c r="D88" s="872"/>
      <c r="E88" s="872"/>
      <c r="F88" s="872"/>
      <c r="G88" s="872"/>
      <c r="H88" s="872"/>
      <c r="I88" s="872"/>
      <c r="J88" s="872"/>
      <c r="K88" s="873"/>
      <c r="L88" s="874"/>
      <c r="M88" s="875"/>
      <c r="N88" s="2370"/>
      <c r="O88" s="2370"/>
      <c r="P88" s="2855"/>
      <c r="Q88" s="2849"/>
      <c r="R88" s="2362"/>
      <c r="S88" s="2362"/>
      <c r="T88" s="2362"/>
      <c r="U88" s="2362"/>
      <c r="V88" s="2362"/>
      <c r="W88" s="2362"/>
      <c r="X88" s="2362"/>
      <c r="Y88" s="2362"/>
      <c r="Z88" s="2362"/>
      <c r="AA88" s="2362"/>
      <c r="AB88" s="2362"/>
      <c r="AC88" s="2362"/>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1"/>
      <c r="O89" s="2371"/>
      <c r="P89" s="2855"/>
      <c r="Q89" s="2849"/>
      <c r="R89" s="2362"/>
      <c r="S89" s="2362"/>
      <c r="T89" s="2362"/>
      <c r="U89" s="2362"/>
      <c r="V89" s="2362"/>
      <c r="W89" s="2362"/>
      <c r="X89" s="2362"/>
      <c r="Y89" s="2362"/>
      <c r="Z89" s="2362"/>
      <c r="AA89" s="2362"/>
      <c r="AB89" s="2362"/>
      <c r="AC89" s="2362"/>
    </row>
    <row r="90" spans="1:29" s="813" customFormat="1" ht="15" thickTop="1">
      <c r="A90" s="935"/>
      <c r="B90" s="880" t="s">
        <v>470</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2"/>
      <c r="O90" s="2372"/>
      <c r="P90" s="2856"/>
      <c r="Q90" s="2857"/>
      <c r="R90" s="2858"/>
      <c r="S90" s="2858"/>
      <c r="T90" s="2858"/>
      <c r="U90" s="2858"/>
      <c r="V90" s="2858"/>
      <c r="W90" s="2858"/>
      <c r="X90" s="2858"/>
      <c r="Y90" s="2858"/>
      <c r="Z90" s="2858"/>
      <c r="AA90" s="2858"/>
      <c r="AB90" s="2858"/>
      <c r="AC90" s="2858"/>
    </row>
    <row r="91" spans="1:29" s="813" customFormat="1">
      <c r="A91" s="935"/>
      <c r="B91" s="888"/>
      <c r="C91" s="937"/>
      <c r="D91" s="937"/>
      <c r="E91" s="937"/>
      <c r="F91" s="937"/>
      <c r="G91" s="937"/>
      <c r="H91" s="937"/>
      <c r="I91" s="937"/>
      <c r="J91" s="938"/>
      <c r="K91" s="938"/>
      <c r="L91" s="939"/>
      <c r="M91" s="940"/>
      <c r="N91" s="2372"/>
      <c r="O91" s="2372"/>
      <c r="P91" s="2856"/>
      <c r="Q91" s="2857"/>
      <c r="R91" s="2858"/>
      <c r="S91" s="2858"/>
      <c r="T91" s="2858"/>
      <c r="U91" s="2858"/>
      <c r="V91" s="2858"/>
      <c r="W91" s="2858"/>
      <c r="X91" s="2858"/>
      <c r="Y91" s="2858"/>
      <c r="Z91" s="2858"/>
      <c r="AA91" s="2858"/>
      <c r="AB91" s="2858"/>
      <c r="AC91" s="2858"/>
    </row>
    <row r="92" spans="1:29" s="813" customFormat="1" ht="15.75" thickBot="1">
      <c r="A92" s="895"/>
      <c r="B92" s="885"/>
      <c r="C92" s="902"/>
      <c r="D92" s="878"/>
      <c r="E92" s="878"/>
      <c r="F92" s="878"/>
      <c r="G92" s="878"/>
      <c r="H92" s="878"/>
      <c r="I92" s="878"/>
      <c r="J92" s="878"/>
      <c r="K92" s="878"/>
      <c r="L92" s="878"/>
      <c r="M92" s="879"/>
      <c r="N92" s="2372"/>
      <c r="O92" s="2372"/>
      <c r="P92" s="2856"/>
      <c r="Q92" s="2857"/>
      <c r="R92" s="2858"/>
      <c r="S92" s="2858"/>
      <c r="T92" s="2858"/>
      <c r="U92" s="2858"/>
      <c r="V92" s="2858"/>
      <c r="W92" s="2858"/>
      <c r="X92" s="2858"/>
      <c r="Y92" s="2858"/>
      <c r="Z92" s="2858"/>
      <c r="AA92" s="2858"/>
      <c r="AB92" s="2858"/>
      <c r="AC92" s="2858"/>
    </row>
    <row r="93" spans="1:29" ht="15" thickTop="1">
      <c r="A93" s="941"/>
      <c r="B93" s="880" t="s">
        <v>471</v>
      </c>
      <c r="C93" s="896"/>
      <c r="D93" s="896"/>
      <c r="E93" s="925"/>
      <c r="F93" s="925"/>
      <c r="G93" s="925"/>
      <c r="H93" s="925"/>
      <c r="I93" s="925"/>
      <c r="J93" s="925"/>
      <c r="K93" s="926"/>
      <c r="L93" s="927"/>
      <c r="M93" s="928"/>
      <c r="N93" s="2370"/>
      <c r="O93" s="2370"/>
      <c r="P93" s="2855"/>
      <c r="Q93" s="2849"/>
      <c r="R93" s="2362"/>
      <c r="S93" s="2362"/>
      <c r="T93" s="2362"/>
      <c r="U93" s="2362"/>
      <c r="V93" s="2362"/>
      <c r="W93" s="2362"/>
      <c r="X93" s="2362"/>
      <c r="Y93" s="2362"/>
      <c r="Z93" s="2362"/>
      <c r="AA93" s="2362"/>
      <c r="AB93" s="2362"/>
      <c r="AC93" s="2362"/>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1"/>
      <c r="B95" s="880" t="s">
        <v>472</v>
      </c>
      <c r="C95" s="872"/>
      <c r="D95" s="872"/>
      <c r="E95" s="872"/>
      <c r="F95" s="872"/>
      <c r="G95" s="872"/>
      <c r="H95" s="872"/>
      <c r="I95" s="872"/>
      <c r="J95" s="872"/>
      <c r="K95" s="873"/>
      <c r="L95" s="874"/>
      <c r="M95" s="875"/>
      <c r="N95" s="2370"/>
      <c r="O95" s="2370"/>
      <c r="P95" s="2855"/>
      <c r="Q95" s="2849"/>
      <c r="R95" s="2362"/>
      <c r="S95" s="2362"/>
      <c r="T95" s="2362"/>
      <c r="U95" s="2362"/>
      <c r="V95" s="2362"/>
      <c r="W95" s="2362"/>
      <c r="X95" s="2362"/>
      <c r="Y95" s="2362"/>
      <c r="Z95" s="2362"/>
      <c r="AA95" s="2362"/>
      <c r="AB95" s="2362"/>
      <c r="AC95" s="2362"/>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1"/>
      <c r="O96" s="2371"/>
      <c r="P96" s="2855"/>
      <c r="Q96" s="2849"/>
      <c r="R96" s="2362"/>
      <c r="S96" s="2362"/>
      <c r="T96" s="2362"/>
      <c r="U96" s="2362"/>
      <c r="V96" s="2362"/>
      <c r="W96" s="2362"/>
      <c r="X96" s="2362"/>
      <c r="Y96" s="2362"/>
      <c r="Z96" s="2362"/>
      <c r="AA96" s="2362"/>
      <c r="AB96" s="2362"/>
      <c r="AC96" s="2362"/>
    </row>
    <row r="97" spans="1:29" ht="15" thickTop="1">
      <c r="A97" s="941"/>
      <c r="B97" s="978">
        <f>B34</f>
        <v>111</v>
      </c>
      <c r="C97" s="891"/>
      <c r="D97" s="891"/>
      <c r="E97" s="891"/>
      <c r="F97" s="891"/>
      <c r="G97" s="896"/>
      <c r="H97" s="897"/>
      <c r="I97" s="897"/>
      <c r="J97" s="897"/>
      <c r="K97" s="897"/>
      <c r="L97" s="898"/>
      <c r="M97" s="899"/>
      <c r="N97" s="2371"/>
      <c r="O97" s="2371"/>
      <c r="P97" s="2862"/>
      <c r="Q97" s="2863"/>
      <c r="R97" s="2362"/>
      <c r="S97" s="2362"/>
      <c r="T97" s="2362"/>
      <c r="U97" s="2362"/>
      <c r="V97" s="2362"/>
      <c r="W97" s="2362"/>
      <c r="X97" s="2362"/>
      <c r="Y97" s="2362"/>
      <c r="Z97" s="2362"/>
      <c r="AA97" s="2362"/>
      <c r="AB97" s="2362"/>
      <c r="AC97" s="2362"/>
    </row>
    <row r="98" spans="1:29" ht="15.75" thickBot="1">
      <c r="A98" s="876"/>
      <c r="B98" s="885"/>
      <c r="C98" s="902"/>
      <c r="D98" s="878"/>
      <c r="E98" s="878"/>
      <c r="F98" s="878"/>
      <c r="G98" s="902"/>
      <c r="H98" s="904"/>
      <c r="I98" s="904"/>
      <c r="J98" s="904"/>
      <c r="K98" s="904"/>
      <c r="L98" s="904"/>
      <c r="M98" s="905"/>
      <c r="N98" s="2371"/>
      <c r="O98" s="2371"/>
      <c r="P98" s="2855"/>
      <c r="Q98" s="2849"/>
      <c r="R98" s="2362"/>
      <c r="S98" s="2362"/>
      <c r="T98" s="2362"/>
      <c r="U98" s="2362"/>
      <c r="V98" s="2362"/>
      <c r="W98" s="2362"/>
      <c r="X98" s="2362"/>
      <c r="Y98" s="2362"/>
      <c r="Z98" s="2362"/>
      <c r="AA98" s="2362"/>
      <c r="AB98" s="2362"/>
      <c r="AC98" s="2362"/>
    </row>
    <row r="99" spans="1:29" s="813" customFormat="1" ht="15" thickTop="1">
      <c r="A99" s="935"/>
      <c r="B99" s="880">
        <f>B35</f>
        <v>111</v>
      </c>
      <c r="C99" s="891"/>
      <c r="D99" s="891"/>
      <c r="E99" s="891"/>
      <c r="F99" s="891"/>
      <c r="G99" s="896"/>
      <c r="H99" s="897"/>
      <c r="I99" s="897"/>
      <c r="J99" s="897"/>
      <c r="K99" s="897"/>
      <c r="L99" s="898"/>
      <c r="M99" s="899"/>
      <c r="N99" s="2372"/>
      <c r="O99" s="2372"/>
      <c r="P99" s="2856"/>
      <c r="Q99" s="2857"/>
      <c r="R99" s="2858"/>
      <c r="S99" s="2858"/>
      <c r="T99" s="2858"/>
      <c r="U99" s="2858"/>
      <c r="V99" s="2858"/>
      <c r="W99" s="2858"/>
      <c r="X99" s="2858"/>
      <c r="Y99" s="2858"/>
      <c r="Z99" s="2858"/>
      <c r="AA99" s="2858"/>
      <c r="AB99" s="2858"/>
      <c r="AC99" s="2858"/>
    </row>
    <row r="100" spans="1:29" s="813" customFormat="1" ht="15.75" thickBot="1">
      <c r="A100" s="895"/>
      <c r="B100" s="877"/>
      <c r="C100" s="902"/>
      <c r="D100" s="878"/>
      <c r="E100" s="878"/>
      <c r="F100" s="878"/>
      <c r="G100" s="902"/>
      <c r="H100" s="904"/>
      <c r="I100" s="904"/>
      <c r="J100" s="904"/>
      <c r="K100" s="904"/>
      <c r="L100" s="904"/>
      <c r="M100" s="905"/>
      <c r="N100" s="2372"/>
      <c r="O100" s="2372"/>
      <c r="P100" s="2856"/>
      <c r="Q100" s="2857"/>
      <c r="R100" s="2858"/>
      <c r="S100" s="2858"/>
      <c r="T100" s="2858"/>
      <c r="U100" s="2858"/>
      <c r="V100" s="2858"/>
      <c r="W100" s="2858"/>
      <c r="X100" s="2858"/>
      <c r="Y100" s="2858"/>
      <c r="Z100" s="2858"/>
      <c r="AA100" s="2858"/>
      <c r="AB100" s="2858"/>
      <c r="AC100" s="2858"/>
    </row>
    <row r="101" spans="1:29" ht="15" thickTop="1">
      <c r="A101" s="941"/>
      <c r="B101" s="880">
        <f>B36</f>
        <v>111</v>
      </c>
      <c r="C101" s="896"/>
      <c r="D101" s="896"/>
      <c r="E101" s="896"/>
      <c r="F101" s="896"/>
      <c r="G101" s="896"/>
      <c r="H101" s="897"/>
      <c r="I101" s="897"/>
      <c r="J101" s="897"/>
      <c r="K101" s="897"/>
      <c r="L101" s="898"/>
      <c r="M101" s="899"/>
      <c r="N101" s="2370"/>
      <c r="O101" s="2370"/>
      <c r="P101" s="2855"/>
      <c r="Q101" s="2849"/>
      <c r="R101" s="2362"/>
      <c r="S101" s="2362"/>
      <c r="T101" s="2362"/>
      <c r="U101" s="2362"/>
      <c r="V101" s="2362"/>
      <c r="W101" s="2362"/>
      <c r="X101" s="2362"/>
      <c r="Y101" s="2362"/>
      <c r="Z101" s="2362"/>
      <c r="AA101" s="2362"/>
      <c r="AB101" s="2362"/>
      <c r="AC101" s="2362"/>
    </row>
    <row r="102" spans="1:29" ht="15.75" thickBot="1">
      <c r="A102" s="876"/>
      <c r="B102" s="885"/>
      <c r="C102" s="902"/>
      <c r="D102" s="902"/>
      <c r="E102" s="902"/>
      <c r="F102" s="902"/>
      <c r="G102" s="902"/>
      <c r="H102" s="904"/>
      <c r="I102" s="904"/>
      <c r="J102" s="904"/>
      <c r="K102" s="904"/>
      <c r="L102" s="904"/>
      <c r="M102" s="905"/>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387</v>
      </c>
      <c r="B1" s="3131"/>
      <c r="C1" s="3121" t="s">
        <v>443</v>
      </c>
      <c r="D1" s="3102"/>
      <c r="E1" s="3132"/>
      <c r="F1" s="3104"/>
      <c r="G1" s="3133" t="s">
        <v>444</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1" customFormat="1" ht="28.5" customHeight="1" thickTop="1">
      <c r="A2" s="3118" t="s">
        <v>445</v>
      </c>
      <c r="B2" s="2844" t="e">
        <f ca="1">IF(C2="——",ROUND(C37*D3/10000,0),ROUND(C37*D3/10000,0)-D2)</f>
        <v>#DIV/0!</v>
      </c>
      <c r="C2" s="3096"/>
      <c r="D2" s="2342" t="e">
        <f ca="1">SUMIF(INDIRECT("'"&amp;F2&amp;"'"&amp;"!A:A"),"承租人权益价值",INDIRECT("'"&amp;F2&amp;"'"&amp;"!c:c"))</f>
        <v>#REF!</v>
      </c>
      <c r="E2" s="3097" t="s">
        <v>865</v>
      </c>
      <c r="F2" s="3098"/>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1" customFormat="1" ht="28.5" customHeight="1" thickBot="1">
      <c r="A3" s="579" t="s">
        <v>446</v>
      </c>
      <c r="B3" s="951" t="e">
        <f ca="1">IF(C2="——",C37,ROUND(B2*10000/D3,0))</f>
        <v>#DIV/0!</v>
      </c>
      <c r="C3" s="743" t="s">
        <v>447</v>
      </c>
      <c r="D3" s="742">
        <f>SUMIF('数据-汇总表'!$C19:$C33,D1,'数据-汇总表'!$E19:$E33)</f>
        <v>0</v>
      </c>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4" t="s">
        <v>448</v>
      </c>
      <c r="B4" s="745"/>
      <c r="C4" s="3730" t="s">
        <v>449</v>
      </c>
      <c r="D4" s="3731"/>
      <c r="E4" s="3732" t="s">
        <v>450</v>
      </c>
      <c r="F4" s="3733"/>
      <c r="G4" s="3730" t="s">
        <v>451</v>
      </c>
      <c r="H4" s="3731"/>
      <c r="I4" s="3730" t="s">
        <v>452</v>
      </c>
      <c r="J4" s="3731"/>
      <c r="K4" s="952" t="s">
        <v>453</v>
      </c>
      <c r="L4" s="2348"/>
      <c r="M4" s="2349"/>
      <c r="N4" s="2349"/>
      <c r="O4" s="2349"/>
      <c r="P4" s="3734" t="s">
        <v>454</v>
      </c>
      <c r="Q4" s="3735"/>
      <c r="R4" s="3717" t="s">
        <v>450</v>
      </c>
      <c r="S4" s="3718"/>
      <c r="T4" s="3717" t="s">
        <v>451</v>
      </c>
      <c r="U4" s="3718"/>
      <c r="V4" s="3742" t="s">
        <v>452</v>
      </c>
      <c r="W4" s="3742"/>
      <c r="X4" s="1317"/>
      <c r="Y4" s="3717" t="s">
        <v>454</v>
      </c>
      <c r="Z4" s="3718"/>
      <c r="AA4" s="3712" t="s">
        <v>450</v>
      </c>
      <c r="AB4" s="3713" t="s">
        <v>451</v>
      </c>
      <c r="AC4" s="3712" t="s">
        <v>452</v>
      </c>
    </row>
    <row r="5" spans="1:29" ht="15">
      <c r="A5" s="747"/>
      <c r="B5" s="748"/>
      <c r="C5" s="3661" t="s">
        <v>1127</v>
      </c>
      <c r="D5" s="3662"/>
      <c r="E5" s="3659" t="s">
        <v>1128</v>
      </c>
      <c r="F5" s="3660"/>
      <c r="G5" s="3661" t="s">
        <v>61</v>
      </c>
      <c r="H5" s="3662"/>
      <c r="I5" s="3661" t="s">
        <v>1129</v>
      </c>
      <c r="J5" s="3662"/>
      <c r="K5" s="952"/>
      <c r="L5" s="2348"/>
      <c r="M5" s="2349"/>
      <c r="N5" s="2349"/>
      <c r="O5" s="2349"/>
      <c r="P5" s="3736"/>
      <c r="Q5" s="3737"/>
      <c r="R5" s="3719"/>
      <c r="S5" s="3720"/>
      <c r="T5" s="3719"/>
      <c r="U5" s="3720"/>
      <c r="V5" s="3742"/>
      <c r="W5" s="3742"/>
      <c r="X5" s="1317"/>
      <c r="Y5" s="3719"/>
      <c r="Z5" s="3720"/>
      <c r="AA5" s="3713"/>
      <c r="AB5" s="3713"/>
      <c r="AC5" s="3713"/>
    </row>
    <row r="6" spans="1:29" ht="15.75" thickBot="1">
      <c r="A6" s="749"/>
      <c r="B6" s="750"/>
      <c r="C6" s="3663" t="s">
        <v>1130</v>
      </c>
      <c r="D6" s="3664"/>
      <c r="E6" s="3665" t="s">
        <v>1130</v>
      </c>
      <c r="F6" s="3666"/>
      <c r="G6" s="3663" t="s">
        <v>1130</v>
      </c>
      <c r="H6" s="3664"/>
      <c r="I6" s="3663" t="s">
        <v>1130</v>
      </c>
      <c r="J6" s="3664"/>
      <c r="K6" s="952" t="s">
        <v>396</v>
      </c>
      <c r="L6" s="2348"/>
      <c r="M6" s="2349"/>
      <c r="N6" s="2349"/>
      <c r="O6" s="2349"/>
      <c r="P6" s="3738"/>
      <c r="Q6" s="3739"/>
      <c r="R6" s="3719"/>
      <c r="S6" s="3720"/>
      <c r="T6" s="3740"/>
      <c r="U6" s="3741"/>
      <c r="V6" s="3742"/>
      <c r="W6" s="3742"/>
      <c r="X6" s="1317"/>
      <c r="Y6" s="3740"/>
      <c r="Z6" s="3741"/>
      <c r="AA6" s="3714"/>
      <c r="AB6" s="3714"/>
      <c r="AC6" s="3714"/>
    </row>
    <row r="7" spans="1:29" s="407" customFormat="1" ht="15.75" thickBot="1">
      <c r="A7" s="751" t="s">
        <v>397</v>
      </c>
      <c r="B7" s="752"/>
      <c r="C7" s="753">
        <f>'数据-取费表'!B2</f>
        <v>42986</v>
      </c>
      <c r="D7" s="754">
        <v>100</v>
      </c>
      <c r="E7" s="1016"/>
      <c r="F7" s="756">
        <f>SUMIF(46:46,YEAR(E7)&amp;"-"&amp;MONTH(E7),47:47)</f>
        <v>0</v>
      </c>
      <c r="G7" s="1017"/>
      <c r="H7" s="754">
        <f>SUMIF(46:46,YEAR(G7)&amp;"-"&amp;MONTH(G7),47:47)</f>
        <v>0</v>
      </c>
      <c r="I7" s="1016"/>
      <c r="J7" s="754">
        <f>SUMIF(46:46,YEAR(I7)&amp;"-"&amp;MONTH(I7),47:47)</f>
        <v>0</v>
      </c>
      <c r="K7" s="953"/>
      <c r="L7" s="2350"/>
      <c r="M7" s="2351"/>
      <c r="N7" s="2351"/>
      <c r="O7" s="2351"/>
      <c r="P7" s="3715" t="s">
        <v>398</v>
      </c>
      <c r="Q7" s="3743"/>
      <c r="R7" s="1318" t="s">
        <v>65</v>
      </c>
      <c r="S7" s="1319">
        <f t="shared" ref="S7:S14" si="0">F7</f>
        <v>0</v>
      </c>
      <c r="T7" s="1318" t="s">
        <v>65</v>
      </c>
      <c r="U7" s="1319">
        <f t="shared" ref="U7:U14" si="1">H7</f>
        <v>0</v>
      </c>
      <c r="V7" s="1318" t="s">
        <v>65</v>
      </c>
      <c r="W7" s="1319">
        <f t="shared" ref="W7:W14" si="2">J7</f>
        <v>0</v>
      </c>
      <c r="X7" s="1320"/>
      <c r="Y7" s="3715" t="s">
        <v>398</v>
      </c>
      <c r="Z7" s="3716"/>
      <c r="AA7" s="1321" t="e">
        <f>D7/F7</f>
        <v>#DIV/0!</v>
      </c>
      <c r="AB7" s="1321" t="e">
        <f>D7/H7</f>
        <v>#DIV/0!</v>
      </c>
      <c r="AC7" s="1321" t="e">
        <f>D7/J7</f>
        <v>#DIV/0!</v>
      </c>
    </row>
    <row r="8" spans="1:29" s="407" customFormat="1" ht="15.75" thickBot="1">
      <c r="A8" s="751" t="s">
        <v>399</v>
      </c>
      <c r="B8" s="752"/>
      <c r="C8" s="757" t="s">
        <v>416</v>
      </c>
      <c r="D8" s="754">
        <v>100</v>
      </c>
      <c r="E8" s="757"/>
      <c r="F8" s="756">
        <f>SUMIF(49:49,E8,50:50)-SUMIF(49:49,C8,50:50)+100</f>
        <v>0</v>
      </c>
      <c r="G8" s="757"/>
      <c r="H8" s="754">
        <f>SUMIF(49:49,G8,50:50)-SUMIF(49:49,C8,50:50)+100</f>
        <v>0</v>
      </c>
      <c r="I8" s="757"/>
      <c r="J8" s="754">
        <f>SUMIF(49:49,I8,50:50)-SUMIF(49:49,C8,50:50)+100</f>
        <v>0</v>
      </c>
      <c r="K8" s="953"/>
      <c r="L8" s="2350"/>
      <c r="M8" s="2351"/>
      <c r="N8" s="2351"/>
      <c r="O8" s="2351"/>
      <c r="P8" s="3715" t="s">
        <v>434</v>
      </c>
      <c r="Q8" s="3716"/>
      <c r="R8" s="1318" t="s">
        <v>65</v>
      </c>
      <c r="S8" s="1319">
        <f t="shared" si="0"/>
        <v>0</v>
      </c>
      <c r="T8" s="1318" t="s">
        <v>65</v>
      </c>
      <c r="U8" s="1319">
        <f t="shared" si="1"/>
        <v>0</v>
      </c>
      <c r="V8" s="1318" t="s">
        <v>65</v>
      </c>
      <c r="W8" s="1319">
        <f t="shared" si="2"/>
        <v>0</v>
      </c>
      <c r="X8" s="1320"/>
      <c r="Y8" s="3715" t="s">
        <v>434</v>
      </c>
      <c r="Z8" s="3716"/>
      <c r="AA8" s="1321" t="e">
        <f t="shared" ref="AA8:AA34" si="3">D8/F8</f>
        <v>#DIV/0!</v>
      </c>
      <c r="AB8" s="1321" t="e">
        <f t="shared" ref="AB8:AB34" si="4">D8/H8</f>
        <v>#DIV/0!</v>
      </c>
      <c r="AC8" s="1321" t="e">
        <f t="shared" ref="AC8:AC34" si="5">D8/J8</f>
        <v>#DIV/0!</v>
      </c>
    </row>
    <row r="9" spans="1:29" s="407" customFormat="1">
      <c r="A9" s="758" t="s">
        <v>400</v>
      </c>
      <c r="B9" s="361" t="s">
        <v>418</v>
      </c>
      <c r="C9" s="1345"/>
      <c r="D9" s="425">
        <v>100</v>
      </c>
      <c r="E9" s="762"/>
      <c r="F9" s="761">
        <f>SUMIF(51:51,E9,52:52)-SUMIF(51:51,C9,52:52)+100</f>
        <v>100</v>
      </c>
      <c r="G9" s="762"/>
      <c r="H9" s="425">
        <f>SUMIF(51:51,G9,52:52)-SUMIF(51:51,C9,52:52)+100</f>
        <v>100</v>
      </c>
      <c r="I9" s="762"/>
      <c r="J9" s="425">
        <f>SUMIF(51:51,I9,52:52)-SUMIF(51:51,C9,52:52)+100</f>
        <v>100</v>
      </c>
      <c r="K9" s="953"/>
      <c r="L9" s="2350"/>
      <c r="M9" s="2351"/>
      <c r="N9" s="2351"/>
      <c r="O9" s="2352"/>
      <c r="P9" s="3729" t="s">
        <v>401</v>
      </c>
      <c r="Q9" s="296" t="str">
        <f t="shared" ref="Q9:Q14" si="6">B9</f>
        <v>用途</v>
      </c>
      <c r="R9" s="1318" t="s">
        <v>65</v>
      </c>
      <c r="S9" s="1319">
        <f t="shared" si="0"/>
        <v>100</v>
      </c>
      <c r="T9" s="1318" t="s">
        <v>65</v>
      </c>
      <c r="U9" s="1319">
        <f t="shared" si="1"/>
        <v>100</v>
      </c>
      <c r="V9" s="1318" t="s">
        <v>65</v>
      </c>
      <c r="W9" s="1319">
        <f t="shared" si="2"/>
        <v>100</v>
      </c>
      <c r="X9" s="1320"/>
      <c r="Y9" s="3597" t="s">
        <v>402</v>
      </c>
      <c r="Z9" s="344" t="str">
        <f t="shared" ref="Z9:Z14" si="7">Q9</f>
        <v>用途</v>
      </c>
      <c r="AA9" s="1321">
        <f t="shared" si="3"/>
        <v>1</v>
      </c>
      <c r="AB9" s="1321">
        <f t="shared" si="4"/>
        <v>1</v>
      </c>
      <c r="AC9" s="1321">
        <f t="shared" si="5"/>
        <v>1</v>
      </c>
    </row>
    <row r="10" spans="1:29" s="770" customFormat="1" ht="27">
      <c r="A10" s="764"/>
      <c r="B10" s="765" t="s">
        <v>403</v>
      </c>
      <c r="C10" s="766"/>
      <c r="D10" s="426">
        <v>100</v>
      </c>
      <c r="E10" s="766"/>
      <c r="F10" s="768">
        <f>SUMIF(53:53,E10,54:54)-SUMIF(53:53,C10,54:54)+100</f>
        <v>100</v>
      </c>
      <c r="G10" s="766"/>
      <c r="H10" s="426">
        <f>SUMIF(53:53,G10,54:54)-SUMIF(53:53,C10,54:54)+100</f>
        <v>100</v>
      </c>
      <c r="I10" s="766"/>
      <c r="J10" s="426">
        <f>SUMIF(53:53,I10,54:54)-SUMIF(53:53,C10,54:54)+100</f>
        <v>100</v>
      </c>
      <c r="K10" s="954"/>
      <c r="L10" s="2353"/>
      <c r="M10" s="2354"/>
      <c r="N10" s="2354"/>
      <c r="O10" s="2355"/>
      <c r="P10" s="3729"/>
      <c r="Q10" s="296" t="str">
        <f t="shared" si="6"/>
        <v>土地使用年限（年）</v>
      </c>
      <c r="R10" s="1318" t="s">
        <v>65</v>
      </c>
      <c r="S10" s="1319">
        <f t="shared" si="0"/>
        <v>100</v>
      </c>
      <c r="T10" s="1318" t="s">
        <v>65</v>
      </c>
      <c r="U10" s="1319">
        <f t="shared" si="1"/>
        <v>100</v>
      </c>
      <c r="V10" s="1318" t="s">
        <v>65</v>
      </c>
      <c r="W10" s="1319">
        <f t="shared" si="2"/>
        <v>100</v>
      </c>
      <c r="X10" s="1320"/>
      <c r="Y10" s="3597"/>
      <c r="Z10" s="344" t="str">
        <f t="shared" si="7"/>
        <v>土地使用年限（年）</v>
      </c>
      <c r="AA10" s="1321">
        <f t="shared" si="3"/>
        <v>1</v>
      </c>
      <c r="AB10" s="1321">
        <f t="shared" si="4"/>
        <v>1</v>
      </c>
      <c r="AC10" s="1321">
        <f t="shared" si="5"/>
        <v>1</v>
      </c>
    </row>
    <row r="11" spans="1:29" ht="15">
      <c r="A11" s="771"/>
      <c r="B11" s="1030">
        <v>111</v>
      </c>
      <c r="C11" s="1023"/>
      <c r="D11" s="426">
        <v>100</v>
      </c>
      <c r="E11" s="1357"/>
      <c r="F11" s="768">
        <f>SUMIF(55:55,E11,56:56)-SUMIF(55:55,C11,56:56)+100</f>
        <v>100</v>
      </c>
      <c r="G11" s="1357"/>
      <c r="H11" s="426">
        <f>SUMIF(55:55,G11,56:56)-SUMIF(55:55,C11,56:56)+100</f>
        <v>100</v>
      </c>
      <c r="I11" s="1357"/>
      <c r="J11" s="426">
        <f>SUMIF(55:55,I11,56:56)-SUMIF(55:55,C11,56:56)+100</f>
        <v>100</v>
      </c>
      <c r="K11" s="955"/>
      <c r="L11" s="2356"/>
      <c r="M11" s="2349"/>
      <c r="N11" s="2349"/>
      <c r="O11" s="2357"/>
      <c r="P11" s="3729"/>
      <c r="Q11" s="296">
        <f t="shared" si="6"/>
        <v>111</v>
      </c>
      <c r="R11" s="1318" t="s">
        <v>65</v>
      </c>
      <c r="S11" s="1319">
        <f t="shared" si="0"/>
        <v>100</v>
      </c>
      <c r="T11" s="1318" t="s">
        <v>65</v>
      </c>
      <c r="U11" s="1319">
        <f t="shared" si="1"/>
        <v>100</v>
      </c>
      <c r="V11" s="1318" t="s">
        <v>65</v>
      </c>
      <c r="W11" s="1319">
        <f t="shared" si="2"/>
        <v>100</v>
      </c>
      <c r="X11" s="1320"/>
      <c r="Y11" s="3597"/>
      <c r="Z11" s="344">
        <f t="shared" si="7"/>
        <v>111</v>
      </c>
      <c r="AA11" s="1321">
        <f t="shared" si="3"/>
        <v>1</v>
      </c>
      <c r="AB11" s="1321">
        <f t="shared" si="4"/>
        <v>1</v>
      </c>
      <c r="AC11" s="1321">
        <f t="shared" si="5"/>
        <v>1</v>
      </c>
    </row>
    <row r="12" spans="1:29" s="407" customFormat="1" ht="15">
      <c r="A12" s="774"/>
      <c r="B12" s="1030">
        <v>111</v>
      </c>
      <c r="C12" s="1023"/>
      <c r="D12" s="776">
        <v>100</v>
      </c>
      <c r="E12" s="1357"/>
      <c r="F12" s="768">
        <f>SUMIF(57:57,E12,58:58)-SUMIF(57:57,C12,58:58)+100</f>
        <v>100</v>
      </c>
      <c r="G12" s="1357"/>
      <c r="H12" s="426">
        <f>SUMIF(57:57,G12,58:58)-SUMIF(57:57,C12,58:58)+100</f>
        <v>100</v>
      </c>
      <c r="I12" s="1357"/>
      <c r="J12" s="426">
        <f>SUMIF(57:57,I12,58:58)-SUMIF(57:57,C12,58:58)+100</f>
        <v>100</v>
      </c>
      <c r="K12" s="955"/>
      <c r="L12" s="2350"/>
      <c r="M12" s="2351"/>
      <c r="N12" s="2351"/>
      <c r="O12" s="2352"/>
      <c r="P12" s="3729"/>
      <c r="Q12" s="296">
        <f t="shared" si="6"/>
        <v>111</v>
      </c>
      <c r="R12" s="1318" t="s">
        <v>65</v>
      </c>
      <c r="S12" s="1319">
        <f t="shared" si="0"/>
        <v>100</v>
      </c>
      <c r="T12" s="1318" t="s">
        <v>65</v>
      </c>
      <c r="U12" s="1319">
        <f t="shared" si="1"/>
        <v>100</v>
      </c>
      <c r="V12" s="1318" t="s">
        <v>65</v>
      </c>
      <c r="W12" s="1319">
        <f t="shared" si="2"/>
        <v>100</v>
      </c>
      <c r="X12" s="1320"/>
      <c r="Y12" s="3597"/>
      <c r="Z12" s="344">
        <f t="shared" si="7"/>
        <v>111</v>
      </c>
      <c r="AA12" s="1321">
        <f>D12/F12</f>
        <v>1</v>
      </c>
      <c r="AB12" s="1321">
        <f>D12/H12</f>
        <v>1</v>
      </c>
      <c r="AC12" s="1321">
        <f>D12/J12</f>
        <v>1</v>
      </c>
    </row>
    <row r="13" spans="1:29" ht="15.75" thickBot="1">
      <c r="A13" s="771"/>
      <c r="B13" s="1030">
        <v>111</v>
      </c>
      <c r="C13" s="93"/>
      <c r="D13" s="778">
        <v>100</v>
      </c>
      <c r="E13" s="1357"/>
      <c r="F13" s="768">
        <f>SUMIF(59:59,E13,60:60)-SUMIF(59:59,C13,60:60)+100</f>
        <v>100</v>
      </c>
      <c r="G13" s="1413"/>
      <c r="H13" s="781">
        <f>SUMIF(59:59,G13,60:60)-SUMIF(59:59,C13,60:60)+100</f>
        <v>100</v>
      </c>
      <c r="I13" s="1357"/>
      <c r="J13" s="778">
        <f>SUMIF(59:59,I13,60:60)-SUMIF(59:59,C13,60:60)+100</f>
        <v>100</v>
      </c>
      <c r="K13" s="955"/>
      <c r="L13" s="2358"/>
      <c r="M13" s="2349"/>
      <c r="N13" s="2349"/>
      <c r="O13" s="2357"/>
      <c r="P13" s="3729"/>
      <c r="Q13" s="296">
        <f t="shared" si="6"/>
        <v>111</v>
      </c>
      <c r="R13" s="1318" t="s">
        <v>65</v>
      </c>
      <c r="S13" s="1319">
        <f t="shared" si="0"/>
        <v>100</v>
      </c>
      <c r="T13" s="1318" t="s">
        <v>65</v>
      </c>
      <c r="U13" s="1319">
        <f t="shared" si="1"/>
        <v>100</v>
      </c>
      <c r="V13" s="1318" t="s">
        <v>65</v>
      </c>
      <c r="W13" s="1319">
        <f t="shared" si="2"/>
        <v>100</v>
      </c>
      <c r="X13" s="1320"/>
      <c r="Y13" s="3597"/>
      <c r="Z13" s="344">
        <f t="shared" si="7"/>
        <v>111</v>
      </c>
      <c r="AA13" s="1321">
        <f t="shared" si="3"/>
        <v>1</v>
      </c>
      <c r="AB13" s="1321">
        <f t="shared" si="4"/>
        <v>1</v>
      </c>
      <c r="AC13" s="1321">
        <f t="shared" si="5"/>
        <v>1</v>
      </c>
    </row>
    <row r="14" spans="1:29" ht="175.5">
      <c r="A14" s="783" t="s">
        <v>405</v>
      </c>
      <c r="B14" s="359" t="s">
        <v>455</v>
      </c>
      <c r="C14" s="212" t="str">
        <f>IF(B1="工业",估价对象房地状况!G4,估价对象房地状况!C6)</f>
        <v>估价对象紧邻城市次干道——怀耿路，半径1公里内有866、H07、H09、H44路等公交线路，周边有怀耿路、杨雁路两条城市次干道，西北距离怀柔火车站4公里，交通便捷度较差</v>
      </c>
      <c r="D14" s="784">
        <v>100</v>
      </c>
      <c r="E14" s="95"/>
      <c r="F14" s="786">
        <f>SUMIF(61:61,E15,62:62)-SUMIF(61:61,C15,62:62)+100</f>
        <v>100</v>
      </c>
      <c r="G14" s="96"/>
      <c r="H14" s="784">
        <f>SUMIF(61:61,G15,62:62)-SUMIF(61:61,C15,62:62)+100</f>
        <v>100</v>
      </c>
      <c r="I14" s="95"/>
      <c r="J14" s="784">
        <f>SUMIF(61:61,I15,62:62)-SUMIF(61:61,C15,62:62)+100</f>
        <v>100</v>
      </c>
      <c r="K14" s="956"/>
      <c r="L14" s="2358"/>
      <c r="M14" s="2349"/>
      <c r="N14" s="2349"/>
      <c r="O14" s="2357"/>
      <c r="P14" s="3744" t="s">
        <v>406</v>
      </c>
      <c r="Q14" s="1322" t="str">
        <f t="shared" si="6"/>
        <v>交通便捷度</v>
      </c>
      <c r="R14" s="1323" t="s">
        <v>65</v>
      </c>
      <c r="S14" s="1324">
        <f t="shared" si="0"/>
        <v>100</v>
      </c>
      <c r="T14" s="1323" t="s">
        <v>65</v>
      </c>
      <c r="U14" s="1324">
        <f t="shared" si="1"/>
        <v>100</v>
      </c>
      <c r="V14" s="1323" t="s">
        <v>65</v>
      </c>
      <c r="W14" s="1324">
        <f t="shared" si="2"/>
        <v>100</v>
      </c>
      <c r="X14" s="1317"/>
      <c r="Y14" s="3744" t="s">
        <v>406</v>
      </c>
      <c r="Z14" s="1325" t="str">
        <f t="shared" si="7"/>
        <v>交通便捷度</v>
      </c>
      <c r="AA14" s="1326">
        <f t="shared" si="3"/>
        <v>1</v>
      </c>
      <c r="AB14" s="1326">
        <f t="shared" si="4"/>
        <v>1</v>
      </c>
      <c r="AC14" s="1326">
        <f t="shared" si="5"/>
        <v>1</v>
      </c>
    </row>
    <row r="15" spans="1:29" ht="15">
      <c r="A15" s="771"/>
      <c r="B15" s="789"/>
      <c r="C15" s="97"/>
      <c r="D15" s="791"/>
      <c r="E15" s="790"/>
      <c r="F15" s="792"/>
      <c r="G15" s="790"/>
      <c r="H15" s="793"/>
      <c r="I15" s="790"/>
      <c r="J15" s="791"/>
      <c r="K15" s="957"/>
      <c r="L15" s="2358"/>
      <c r="M15" s="2349"/>
      <c r="N15" s="2349"/>
      <c r="O15" s="2357"/>
      <c r="P15" s="3745"/>
      <c r="Q15" s="1322"/>
      <c r="R15" s="1323"/>
      <c r="S15" s="1324"/>
      <c r="T15" s="1323"/>
      <c r="U15" s="1324"/>
      <c r="V15" s="1323"/>
      <c r="W15" s="1324"/>
      <c r="X15" s="1317"/>
      <c r="Y15" s="3745"/>
      <c r="Z15" s="1325"/>
      <c r="AA15" s="1326">
        <v>1</v>
      </c>
      <c r="AB15" s="1326">
        <v>1</v>
      </c>
      <c r="AC15" s="1326">
        <v>1</v>
      </c>
    </row>
    <row r="16" spans="1:29" ht="216">
      <c r="A16" s="771"/>
      <c r="B16" s="1355" t="s">
        <v>2662</v>
      </c>
      <c r="C16" s="158" t="str">
        <f>IF(B1="工业",估价对象房地状况!G5,估价对象房地状况!C7)</f>
        <v>周边2公里内的公共服务配套设施情况一般，无大型购物场所、医院（怀柔区杨宋镇卫生院）、银行（中国邮政储蓄银行）、学校（北京影视研修学院、北京怀柔中视腾飞影视培训学校）、餐饮等公共服务配套设施。</v>
      </c>
      <c r="D16" s="798">
        <v>100</v>
      </c>
      <c r="E16" s="105"/>
      <c r="F16" s="801">
        <f>SUMIF(63:63,E17,64:64)-SUMIF(63:63,C17,64:64)+100</f>
        <v>100</v>
      </c>
      <c r="G16" s="106"/>
      <c r="H16" s="798">
        <f>SUMIF(63:63,G17,64:64)-SUMIF(63:63,C17,64:64)+100</f>
        <v>100</v>
      </c>
      <c r="I16" s="105"/>
      <c r="J16" s="798">
        <f>SUMIF(63:63,I17,64:64)-SUMIF(63:63,C17,64:64)+100</f>
        <v>100</v>
      </c>
      <c r="K16" s="956"/>
      <c r="L16" s="2358"/>
      <c r="M16" s="2349"/>
      <c r="N16" s="2349"/>
      <c r="O16" s="2357"/>
      <c r="P16" s="3745"/>
      <c r="Q16" s="1322" t="str">
        <f>B16</f>
        <v>公共配套设施</v>
      </c>
      <c r="R16" s="1323" t="s">
        <v>65</v>
      </c>
      <c r="S16" s="1324">
        <f>F16</f>
        <v>100</v>
      </c>
      <c r="T16" s="1323" t="s">
        <v>65</v>
      </c>
      <c r="U16" s="1324">
        <f>H16</f>
        <v>100</v>
      </c>
      <c r="V16" s="1323" t="s">
        <v>65</v>
      </c>
      <c r="W16" s="1324">
        <f>J16</f>
        <v>100</v>
      </c>
      <c r="X16" s="1317"/>
      <c r="Y16" s="3745"/>
      <c r="Z16" s="1325" t="str">
        <f>Q16</f>
        <v>公共配套设施</v>
      </c>
      <c r="AA16" s="1326">
        <f t="shared" si="3"/>
        <v>1</v>
      </c>
      <c r="AB16" s="1326">
        <f t="shared" si="4"/>
        <v>1</v>
      </c>
      <c r="AC16" s="1326">
        <f t="shared" si="5"/>
        <v>1</v>
      </c>
    </row>
    <row r="17" spans="1:29" ht="15">
      <c r="A17" s="771"/>
      <c r="B17" s="799"/>
      <c r="C17" s="102"/>
      <c r="D17" s="791"/>
      <c r="E17" s="790"/>
      <c r="F17" s="792"/>
      <c r="G17" s="790"/>
      <c r="H17" s="791"/>
      <c r="I17" s="790"/>
      <c r="J17" s="791"/>
      <c r="K17" s="957"/>
      <c r="L17" s="2358"/>
      <c r="M17" s="2349"/>
      <c r="N17" s="2349"/>
      <c r="O17" s="2357"/>
      <c r="P17" s="3745"/>
      <c r="Q17" s="1322"/>
      <c r="R17" s="1323"/>
      <c r="S17" s="1324"/>
      <c r="T17" s="1323"/>
      <c r="U17" s="1324"/>
      <c r="V17" s="1323"/>
      <c r="W17" s="1324"/>
      <c r="X17" s="1317"/>
      <c r="Y17" s="3745"/>
      <c r="Z17" s="1325"/>
      <c r="AA17" s="1326">
        <v>1</v>
      </c>
      <c r="AB17" s="1326">
        <v>1</v>
      </c>
      <c r="AC17" s="1326">
        <v>1</v>
      </c>
    </row>
    <row r="18" spans="1:29" ht="40.5">
      <c r="A18" s="771"/>
      <c r="B18" s="1411" t="s">
        <v>2664</v>
      </c>
      <c r="C18" s="158" t="str">
        <f>IF(B1="工业",估价对象房地状况!G6,估价对象房地状况!C8)</f>
        <v>估价对象所在区域基础设施水平达到七通</v>
      </c>
      <c r="D18" s="798">
        <v>100</v>
      </c>
      <c r="E18" s="100"/>
      <c r="F18" s="801">
        <f>SUMIF(65:65,E19,66:66)-SUMIF(65:65,C19,66:66)+100</f>
        <v>100</v>
      </c>
      <c r="G18" s="101"/>
      <c r="H18" s="798">
        <f>SUMIF(65:65,G19,66:66)-SUMIF(65:65,C19,66:66)+100</f>
        <v>100</v>
      </c>
      <c r="I18" s="105"/>
      <c r="J18" s="798">
        <f>SUMIF(65:65,I19,66:66)-SUMIF(65:65,C19,66:66)+100</f>
        <v>100</v>
      </c>
      <c r="K18" s="956"/>
      <c r="L18" s="2358"/>
      <c r="M18" s="2349"/>
      <c r="N18" s="2349"/>
      <c r="O18" s="2357"/>
      <c r="P18" s="3745"/>
      <c r="Q18" s="2749" t="str">
        <f>B18</f>
        <v>基础设施水平</v>
      </c>
      <c r="R18" s="1323" t="s">
        <v>65</v>
      </c>
      <c r="S18" s="1324">
        <f>F18</f>
        <v>100</v>
      </c>
      <c r="T18" s="1323" t="s">
        <v>65</v>
      </c>
      <c r="U18" s="1324">
        <f>H18</f>
        <v>100</v>
      </c>
      <c r="V18" s="1323" t="s">
        <v>65</v>
      </c>
      <c r="W18" s="1324">
        <f>J18</f>
        <v>100</v>
      </c>
      <c r="X18" s="2751"/>
      <c r="Y18" s="3745"/>
      <c r="Z18" s="2750" t="str">
        <f>Q18</f>
        <v>基础设施水平</v>
      </c>
      <c r="AA18" s="1326">
        <f t="shared" ref="AA18" si="8">D18/F18</f>
        <v>1</v>
      </c>
      <c r="AB18" s="1326">
        <f t="shared" ref="AB18" si="9">D18/H18</f>
        <v>1</v>
      </c>
      <c r="AC18" s="1326">
        <f t="shared" ref="AC18" si="10">D18/J18</f>
        <v>1</v>
      </c>
    </row>
    <row r="19" spans="1:29" ht="15">
      <c r="A19" s="771"/>
      <c r="B19" s="2769"/>
      <c r="C19" s="102"/>
      <c r="D19" s="793"/>
      <c r="E19" s="102"/>
      <c r="F19" s="796"/>
      <c r="G19" s="102"/>
      <c r="H19" s="791"/>
      <c r="I19" s="97"/>
      <c r="J19" s="791"/>
      <c r="K19" s="2767"/>
      <c r="L19" s="2358"/>
      <c r="M19" s="2349"/>
      <c r="N19" s="2349"/>
      <c r="O19" s="2357"/>
      <c r="P19" s="3745"/>
      <c r="Q19" s="2749"/>
      <c r="R19" s="1323"/>
      <c r="S19" s="1324"/>
      <c r="T19" s="1323"/>
      <c r="U19" s="1324"/>
      <c r="V19" s="1323"/>
      <c r="W19" s="1324"/>
      <c r="X19" s="2751"/>
      <c r="Y19" s="3745"/>
      <c r="Z19" s="2750"/>
      <c r="AA19" s="1326">
        <v>1</v>
      </c>
      <c r="AB19" s="1326">
        <v>1</v>
      </c>
      <c r="AC19" s="1326">
        <v>1</v>
      </c>
    </row>
    <row r="20" spans="1:29" ht="175.5">
      <c r="A20" s="771"/>
      <c r="B20" s="794" t="s">
        <v>456</v>
      </c>
      <c r="C20" s="158" t="str">
        <f>IF(B1="工业",估价对象房地状况!G7,估价对象房地状况!C9)</f>
        <v>周边约1公里范围内有北京影视研修学院、北京怀柔中视腾飞影视培训学校等演艺教育学校，人文环境一般；周边有约1公里有栖河，自然环境一般。综合评价自然与人文环境一般</v>
      </c>
      <c r="D20" s="798">
        <v>100</v>
      </c>
      <c r="E20" s="105"/>
      <c r="F20" s="801">
        <f>SUMIF(67:67,E21,68:68)-SUMIF(67:67,C21,68:68)+100</f>
        <v>100</v>
      </c>
      <c r="G20" s="106"/>
      <c r="H20" s="793">
        <f>SUMIF(67:67,G21,68:68)-SUMIF(67:67,C21,68:68)+100</f>
        <v>100</v>
      </c>
      <c r="I20" s="100"/>
      <c r="J20" s="793">
        <f>SUMIF(67:67,I21,68:68)-SUMIF(67:67,C21,68:68)+100</f>
        <v>100</v>
      </c>
      <c r="K20" s="956"/>
      <c r="L20" s="2358"/>
      <c r="M20" s="2349"/>
      <c r="N20" s="2349"/>
      <c r="O20" s="2357"/>
      <c r="P20" s="3745"/>
      <c r="Q20" s="1322" t="str">
        <f>B20</f>
        <v>自然及人文环境</v>
      </c>
      <c r="R20" s="1323" t="s">
        <v>65</v>
      </c>
      <c r="S20" s="1324">
        <f>F20</f>
        <v>100</v>
      </c>
      <c r="T20" s="1323" t="s">
        <v>65</v>
      </c>
      <c r="U20" s="1324">
        <f>H20</f>
        <v>100</v>
      </c>
      <c r="V20" s="1323" t="s">
        <v>65</v>
      </c>
      <c r="W20" s="1324">
        <f>J20</f>
        <v>100</v>
      </c>
      <c r="X20" s="1317"/>
      <c r="Y20" s="3745"/>
      <c r="Z20" s="1325" t="str">
        <f>Q20</f>
        <v>自然及人文环境</v>
      </c>
      <c r="AA20" s="1326">
        <f t="shared" si="3"/>
        <v>1</v>
      </c>
      <c r="AB20" s="1326">
        <f t="shared" si="4"/>
        <v>1</v>
      </c>
      <c r="AC20" s="1326">
        <f t="shared" si="5"/>
        <v>1</v>
      </c>
    </row>
    <row r="21" spans="1:29" ht="15">
      <c r="A21" s="771"/>
      <c r="B21" s="799"/>
      <c r="C21" s="790"/>
      <c r="D21" s="791"/>
      <c r="E21" s="790"/>
      <c r="F21" s="792"/>
      <c r="G21" s="790"/>
      <c r="H21" s="791"/>
      <c r="I21" s="790"/>
      <c r="J21" s="791"/>
      <c r="K21" s="957"/>
      <c r="L21" s="2358"/>
      <c r="M21" s="2349"/>
      <c r="N21" s="2349"/>
      <c r="O21" s="2357"/>
      <c r="P21" s="3745"/>
      <c r="Q21" s="1322"/>
      <c r="R21" s="1323"/>
      <c r="S21" s="1324"/>
      <c r="T21" s="1323"/>
      <c r="U21" s="1324"/>
      <c r="V21" s="1323"/>
      <c r="W21" s="1324"/>
      <c r="X21" s="1317"/>
      <c r="Y21" s="3745"/>
      <c r="Z21" s="1325"/>
      <c r="AA21" s="1326">
        <v>1</v>
      </c>
      <c r="AB21" s="1326">
        <v>1</v>
      </c>
      <c r="AC21" s="1326">
        <v>1</v>
      </c>
    </row>
    <row r="22" spans="1:29" ht="15">
      <c r="A22" s="771"/>
      <c r="B22" s="794" t="s">
        <v>457</v>
      </c>
      <c r="C22" s="958"/>
      <c r="D22" s="793">
        <v>100</v>
      </c>
      <c r="E22" s="958"/>
      <c r="F22" s="804">
        <f>SUMIF(69:69,E22,70:70)-SUMIF(69:69,C22,70:70)+100</f>
        <v>100</v>
      </c>
      <c r="G22" s="958"/>
      <c r="H22" s="778">
        <f>SUMIF(69:69,G22,70:70)-SUMIF(69:69,C22,70:70)+100</f>
        <v>100</v>
      </c>
      <c r="I22" s="958"/>
      <c r="J22" s="778">
        <f>SUMIF(69:69,I22,70:70)-SUMIF(69:69,C22,70:70)+100</f>
        <v>100</v>
      </c>
      <c r="K22" s="954"/>
      <c r="L22" s="2358"/>
      <c r="M22" s="2349"/>
      <c r="N22" s="2349"/>
      <c r="O22" s="2357"/>
      <c r="P22" s="3745"/>
      <c r="Q22" s="1322" t="str">
        <f>B22</f>
        <v>楼层</v>
      </c>
      <c r="R22" s="1323" t="s">
        <v>65</v>
      </c>
      <c r="S22" s="1324">
        <f>F22</f>
        <v>100</v>
      </c>
      <c r="T22" s="1323" t="s">
        <v>65</v>
      </c>
      <c r="U22" s="1324">
        <f>H22</f>
        <v>100</v>
      </c>
      <c r="V22" s="1323" t="s">
        <v>65</v>
      </c>
      <c r="W22" s="1324">
        <f>J22</f>
        <v>100</v>
      </c>
      <c r="X22" s="1317"/>
      <c r="Y22" s="3745"/>
      <c r="Z22" s="1325" t="str">
        <f>Q22</f>
        <v>楼层</v>
      </c>
      <c r="AA22" s="1326">
        <f t="shared" si="3"/>
        <v>1</v>
      </c>
      <c r="AB22" s="1326">
        <f t="shared" si="4"/>
        <v>1</v>
      </c>
      <c r="AC22" s="1326">
        <f t="shared" si="5"/>
        <v>1</v>
      </c>
    </row>
    <row r="23" spans="1:29" ht="15">
      <c r="A23" s="747"/>
      <c r="B23" s="1030">
        <v>111</v>
      </c>
      <c r="C23" s="1023"/>
      <c r="D23" s="778">
        <v>100</v>
      </c>
      <c r="E23" s="93"/>
      <c r="F23" s="804">
        <f>SUMIF(71:71,E23,72:72)-SUMIF(71:71,C23,72:72)+100</f>
        <v>100</v>
      </c>
      <c r="G23" s="93"/>
      <c r="H23" s="778">
        <f>SUMIF(71:71,G23,72:72)-SUMIF(71:71,C23,72:72)+100</f>
        <v>100</v>
      </c>
      <c r="I23" s="93"/>
      <c r="J23" s="778">
        <f>SUMIF(71:71,I23,72:72)-SUMIF(71:71,C23,72:72)+100</f>
        <v>100</v>
      </c>
      <c r="K23" s="955"/>
      <c r="L23" s="2358"/>
      <c r="M23" s="2349"/>
      <c r="N23" s="2349"/>
      <c r="O23" s="2357"/>
      <c r="P23" s="3745"/>
      <c r="Q23" s="1322">
        <f>B23</f>
        <v>111</v>
      </c>
      <c r="R23" s="1323" t="s">
        <v>65</v>
      </c>
      <c r="S23" s="1324">
        <f>F23</f>
        <v>100</v>
      </c>
      <c r="T23" s="1323" t="s">
        <v>65</v>
      </c>
      <c r="U23" s="1324">
        <f>H23</f>
        <v>100</v>
      </c>
      <c r="V23" s="1323" t="s">
        <v>65</v>
      </c>
      <c r="W23" s="1324">
        <f>J23</f>
        <v>100</v>
      </c>
      <c r="X23" s="1317"/>
      <c r="Y23" s="3745"/>
      <c r="Z23" s="1325">
        <f>Q23</f>
        <v>111</v>
      </c>
      <c r="AA23" s="1326">
        <f t="shared" si="3"/>
        <v>1</v>
      </c>
      <c r="AB23" s="1326">
        <f t="shared" si="4"/>
        <v>1</v>
      </c>
      <c r="AC23" s="1326">
        <f t="shared" si="5"/>
        <v>1</v>
      </c>
    </row>
    <row r="24" spans="1:29" ht="15">
      <c r="A24" s="771"/>
      <c r="B24" s="1030">
        <v>111</v>
      </c>
      <c r="C24" s="1023"/>
      <c r="D24" s="778">
        <v>100</v>
      </c>
      <c r="E24" s="93"/>
      <c r="F24" s="804">
        <f>SUMIF(73:73,E24,74:74)-SUMIF(73:73,C24,74:74)+100</f>
        <v>100</v>
      </c>
      <c r="G24" s="93"/>
      <c r="H24" s="778">
        <f>SUMIF(73:73,G24,74:74)-SUMIF(73:73,C24,74:74)+100</f>
        <v>100</v>
      </c>
      <c r="I24" s="93"/>
      <c r="J24" s="778">
        <f>SUMIF(73:73,I24,74:74)-SUMIF(73:73,C24,74:74)+100</f>
        <v>100</v>
      </c>
      <c r="K24" s="955"/>
      <c r="L24" s="2358"/>
      <c r="M24" s="2349"/>
      <c r="N24" s="2349"/>
      <c r="O24" s="2357"/>
      <c r="P24" s="3745"/>
      <c r="Q24" s="1322">
        <f t="shared" ref="Q24:Q34" si="11">B24</f>
        <v>111</v>
      </c>
      <c r="R24" s="1323" t="s">
        <v>65</v>
      </c>
      <c r="S24" s="1324">
        <f>F24</f>
        <v>100</v>
      </c>
      <c r="T24" s="1323" t="s">
        <v>65</v>
      </c>
      <c r="U24" s="1324">
        <f>H24</f>
        <v>100</v>
      </c>
      <c r="V24" s="1323" t="s">
        <v>65</v>
      </c>
      <c r="W24" s="1324">
        <f>J24</f>
        <v>100</v>
      </c>
      <c r="X24" s="1317"/>
      <c r="Y24" s="3745"/>
      <c r="Z24" s="1325">
        <f>Q24</f>
        <v>111</v>
      </c>
      <c r="AA24" s="1326">
        <f t="shared" si="3"/>
        <v>1</v>
      </c>
      <c r="AB24" s="1326">
        <f t="shared" si="4"/>
        <v>1</v>
      </c>
      <c r="AC24" s="1326">
        <f t="shared" si="5"/>
        <v>1</v>
      </c>
    </row>
    <row r="25" spans="1:29" s="407" customFormat="1" ht="15.75" thickBot="1">
      <c r="A25" s="774"/>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50"/>
      <c r="M25" s="2351"/>
      <c r="N25" s="2351"/>
      <c r="O25" s="2352"/>
      <c r="P25" s="3745"/>
      <c r="Q25" s="296">
        <f t="shared" si="11"/>
        <v>111</v>
      </c>
      <c r="R25" s="1318" t="s">
        <v>65</v>
      </c>
      <c r="S25" s="1319">
        <f>F25</f>
        <v>100</v>
      </c>
      <c r="T25" s="1318" t="s">
        <v>65</v>
      </c>
      <c r="U25" s="1319">
        <f>H25</f>
        <v>100</v>
      </c>
      <c r="V25" s="1318" t="s">
        <v>65</v>
      </c>
      <c r="W25" s="1319">
        <f>J25</f>
        <v>100</v>
      </c>
      <c r="X25" s="1320"/>
      <c r="Y25" s="3745"/>
      <c r="Z25" s="344">
        <f>Q25</f>
        <v>111</v>
      </c>
      <c r="AA25" s="1326">
        <f>D25/F25</f>
        <v>1</v>
      </c>
      <c r="AB25" s="1326">
        <f>D25/H25</f>
        <v>1</v>
      </c>
      <c r="AC25" s="1326">
        <f>D25/J25</f>
        <v>1</v>
      </c>
    </row>
    <row r="26" spans="1:29" ht="15">
      <c r="A26" s="808" t="s">
        <v>407</v>
      </c>
      <c r="B26" s="361" t="s">
        <v>460</v>
      </c>
      <c r="C26" s="197"/>
      <c r="D26" s="809">
        <v>100</v>
      </c>
      <c r="E26" s="197"/>
      <c r="F26" s="1009">
        <f>SUMIF(77:77,E26,78:78)-SUMIF(77:77,C26,78:78)+100</f>
        <v>100</v>
      </c>
      <c r="G26" s="197"/>
      <c r="H26" s="809">
        <f>SUMIF(77:77,G26,78:78)-SUMIF(77:77,C26,78:78)+100</f>
        <v>100</v>
      </c>
      <c r="I26" s="197"/>
      <c r="J26" s="809">
        <f>SUMIF(77:77,I26,78:78)-SUMIF(77:77,C26,78:78)+100</f>
        <v>100</v>
      </c>
      <c r="K26" s="954"/>
      <c r="L26" s="2358"/>
      <c r="M26" s="2349"/>
      <c r="N26" s="2349"/>
      <c r="O26" s="2357"/>
      <c r="P26" s="3746" t="s">
        <v>473</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747" t="s">
        <v>473</v>
      </c>
      <c r="Z26" s="1325" t="str">
        <f t="shared" ref="Z26:Z34" si="15">Q26</f>
        <v>公共部分装修</v>
      </c>
      <c r="AA26" s="1326">
        <f t="shared" si="3"/>
        <v>1</v>
      </c>
      <c r="AB26" s="1326">
        <f t="shared" si="4"/>
        <v>1</v>
      </c>
      <c r="AC26" s="1326">
        <f t="shared" si="5"/>
        <v>1</v>
      </c>
    </row>
    <row r="27" spans="1:29" s="813" customFormat="1" ht="15">
      <c r="A27" s="810"/>
      <c r="B27" s="765" t="s">
        <v>461</v>
      </c>
      <c r="C27" s="816"/>
      <c r="D27" s="426">
        <v>100</v>
      </c>
      <c r="E27" s="817"/>
      <c r="F27" s="804" t="e">
        <f>LOOKUP(E27,80:80,81:81)-LOOKUP(C27,80:80,81:81)+100</f>
        <v>#N/A</v>
      </c>
      <c r="G27" s="818"/>
      <c r="H27" s="778" t="e">
        <f>LOOKUP(G27,80:80,81:81)-LOOKUP(C27,80:80,81:81)+100</f>
        <v>#N/A</v>
      </c>
      <c r="I27" s="818"/>
      <c r="J27" s="778" t="e">
        <f>LOOKUP(I27,80:80,81:81)-LOOKUP(C27,80:80,81:81)+100</f>
        <v>#N/A</v>
      </c>
      <c r="K27" s="954"/>
      <c r="L27" s="2356"/>
      <c r="M27" s="2359"/>
      <c r="N27" s="2359"/>
      <c r="O27" s="2360"/>
      <c r="P27" s="3747"/>
      <c r="Q27" s="1327" t="str">
        <f t="shared" si="11"/>
        <v>成新率</v>
      </c>
      <c r="R27" s="1328" t="s">
        <v>65</v>
      </c>
      <c r="S27" s="1329" t="e">
        <f t="shared" si="12"/>
        <v>#N/A</v>
      </c>
      <c r="T27" s="1328" t="s">
        <v>65</v>
      </c>
      <c r="U27" s="1329" t="e">
        <f t="shared" si="13"/>
        <v>#N/A</v>
      </c>
      <c r="V27" s="1328" t="s">
        <v>65</v>
      </c>
      <c r="W27" s="1329" t="e">
        <f t="shared" si="14"/>
        <v>#N/A</v>
      </c>
      <c r="X27" s="1330"/>
      <c r="Y27" s="3747"/>
      <c r="Z27" s="1331" t="str">
        <f t="shared" si="15"/>
        <v>成新率</v>
      </c>
      <c r="AA27" s="1326" t="e">
        <f t="shared" si="3"/>
        <v>#N/A</v>
      </c>
      <c r="AB27" s="1326" t="e">
        <f t="shared" si="4"/>
        <v>#N/A</v>
      </c>
      <c r="AC27" s="1326" t="e">
        <f t="shared" si="5"/>
        <v>#N/A</v>
      </c>
    </row>
    <row r="28" spans="1:29" ht="15">
      <c r="A28" s="814"/>
      <c r="B28" s="765" t="s">
        <v>462</v>
      </c>
      <c r="C28" s="107"/>
      <c r="D28" s="778">
        <v>100</v>
      </c>
      <c r="E28" s="107"/>
      <c r="F28" s="804">
        <f>SUMIF(82:82,E28,83:83)-SUMIF(82:82,C28,83:83)+100</f>
        <v>100</v>
      </c>
      <c r="G28" s="107"/>
      <c r="H28" s="778">
        <f>SUMIF(82:82,G28,83:83)-SUMIF(82:82,C28,83:83)+100</f>
        <v>100</v>
      </c>
      <c r="I28" s="107"/>
      <c r="J28" s="778">
        <f>SUMIF(82:82,I28,83:83)-SUMIF(82:82,C28,83:83)+100</f>
        <v>100</v>
      </c>
      <c r="K28" s="954"/>
      <c r="L28" s="2358"/>
      <c r="M28" s="2349"/>
      <c r="N28" s="2349"/>
      <c r="O28" s="2357"/>
      <c r="P28" s="3747"/>
      <c r="Q28" s="1322" t="str">
        <f t="shared" si="11"/>
        <v>物业等级</v>
      </c>
      <c r="R28" s="1323" t="s">
        <v>65</v>
      </c>
      <c r="S28" s="1324">
        <f t="shared" si="12"/>
        <v>100</v>
      </c>
      <c r="T28" s="1323" t="s">
        <v>65</v>
      </c>
      <c r="U28" s="1324">
        <f t="shared" si="13"/>
        <v>100</v>
      </c>
      <c r="V28" s="1323" t="s">
        <v>65</v>
      </c>
      <c r="W28" s="1324">
        <f t="shared" si="14"/>
        <v>100</v>
      </c>
      <c r="X28" s="1317"/>
      <c r="Y28" s="3747"/>
      <c r="Z28" s="1325" t="str">
        <f t="shared" si="15"/>
        <v>物业等级</v>
      </c>
      <c r="AA28" s="1326">
        <f t="shared" si="3"/>
        <v>1</v>
      </c>
      <c r="AB28" s="1326">
        <f t="shared" si="4"/>
        <v>1</v>
      </c>
      <c r="AC28" s="1326">
        <f t="shared" si="5"/>
        <v>1</v>
      </c>
    </row>
    <row r="29" spans="1:29" ht="15">
      <c r="A29" s="814"/>
      <c r="B29" s="765" t="s">
        <v>474</v>
      </c>
      <c r="C29" s="1412"/>
      <c r="D29" s="778">
        <v>100</v>
      </c>
      <c r="E29" s="1412"/>
      <c r="F29" s="804">
        <f>SUMIF(84:84,E29,85:85)-SUMIF(84:84,C29,85:85)+100</f>
        <v>100</v>
      </c>
      <c r="G29" s="1412"/>
      <c r="H29" s="778">
        <f>SUMIF(84:84,G29,85:85)-SUMIF(84:84,C29,85:85)+100</f>
        <v>100</v>
      </c>
      <c r="I29" s="1412"/>
      <c r="J29" s="778">
        <f>SUMIF(84:84,I29,85:85)-SUMIF(84:84,C29,85:85)+100</f>
        <v>100</v>
      </c>
      <c r="K29" s="954"/>
      <c r="L29" s="2358"/>
      <c r="M29" s="2349"/>
      <c r="N29" s="2349"/>
      <c r="O29" s="2357"/>
      <c r="P29" s="3747"/>
      <c r="Q29" s="1322" t="str">
        <f t="shared" si="11"/>
        <v>有无电梯</v>
      </c>
      <c r="R29" s="1323" t="s">
        <v>65</v>
      </c>
      <c r="S29" s="1324">
        <f t="shared" si="12"/>
        <v>100</v>
      </c>
      <c r="T29" s="1323" t="s">
        <v>65</v>
      </c>
      <c r="U29" s="1324">
        <f t="shared" si="13"/>
        <v>100</v>
      </c>
      <c r="V29" s="1323" t="s">
        <v>65</v>
      </c>
      <c r="W29" s="1324">
        <f t="shared" si="14"/>
        <v>100</v>
      </c>
      <c r="X29" s="1317"/>
      <c r="Y29" s="3747"/>
      <c r="Z29" s="1325" t="str">
        <f t="shared" si="15"/>
        <v>有无电梯</v>
      </c>
      <c r="AA29" s="1326">
        <f t="shared" si="3"/>
        <v>1</v>
      </c>
      <c r="AB29" s="1326">
        <f t="shared" si="4"/>
        <v>1</v>
      </c>
      <c r="AC29" s="1326">
        <f t="shared" si="5"/>
        <v>1</v>
      </c>
    </row>
    <row r="30" spans="1:29" ht="15">
      <c r="A30" s="814"/>
      <c r="B30" s="765" t="s">
        <v>475</v>
      </c>
      <c r="C30" s="811"/>
      <c r="D30" s="778">
        <v>100</v>
      </c>
      <c r="E30" s="811"/>
      <c r="F30" s="804" t="e">
        <f>LOOKUP(E30,87:87,88:88)-LOOKUP(C30,87:87,88:88)+100</f>
        <v>#N/A</v>
      </c>
      <c r="G30" s="811"/>
      <c r="H30" s="778" t="e">
        <f>LOOKUP(G30,87:87,88:88)-LOOKUP(C30,87:87,88:88)+100</f>
        <v>#N/A</v>
      </c>
      <c r="I30" s="811"/>
      <c r="J30" s="778" t="e">
        <f>LOOKUP(I30,87:87,88:88)-LOOKUP(C30,87:87,88:88)+100</f>
        <v>#N/A</v>
      </c>
      <c r="K30" s="955"/>
      <c r="L30" s="2358"/>
      <c r="M30" s="2349"/>
      <c r="N30" s="2349"/>
      <c r="O30" s="2357"/>
      <c r="P30" s="3747"/>
      <c r="Q30" s="1322" t="str">
        <f t="shared" si="11"/>
        <v>建筑面积</v>
      </c>
      <c r="R30" s="1323" t="s">
        <v>65</v>
      </c>
      <c r="S30" s="1324" t="e">
        <f t="shared" si="12"/>
        <v>#N/A</v>
      </c>
      <c r="T30" s="1323" t="s">
        <v>65</v>
      </c>
      <c r="U30" s="1324" t="e">
        <f t="shared" si="13"/>
        <v>#N/A</v>
      </c>
      <c r="V30" s="1323" t="s">
        <v>65</v>
      </c>
      <c r="W30" s="1324" t="e">
        <f t="shared" si="14"/>
        <v>#N/A</v>
      </c>
      <c r="X30" s="1317"/>
      <c r="Y30" s="3747"/>
      <c r="Z30" s="1325" t="str">
        <f t="shared" si="15"/>
        <v>建筑面积</v>
      </c>
      <c r="AA30" s="1326" t="e">
        <f t="shared" si="3"/>
        <v>#N/A</v>
      </c>
      <c r="AB30" s="1326" t="e">
        <f t="shared" si="4"/>
        <v>#N/A</v>
      </c>
      <c r="AC30" s="1326" t="e">
        <f t="shared" si="5"/>
        <v>#N/A</v>
      </c>
    </row>
    <row r="31" spans="1:29" s="407" customFormat="1" ht="15">
      <c r="A31" s="815"/>
      <c r="B31" s="765" t="s">
        <v>476</v>
      </c>
      <c r="C31" s="1412"/>
      <c r="D31" s="426">
        <v>100</v>
      </c>
      <c r="E31" s="1412"/>
      <c r="F31" s="804">
        <f>SUMIF(89:89,E31,90:90)-SUMIF(89:89,C31,90:90)+100</f>
        <v>100</v>
      </c>
      <c r="G31" s="1412"/>
      <c r="H31" s="778">
        <f>SUMIF(89:89,G31,90:90)-SUMIF(89:89,C31,90:90)+100</f>
        <v>100</v>
      </c>
      <c r="I31" s="1412"/>
      <c r="J31" s="778">
        <f>SUMIF(89:89,I31,90:90)-SUMIF(89:89,C31,90:90)+100</f>
        <v>100</v>
      </c>
      <c r="K31" s="954"/>
      <c r="L31" s="2350"/>
      <c r="M31" s="2351"/>
      <c r="N31" s="2351"/>
      <c r="O31" s="2352"/>
      <c r="P31" s="3747"/>
      <c r="Q31" s="296" t="str">
        <f t="shared" si="11"/>
        <v>是否封闭</v>
      </c>
      <c r="R31" s="1318" t="s">
        <v>65</v>
      </c>
      <c r="S31" s="1319">
        <f t="shared" si="12"/>
        <v>100</v>
      </c>
      <c r="T31" s="1318" t="s">
        <v>65</v>
      </c>
      <c r="U31" s="1319">
        <f t="shared" si="13"/>
        <v>100</v>
      </c>
      <c r="V31" s="1318" t="s">
        <v>65</v>
      </c>
      <c r="W31" s="1319">
        <f t="shared" si="14"/>
        <v>100</v>
      </c>
      <c r="X31" s="1320"/>
      <c r="Y31" s="3747"/>
      <c r="Z31" s="344" t="str">
        <f t="shared" si="15"/>
        <v>是否封闭</v>
      </c>
      <c r="AA31" s="1321">
        <f t="shared" si="3"/>
        <v>1</v>
      </c>
      <c r="AB31" s="1321">
        <f t="shared" si="4"/>
        <v>1</v>
      </c>
      <c r="AC31" s="1321">
        <f t="shared" si="5"/>
        <v>1</v>
      </c>
    </row>
    <row r="32" spans="1:29" ht="15">
      <c r="A32" s="814"/>
      <c r="B32" s="1030">
        <v>111</v>
      </c>
      <c r="C32" s="1023"/>
      <c r="D32" s="778">
        <v>100</v>
      </c>
      <c r="E32" s="1357"/>
      <c r="F32" s="804">
        <f>SUMIF(91:91,E32,92:92)-SUMIF(91:91,C32,92:92)+100</f>
        <v>100</v>
      </c>
      <c r="G32" s="1357"/>
      <c r="H32" s="778">
        <f>SUMIF(91:91,G32,92:92)-SUMIF(91:91,C32,92:92)+100</f>
        <v>100</v>
      </c>
      <c r="I32" s="1357"/>
      <c r="J32" s="778">
        <f>SUMIF(91:91,I32,92:92)-SUMIF(91:91,C32,92:92)+100</f>
        <v>100</v>
      </c>
      <c r="K32" s="955"/>
      <c r="L32" s="2358"/>
      <c r="M32" s="2349"/>
      <c r="N32" s="2349"/>
      <c r="O32" s="2357"/>
      <c r="P32" s="3747" t="s">
        <v>408</v>
      </c>
      <c r="Q32" s="1322">
        <f t="shared" si="11"/>
        <v>111</v>
      </c>
      <c r="R32" s="1323" t="s">
        <v>65</v>
      </c>
      <c r="S32" s="1324">
        <f t="shared" si="12"/>
        <v>100</v>
      </c>
      <c r="T32" s="1323" t="s">
        <v>65</v>
      </c>
      <c r="U32" s="1324">
        <f t="shared" si="13"/>
        <v>100</v>
      </c>
      <c r="V32" s="1323" t="s">
        <v>65</v>
      </c>
      <c r="W32" s="1324">
        <f t="shared" si="14"/>
        <v>100</v>
      </c>
      <c r="X32" s="1317"/>
      <c r="Y32" s="3747" t="s">
        <v>408</v>
      </c>
      <c r="Z32" s="1325">
        <f t="shared" si="15"/>
        <v>111</v>
      </c>
      <c r="AA32" s="1326">
        <f t="shared" si="3"/>
        <v>1</v>
      </c>
      <c r="AB32" s="1326">
        <f t="shared" si="4"/>
        <v>1</v>
      </c>
      <c r="AC32" s="1326">
        <f t="shared" si="5"/>
        <v>1</v>
      </c>
    </row>
    <row r="33" spans="1:29" ht="15">
      <c r="A33" s="814"/>
      <c r="B33" s="1030">
        <v>111</v>
      </c>
      <c r="C33" s="1023"/>
      <c r="D33" s="778">
        <v>100</v>
      </c>
      <c r="E33" s="1357"/>
      <c r="F33" s="804">
        <f>SUMIF(93:93,E33,94:94)-SUMIF(93:93,C33,94:94)+100</f>
        <v>100</v>
      </c>
      <c r="G33" s="1357"/>
      <c r="H33" s="778">
        <f>SUMIF(93:93,G33,94:94)-SUMIF(93:93,C33,94:94)+100</f>
        <v>100</v>
      </c>
      <c r="I33" s="1357"/>
      <c r="J33" s="778">
        <f>SUMIF(93:93,I33,94:94)-SUMIF(93:93,C33,94:94)+100</f>
        <v>100</v>
      </c>
      <c r="K33" s="955"/>
      <c r="L33" s="2358"/>
      <c r="M33" s="2349"/>
      <c r="N33" s="2349"/>
      <c r="O33" s="2357"/>
      <c r="P33" s="3747"/>
      <c r="Q33" s="1322">
        <f t="shared" si="11"/>
        <v>111</v>
      </c>
      <c r="R33" s="1323" t="s">
        <v>65</v>
      </c>
      <c r="S33" s="1324">
        <f t="shared" si="12"/>
        <v>100</v>
      </c>
      <c r="T33" s="1323" t="s">
        <v>65</v>
      </c>
      <c r="U33" s="1324">
        <f t="shared" si="13"/>
        <v>100</v>
      </c>
      <c r="V33" s="1323" t="s">
        <v>65</v>
      </c>
      <c r="W33" s="1324">
        <f t="shared" si="14"/>
        <v>100</v>
      </c>
      <c r="X33" s="1317"/>
      <c r="Y33" s="3747"/>
      <c r="Z33" s="1325">
        <f t="shared" si="15"/>
        <v>111</v>
      </c>
      <c r="AA33" s="1326">
        <f t="shared" si="3"/>
        <v>1</v>
      </c>
      <c r="AB33" s="1326">
        <f t="shared" si="4"/>
        <v>1</v>
      </c>
      <c r="AC33" s="1326">
        <f t="shared" si="5"/>
        <v>1</v>
      </c>
    </row>
    <row r="34" spans="1:29" ht="15.75" thickBot="1">
      <c r="A34" s="820"/>
      <c r="B34" s="1031">
        <v>111</v>
      </c>
      <c r="C34" s="94"/>
      <c r="D34" s="781">
        <v>100</v>
      </c>
      <c r="E34" s="1413"/>
      <c r="F34" s="782">
        <f>SUMIF(95:95,E34,96:96)-SUMIF(95:95,C34,96:96)+100</f>
        <v>100</v>
      </c>
      <c r="G34" s="1413"/>
      <c r="H34" s="781">
        <f>SUMIF(95:95,G34,96:96)-SUMIF(95:95,C34,96:96)+100</f>
        <v>100</v>
      </c>
      <c r="I34" s="1413"/>
      <c r="J34" s="781">
        <f>SUMIF(95:95,I34,96:96)-SUMIF(95:95,C34,96:96)+100</f>
        <v>100</v>
      </c>
      <c r="K34" s="955"/>
      <c r="L34" s="2358"/>
      <c r="M34" s="2349"/>
      <c r="N34" s="2349"/>
      <c r="O34" s="2357"/>
      <c r="P34" s="3747"/>
      <c r="Q34" s="1322">
        <f t="shared" si="11"/>
        <v>111</v>
      </c>
      <c r="R34" s="1323" t="s">
        <v>65</v>
      </c>
      <c r="S34" s="1324">
        <f t="shared" si="12"/>
        <v>100</v>
      </c>
      <c r="T34" s="1323" t="s">
        <v>65</v>
      </c>
      <c r="U34" s="1324">
        <f t="shared" si="13"/>
        <v>100</v>
      </c>
      <c r="V34" s="1323" t="s">
        <v>65</v>
      </c>
      <c r="W34" s="1324">
        <f t="shared" si="14"/>
        <v>100</v>
      </c>
      <c r="X34" s="1317"/>
      <c r="Y34" s="3747"/>
      <c r="Z34" s="1325">
        <f t="shared" si="15"/>
        <v>111</v>
      </c>
      <c r="AA34" s="1326">
        <f t="shared" si="3"/>
        <v>1</v>
      </c>
      <c r="AB34" s="1326">
        <f t="shared" si="4"/>
        <v>1</v>
      </c>
      <c r="AC34" s="1326">
        <f t="shared" si="5"/>
        <v>1</v>
      </c>
    </row>
    <row r="35" spans="1:29" ht="15">
      <c r="A35" s="821" t="s">
        <v>409</v>
      </c>
      <c r="B35" s="822"/>
      <c r="C35" s="2833" t="s">
        <v>23</v>
      </c>
      <c r="D35" s="2834"/>
      <c r="E35" s="2835"/>
      <c r="F35" s="2836"/>
      <c r="G35" s="2837"/>
      <c r="H35" s="2838"/>
      <c r="I35" s="2835"/>
      <c r="J35" s="2838"/>
      <c r="K35" s="1399"/>
      <c r="L35" s="2361"/>
      <c r="M35" s="2362"/>
      <c r="N35" s="2349"/>
      <c r="O35" s="2362"/>
      <c r="P35" s="3729" t="str">
        <f>A35</f>
        <v>成交单价（元/平方米）</v>
      </c>
      <c r="Q35" s="3729"/>
      <c r="R35" s="3748">
        <f>E35</f>
        <v>0</v>
      </c>
      <c r="S35" s="3748"/>
      <c r="T35" s="3748">
        <f>G35</f>
        <v>0</v>
      </c>
      <c r="U35" s="3748"/>
      <c r="V35" s="3748">
        <f>I35</f>
        <v>0</v>
      </c>
      <c r="W35" s="3748"/>
      <c r="X35" s="1306"/>
      <c r="Y35" s="1332"/>
      <c r="Z35" s="1306"/>
      <c r="AA35" s="1306"/>
      <c r="AB35" s="1306"/>
      <c r="AC35" s="1306"/>
    </row>
    <row r="36" spans="1:29" ht="15.75" thickBot="1">
      <c r="A36" s="828" t="s">
        <v>410</v>
      </c>
      <c r="B36" s="829"/>
      <c r="C36" s="2839" t="e">
        <f>R37</f>
        <v>#DIV/0!</v>
      </c>
      <c r="D36" s="2840"/>
      <c r="E36" s="2841" t="e">
        <f>R36</f>
        <v>#DIV/0!</v>
      </c>
      <c r="F36" s="2841"/>
      <c r="G36" s="2839" t="e">
        <f>T36</f>
        <v>#DIV/0!</v>
      </c>
      <c r="H36" s="2840"/>
      <c r="I36" s="2841" t="e">
        <f>V36</f>
        <v>#DIV/0!</v>
      </c>
      <c r="J36" s="2840"/>
      <c r="K36" s="1400"/>
      <c r="L36" s="2361"/>
      <c r="M36" s="2362"/>
      <c r="N36" s="2349"/>
      <c r="O36" s="2362"/>
      <c r="P36" s="3729" t="str">
        <f>A36</f>
        <v>比较价值（元/平方米）</v>
      </c>
      <c r="Q36" s="3729"/>
      <c r="R36" s="3748" t="e">
        <f>IF(F1="售价",ROUND(PRODUCT(R35,AA7:AA34),0),ROUND(PRODUCT(R35,AA7:AA34),1))</f>
        <v>#DIV/0!</v>
      </c>
      <c r="S36" s="3748"/>
      <c r="T36" s="3748" t="e">
        <f>IF(F1="售价",ROUND(PRODUCT(T35,AB7:AB34),0),ROUND(PRODUCT(T35,AB7:AB34),1))</f>
        <v>#DIV/0!</v>
      </c>
      <c r="U36" s="3748"/>
      <c r="V36" s="3748" t="e">
        <f>IF(F1="售价",ROUND(PRODUCT(V35,AC7:AC34),0),ROUND(PRODUCT(V35,AC7:AC34),1))</f>
        <v>#DIV/0!</v>
      </c>
      <c r="W36" s="3748"/>
      <c r="X36" s="1306"/>
      <c r="Y36" s="1306"/>
      <c r="Z36" s="1306"/>
      <c r="AA36" s="1306"/>
      <c r="AB36" s="1306"/>
      <c r="AC36" s="1306"/>
    </row>
    <row r="37" spans="1:29" ht="15.75" thickBot="1">
      <c r="A37" s="115" t="s">
        <v>3013</v>
      </c>
      <c r="B37" s="835"/>
      <c r="C37" s="2843" t="e">
        <f>R37</f>
        <v>#DIV/0!</v>
      </c>
      <c r="D37" s="2843"/>
      <c r="E37" s="2843"/>
      <c r="F37" s="2843"/>
      <c r="G37" s="2843"/>
      <c r="H37" s="2843"/>
      <c r="I37" s="2843"/>
      <c r="J37" s="2843"/>
      <c r="K37" s="1401"/>
      <c r="L37" s="2361"/>
      <c r="M37" s="2362"/>
      <c r="N37" s="2362"/>
      <c r="O37" s="2362"/>
      <c r="P37" s="3749" t="str">
        <f>A37</f>
        <v>估价对象XX用房的比较价值（楼面单价，元/平方米）</v>
      </c>
      <c r="Q37" s="3750"/>
      <c r="R37" s="3751" t="e">
        <f>IF(F1="售价",ROUND(AVERAGE(R36:V36),0),ROUND(AVERAGE(R36:V36),1))</f>
        <v>#DIV/0!</v>
      </c>
      <c r="S37" s="3751"/>
      <c r="T37" s="3751"/>
      <c r="U37" s="3751"/>
      <c r="V37" s="3751"/>
      <c r="W37" s="3751"/>
      <c r="X37" s="1306"/>
      <c r="Y37" s="1306"/>
      <c r="Z37" s="1306"/>
      <c r="AA37" s="1306"/>
      <c r="AB37" s="1306"/>
      <c r="AC37" s="1306"/>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39" t="s">
        <v>411</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8"/>
      <c r="L40" s="2189"/>
      <c r="M40" s="2362"/>
      <c r="N40" s="2362"/>
      <c r="O40" s="2362"/>
    </row>
    <row r="41" spans="1:29" ht="13.5" customHeight="1">
      <c r="A41" s="2362"/>
      <c r="B41" s="2362"/>
      <c r="C41" s="839" t="s">
        <v>412</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8"/>
      <c r="L41" s="2189"/>
      <c r="M41" s="2362"/>
      <c r="N41" s="2362"/>
      <c r="O41" s="2362"/>
    </row>
    <row r="42" spans="1:29" s="844" customFormat="1" ht="13.5" customHeight="1">
      <c r="A42" s="2363"/>
      <c r="B42" s="2363"/>
      <c r="C42" s="839" t="s">
        <v>413</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6"/>
      <c r="L42" s="2367"/>
      <c r="M42" s="2363"/>
      <c r="N42" s="2363"/>
      <c r="O42" s="2363"/>
    </row>
    <row r="43" spans="1:29" s="844"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0" t="s">
        <v>414</v>
      </c>
      <c r="B45" s="1306"/>
      <c r="C45" s="1311"/>
      <c r="D45" s="1311"/>
      <c r="E45" s="1311"/>
      <c r="F45" s="1312"/>
      <c r="G45" s="1312"/>
      <c r="H45" s="1311"/>
      <c r="I45" s="1311"/>
      <c r="J45" s="1311"/>
      <c r="K45" s="1313"/>
      <c r="L45" s="1314"/>
      <c r="M45" s="1311"/>
      <c r="N45" s="1311"/>
      <c r="O45" s="1311"/>
      <c r="P45" s="845"/>
      <c r="Q45" s="846"/>
    </row>
    <row r="46" spans="1:29" s="850" customFormat="1" ht="15">
      <c r="A46" s="847" t="s">
        <v>397</v>
      </c>
      <c r="B46" s="848"/>
      <c r="C46" s="3040" t="str">
        <f>YEAR(C7)&amp;"-"&amp;MONTH(C7)</f>
        <v>2017-9</v>
      </c>
      <c r="D46" s="3041">
        <f>EDATE(C46,-1)</f>
        <v>42948</v>
      </c>
      <c r="E46" s="3041">
        <f t="shared" ref="E46:O46" si="16">EDATE(D46,-1)</f>
        <v>42917</v>
      </c>
      <c r="F46" s="3041">
        <f t="shared" si="16"/>
        <v>42887</v>
      </c>
      <c r="G46" s="3041">
        <f t="shared" si="16"/>
        <v>42856</v>
      </c>
      <c r="H46" s="3041">
        <f t="shared" si="16"/>
        <v>42826</v>
      </c>
      <c r="I46" s="3041">
        <f t="shared" si="16"/>
        <v>42795</v>
      </c>
      <c r="J46" s="3041">
        <f t="shared" si="16"/>
        <v>42767</v>
      </c>
      <c r="K46" s="3041">
        <f t="shared" si="16"/>
        <v>42736</v>
      </c>
      <c r="L46" s="3041">
        <f t="shared" si="16"/>
        <v>42705</v>
      </c>
      <c r="M46" s="3041">
        <f t="shared" si="16"/>
        <v>42675</v>
      </c>
      <c r="N46" s="3041">
        <f t="shared" si="16"/>
        <v>42644</v>
      </c>
      <c r="O46" s="3041">
        <f t="shared" si="16"/>
        <v>42614</v>
      </c>
      <c r="P46" s="849"/>
    </row>
    <row r="47" spans="1:29" s="407" customFormat="1" ht="15">
      <c r="A47" s="851"/>
      <c r="B47" s="852"/>
      <c r="C47" s="3038">
        <v>100</v>
      </c>
      <c r="D47" s="854"/>
      <c r="E47" s="854"/>
      <c r="F47" s="854"/>
      <c r="G47" s="854"/>
      <c r="H47" s="854"/>
      <c r="I47" s="854"/>
      <c r="J47" s="854"/>
      <c r="K47" s="854"/>
      <c r="L47" s="854"/>
      <c r="M47" s="855"/>
      <c r="N47" s="854"/>
      <c r="O47" s="856"/>
      <c r="P47" s="846"/>
    </row>
    <row r="48" spans="1:29" s="407" customFormat="1" ht="15.75" thickBot="1">
      <c r="A48" s="857" t="s">
        <v>415</v>
      </c>
      <c r="B48" s="858"/>
      <c r="C48" s="859"/>
      <c r="D48" s="860"/>
      <c r="E48" s="860"/>
      <c r="F48" s="860"/>
      <c r="G48" s="860"/>
      <c r="H48" s="860"/>
      <c r="I48" s="860"/>
      <c r="J48" s="860"/>
      <c r="K48" s="860"/>
      <c r="L48" s="860"/>
      <c r="M48" s="861"/>
      <c r="N48" s="860"/>
      <c r="O48" s="862"/>
      <c r="P48" s="846"/>
      <c r="Q48" s="846"/>
    </row>
    <row r="49" spans="1:17" s="407" customFormat="1" ht="15">
      <c r="A49" s="863" t="s">
        <v>399</v>
      </c>
      <c r="B49" s="852"/>
      <c r="C49" s="864" t="s">
        <v>416</v>
      </c>
      <c r="D49" s="140"/>
      <c r="E49" s="140"/>
      <c r="F49" s="140"/>
      <c r="G49" s="140"/>
      <c r="H49" s="140"/>
      <c r="I49" s="140"/>
      <c r="J49" s="140"/>
      <c r="K49" s="140"/>
      <c r="L49" s="141"/>
      <c r="M49" s="1050"/>
      <c r="N49" s="2369"/>
      <c r="O49" s="2369"/>
      <c r="P49" s="868"/>
      <c r="Q49" s="846"/>
    </row>
    <row r="50" spans="1:17" s="407" customFormat="1" ht="15.75" thickBot="1">
      <c r="A50" s="863"/>
      <c r="B50" s="852"/>
      <c r="C50" s="981">
        <v>100</v>
      </c>
      <c r="D50" s="854"/>
      <c r="E50" s="854"/>
      <c r="F50" s="854"/>
      <c r="G50" s="854"/>
      <c r="H50" s="854"/>
      <c r="I50" s="854"/>
      <c r="J50" s="854"/>
      <c r="K50" s="854"/>
      <c r="L50" s="854"/>
      <c r="M50" s="856"/>
      <c r="N50" s="2369"/>
      <c r="O50" s="2369"/>
      <c r="P50" s="846"/>
      <c r="Q50" s="846"/>
    </row>
    <row r="51" spans="1:17">
      <c r="A51" s="869" t="s">
        <v>417</v>
      </c>
      <c r="B51" s="870" t="s">
        <v>418</v>
      </c>
      <c r="C51" s="871">
        <f>C9</f>
        <v>0</v>
      </c>
      <c r="D51" s="122"/>
      <c r="E51" s="122"/>
      <c r="F51" s="122"/>
      <c r="G51" s="122"/>
      <c r="H51" s="122"/>
      <c r="I51" s="122"/>
      <c r="J51" s="122"/>
      <c r="K51" s="123"/>
      <c r="L51" s="124"/>
      <c r="M51" s="125"/>
      <c r="N51" s="2370"/>
      <c r="O51" s="2370"/>
      <c r="P51" s="334"/>
      <c r="Q51" s="846"/>
    </row>
    <row r="52" spans="1:17" ht="15.75" thickBot="1">
      <c r="A52" s="876"/>
      <c r="B52" s="877"/>
      <c r="C52" s="878">
        <v>100</v>
      </c>
      <c r="D52" s="878"/>
      <c r="E52" s="878"/>
      <c r="F52" s="878"/>
      <c r="G52" s="878"/>
      <c r="H52" s="878"/>
      <c r="I52" s="878"/>
      <c r="J52" s="878"/>
      <c r="K52" s="878"/>
      <c r="L52" s="878"/>
      <c r="M52" s="879"/>
      <c r="N52" s="2371"/>
      <c r="O52" s="2371"/>
      <c r="P52" s="334"/>
      <c r="Q52" s="846"/>
    </row>
    <row r="53" spans="1:17" ht="27.75" thickTop="1">
      <c r="A53" s="876"/>
      <c r="B53" s="880" t="s">
        <v>403</v>
      </c>
      <c r="C53" s="881" t="s">
        <v>419</v>
      </c>
      <c r="D53" s="881" t="s">
        <v>420</v>
      </c>
      <c r="E53" s="881" t="s">
        <v>421</v>
      </c>
      <c r="F53" s="881" t="s">
        <v>422</v>
      </c>
      <c r="G53" s="881" t="s">
        <v>437</v>
      </c>
      <c r="H53" s="881" t="s">
        <v>438</v>
      </c>
      <c r="I53" s="881" t="s">
        <v>439</v>
      </c>
      <c r="J53" s="881"/>
      <c r="K53" s="882"/>
      <c r="L53" s="883"/>
      <c r="M53" s="884"/>
      <c r="N53" s="2370"/>
      <c r="O53" s="2370"/>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71"/>
      <c r="O54" s="2371"/>
      <c r="P54" s="334"/>
      <c r="Q54" s="846"/>
    </row>
    <row r="55" spans="1:17" ht="15.75" thickTop="1">
      <c r="A55" s="876"/>
      <c r="B55" s="213">
        <f>B11</f>
        <v>111</v>
      </c>
      <c r="C55" s="126"/>
      <c r="D55" s="126"/>
      <c r="E55" s="126"/>
      <c r="F55" s="126"/>
      <c r="G55" s="126"/>
      <c r="H55" s="126"/>
      <c r="I55" s="126"/>
      <c r="J55" s="126"/>
      <c r="K55" s="127"/>
      <c r="L55" s="128"/>
      <c r="M55" s="129"/>
      <c r="N55" s="2370"/>
      <c r="O55" s="2370"/>
      <c r="P55" s="334"/>
      <c r="Q55" s="846"/>
    </row>
    <row r="56" spans="1:17" ht="15.75" thickBot="1">
      <c r="A56" s="876"/>
      <c r="B56" s="1052"/>
      <c r="C56" s="902"/>
      <c r="D56" s="878"/>
      <c r="E56" s="878"/>
      <c r="F56" s="878"/>
      <c r="G56" s="878"/>
      <c r="H56" s="878"/>
      <c r="I56" s="878"/>
      <c r="J56" s="878"/>
      <c r="K56" s="878"/>
      <c r="L56" s="878"/>
      <c r="M56" s="879"/>
      <c r="N56" s="2371"/>
      <c r="O56" s="2371"/>
      <c r="P56" s="334"/>
      <c r="Q56" s="846"/>
    </row>
    <row r="57" spans="1:17" s="813" customFormat="1" ht="15.75" thickTop="1">
      <c r="A57" s="895"/>
      <c r="B57" s="1053">
        <f>B12</f>
        <v>111</v>
      </c>
      <c r="C57" s="126"/>
      <c r="D57" s="126"/>
      <c r="E57" s="126"/>
      <c r="F57" s="126"/>
      <c r="G57" s="139"/>
      <c r="H57" s="1058"/>
      <c r="I57" s="1058"/>
      <c r="J57" s="1058"/>
      <c r="K57" s="1058"/>
      <c r="L57" s="1059"/>
      <c r="M57" s="1060"/>
      <c r="N57" s="2372"/>
      <c r="O57" s="2372"/>
      <c r="P57" s="900"/>
      <c r="Q57" s="901"/>
    </row>
    <row r="58" spans="1:17" s="813" customFormat="1" ht="15.75" thickBot="1">
      <c r="A58" s="895"/>
      <c r="B58" s="1054"/>
      <c r="C58" s="902"/>
      <c r="D58" s="878"/>
      <c r="E58" s="878"/>
      <c r="F58" s="878"/>
      <c r="G58" s="878"/>
      <c r="H58" s="878"/>
      <c r="I58" s="878"/>
      <c r="J58" s="878"/>
      <c r="K58" s="878"/>
      <c r="L58" s="878"/>
      <c r="M58" s="879"/>
      <c r="N58" s="2371"/>
      <c r="O58" s="2371"/>
      <c r="P58" s="900"/>
      <c r="Q58" s="901"/>
    </row>
    <row r="59" spans="1:17" s="813" customFormat="1" ht="15.75" thickTop="1">
      <c r="A59" s="895"/>
      <c r="B59" s="1053">
        <f>B13</f>
        <v>111</v>
      </c>
      <c r="C59" s="126"/>
      <c r="D59" s="126"/>
      <c r="E59" s="126"/>
      <c r="F59" s="126"/>
      <c r="G59" s="139"/>
      <c r="H59" s="1058"/>
      <c r="I59" s="1058"/>
      <c r="J59" s="1058"/>
      <c r="K59" s="1058"/>
      <c r="L59" s="1059"/>
      <c r="M59" s="1060"/>
      <c r="N59" s="2372"/>
      <c r="O59" s="2372"/>
      <c r="P59" s="812"/>
      <c r="Q59" s="903"/>
    </row>
    <row r="60" spans="1:17" s="813" customFormat="1" ht="15.75" thickBot="1">
      <c r="A60" s="895"/>
      <c r="B60" s="1054"/>
      <c r="C60" s="902"/>
      <c r="D60" s="902"/>
      <c r="E60" s="902"/>
      <c r="F60" s="902"/>
      <c r="G60" s="902"/>
      <c r="H60" s="904"/>
      <c r="I60" s="904"/>
      <c r="J60" s="904"/>
      <c r="K60" s="904"/>
      <c r="L60" s="904"/>
      <c r="M60" s="905"/>
      <c r="N60" s="2372"/>
      <c r="O60" s="2372"/>
      <c r="P60" s="900"/>
      <c r="Q60" s="901"/>
    </row>
    <row r="61" spans="1:17" ht="15" thickTop="1">
      <c r="A61" s="869" t="s">
        <v>405</v>
      </c>
      <c r="B61" s="870" t="s">
        <v>429</v>
      </c>
      <c r="C61" s="915" t="s">
        <v>424</v>
      </c>
      <c r="D61" s="915" t="s">
        <v>425</v>
      </c>
      <c r="E61" s="915" t="s">
        <v>426</v>
      </c>
      <c r="F61" s="915" t="s">
        <v>427</v>
      </c>
      <c r="G61" s="915" t="s">
        <v>428</v>
      </c>
      <c r="H61" s="871"/>
      <c r="I61" s="871"/>
      <c r="J61" s="871"/>
      <c r="K61" s="916"/>
      <c r="L61" s="917"/>
      <c r="M61" s="918"/>
      <c r="N61" s="2370"/>
      <c r="O61" s="2370"/>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1"/>
      <c r="O62" s="2371"/>
      <c r="P62" s="334"/>
      <c r="Q62" s="846"/>
    </row>
    <row r="63" spans="1:17" ht="27.75" thickTop="1">
      <c r="A63" s="876"/>
      <c r="B63" s="880" t="s">
        <v>430</v>
      </c>
      <c r="C63" s="920" t="s">
        <v>424</v>
      </c>
      <c r="D63" s="920" t="s">
        <v>425</v>
      </c>
      <c r="E63" s="920" t="s">
        <v>426</v>
      </c>
      <c r="F63" s="920" t="s">
        <v>427</v>
      </c>
      <c r="G63" s="920" t="s">
        <v>428</v>
      </c>
      <c r="H63" s="881"/>
      <c r="I63" s="881"/>
      <c r="J63" s="881"/>
      <c r="K63" s="882"/>
      <c r="L63" s="883"/>
      <c r="M63" s="884"/>
      <c r="N63" s="2370"/>
      <c r="O63" s="2370"/>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1"/>
      <c r="O64" s="2371"/>
      <c r="P64" s="334"/>
      <c r="Q64" s="846"/>
    </row>
    <row r="65" spans="1:17" ht="15.75" thickTop="1">
      <c r="A65" s="876"/>
      <c r="B65" s="1055" t="s">
        <v>2663</v>
      </c>
      <c r="C65" s="213" t="s">
        <v>2653</v>
      </c>
      <c r="D65" s="213" t="s">
        <v>2654</v>
      </c>
      <c r="E65" s="213" t="s">
        <v>2655</v>
      </c>
      <c r="F65" s="213" t="s">
        <v>2656</v>
      </c>
      <c r="G65" s="213" t="s">
        <v>2657</v>
      </c>
      <c r="H65" s="881"/>
      <c r="I65" s="881"/>
      <c r="J65" s="881"/>
      <c r="K65" s="881"/>
      <c r="L65" s="881"/>
      <c r="M65" s="2765"/>
      <c r="N65" s="2371"/>
      <c r="O65" s="2371"/>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3"/>
      <c r="N66" s="2371"/>
      <c r="O66" s="2371"/>
      <c r="P66" s="334"/>
      <c r="Q66" s="846"/>
    </row>
    <row r="67" spans="1:17" ht="15.75" thickTop="1">
      <c r="A67" s="876"/>
      <c r="B67" s="880" t="s">
        <v>431</v>
      </c>
      <c r="C67" s="920" t="s">
        <v>424</v>
      </c>
      <c r="D67" s="920" t="s">
        <v>425</v>
      </c>
      <c r="E67" s="920" t="s">
        <v>426</v>
      </c>
      <c r="F67" s="920" t="s">
        <v>427</v>
      </c>
      <c r="G67" s="920" t="s">
        <v>428</v>
      </c>
      <c r="H67" s="881"/>
      <c r="I67" s="881"/>
      <c r="J67" s="881"/>
      <c r="K67" s="882"/>
      <c r="L67" s="883"/>
      <c r="M67" s="884"/>
      <c r="N67" s="2370"/>
      <c r="O67" s="2370"/>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1"/>
      <c r="O68" s="2371"/>
      <c r="P68" s="334"/>
      <c r="Q68" s="846"/>
    </row>
    <row r="69" spans="1:17" ht="15.75" thickTop="1">
      <c r="A69" s="876"/>
      <c r="B69" s="880" t="s">
        <v>432</v>
      </c>
      <c r="C69" s="139"/>
      <c r="D69" s="139"/>
      <c r="E69" s="139"/>
      <c r="F69" s="139"/>
      <c r="G69" s="139"/>
      <c r="H69" s="131"/>
      <c r="I69" s="131"/>
      <c r="J69" s="131"/>
      <c r="K69" s="132"/>
      <c r="L69" s="133"/>
      <c r="M69" s="134"/>
      <c r="N69" s="2370"/>
      <c r="O69" s="2370"/>
      <c r="P69" s="334"/>
      <c r="Q69" s="846"/>
    </row>
    <row r="70" spans="1:17" ht="15.75" thickBot="1">
      <c r="A70" s="876"/>
      <c r="B70" s="885"/>
      <c r="C70" s="886">
        <v>100</v>
      </c>
      <c r="D70" s="886">
        <f>C70-$K22</f>
        <v>100</v>
      </c>
      <c r="E70" s="886"/>
      <c r="F70" s="886"/>
      <c r="G70" s="886"/>
      <c r="H70" s="886"/>
      <c r="I70" s="886"/>
      <c r="J70" s="886"/>
      <c r="K70" s="886"/>
      <c r="L70" s="886"/>
      <c r="M70" s="887"/>
      <c r="N70" s="2371"/>
      <c r="O70" s="2371"/>
      <c r="P70" s="334"/>
      <c r="Q70" s="846"/>
    </row>
    <row r="71" spans="1:17" s="407" customFormat="1" ht="15.75" thickTop="1">
      <c r="A71" s="921"/>
      <c r="B71" s="1053">
        <f>B23</f>
        <v>111</v>
      </c>
      <c r="C71" s="126"/>
      <c r="D71" s="126"/>
      <c r="E71" s="126"/>
      <c r="F71" s="126"/>
      <c r="G71" s="139"/>
      <c r="H71" s="139"/>
      <c r="I71" s="139"/>
      <c r="J71" s="139"/>
      <c r="K71" s="139"/>
      <c r="L71" s="1383"/>
      <c r="M71" s="1384"/>
      <c r="N71" s="2369"/>
      <c r="O71" s="2369"/>
      <c r="P71" s="334"/>
      <c r="Q71" s="846"/>
    </row>
    <row r="72" spans="1:17" s="407" customFormat="1" ht="15.75" thickBot="1">
      <c r="A72" s="921"/>
      <c r="B72" s="1054"/>
      <c r="C72" s="902"/>
      <c r="D72" s="878"/>
      <c r="E72" s="878"/>
      <c r="F72" s="878"/>
      <c r="G72" s="878"/>
      <c r="H72" s="878"/>
      <c r="I72" s="878"/>
      <c r="J72" s="878"/>
      <c r="K72" s="878"/>
      <c r="L72" s="878"/>
      <c r="M72" s="879"/>
      <c r="N72" s="2371"/>
      <c r="O72" s="2371"/>
      <c r="P72" s="334"/>
      <c r="Q72" s="846"/>
    </row>
    <row r="73" spans="1:17" s="407" customFormat="1" ht="15.75" thickTop="1">
      <c r="A73" s="921"/>
      <c r="B73" s="1053">
        <f>B24</f>
        <v>111</v>
      </c>
      <c r="C73" s="126"/>
      <c r="D73" s="126"/>
      <c r="E73" s="126"/>
      <c r="F73" s="126"/>
      <c r="G73" s="139"/>
      <c r="H73" s="139"/>
      <c r="I73" s="139"/>
      <c r="J73" s="139"/>
      <c r="K73" s="139"/>
      <c r="L73" s="139"/>
      <c r="M73" s="1384"/>
      <c r="N73" s="2369"/>
      <c r="O73" s="2369"/>
      <c r="P73" s="334"/>
      <c r="Q73" s="846"/>
    </row>
    <row r="74" spans="1:17" s="407" customFormat="1" ht="15.75" thickBot="1">
      <c r="A74" s="921"/>
      <c r="B74" s="1054"/>
      <c r="C74" s="902"/>
      <c r="D74" s="878"/>
      <c r="E74" s="878"/>
      <c r="F74" s="878"/>
      <c r="G74" s="878"/>
      <c r="H74" s="878"/>
      <c r="I74" s="878"/>
      <c r="J74" s="878"/>
      <c r="K74" s="878"/>
      <c r="L74" s="878"/>
      <c r="M74" s="879"/>
      <c r="N74" s="2371"/>
      <c r="O74" s="2371"/>
      <c r="P74" s="334"/>
      <c r="Q74" s="846"/>
    </row>
    <row r="75" spans="1:17" s="813" customFormat="1" ht="15.75" thickTop="1">
      <c r="A75" s="895"/>
      <c r="B75" s="1053">
        <f>B25</f>
        <v>111</v>
      </c>
      <c r="C75" s="126"/>
      <c r="D75" s="126"/>
      <c r="E75" s="126"/>
      <c r="F75" s="126"/>
      <c r="G75" s="139"/>
      <c r="H75" s="1058"/>
      <c r="I75" s="1058"/>
      <c r="J75" s="1058"/>
      <c r="K75" s="1058"/>
      <c r="L75" s="1059"/>
      <c r="M75" s="1060"/>
      <c r="N75" s="2372"/>
      <c r="O75" s="2372"/>
      <c r="P75" s="900"/>
      <c r="Q75" s="901"/>
    </row>
    <row r="76" spans="1:17" s="813" customFormat="1" ht="15.75" thickBot="1">
      <c r="A76" s="895"/>
      <c r="B76" s="1054"/>
      <c r="C76" s="902"/>
      <c r="D76" s="902"/>
      <c r="E76" s="902"/>
      <c r="F76" s="902"/>
      <c r="G76" s="878"/>
      <c r="H76" s="878"/>
      <c r="I76" s="878"/>
      <c r="J76" s="878"/>
      <c r="K76" s="878"/>
      <c r="L76" s="878"/>
      <c r="M76" s="879"/>
      <c r="N76" s="2372"/>
      <c r="O76" s="2372"/>
      <c r="P76" s="900"/>
      <c r="Q76" s="901"/>
    </row>
    <row r="77" spans="1:17" ht="15" thickTop="1">
      <c r="A77" s="869" t="s">
        <v>407</v>
      </c>
      <c r="B77" s="870" t="s">
        <v>433</v>
      </c>
      <c r="C77" s="139"/>
      <c r="D77" s="139"/>
      <c r="E77" s="122"/>
      <c r="F77" s="122"/>
      <c r="G77" s="122"/>
      <c r="H77" s="122"/>
      <c r="I77" s="122"/>
      <c r="J77" s="122"/>
      <c r="K77" s="123"/>
      <c r="L77" s="124"/>
      <c r="M77" s="125"/>
      <c r="N77" s="2370"/>
      <c r="O77" s="2370"/>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1"/>
      <c r="O78" s="2371"/>
      <c r="P78" s="334"/>
      <c r="Q78" s="846"/>
    </row>
    <row r="79" spans="1:17" ht="15.75" thickTop="1">
      <c r="A79" s="876"/>
      <c r="B79" s="880" t="s">
        <v>468</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9"/>
      <c r="O79" s="2369"/>
      <c r="P79" s="334"/>
      <c r="Q79" s="846"/>
    </row>
    <row r="80" spans="1:17" ht="15">
      <c r="A80" s="876"/>
      <c r="B80" s="888"/>
      <c r="C80" s="945">
        <v>0.5</v>
      </c>
      <c r="D80" s="945">
        <v>0.6</v>
      </c>
      <c r="E80" s="945">
        <v>0.7</v>
      </c>
      <c r="F80" s="945">
        <v>0.8</v>
      </c>
      <c r="G80" s="945">
        <v>0.9</v>
      </c>
      <c r="H80" s="945">
        <v>1.0001</v>
      </c>
      <c r="I80" s="1002"/>
      <c r="J80" s="1002"/>
      <c r="K80" s="1010"/>
      <c r="L80" s="1011"/>
      <c r="M80" s="1012"/>
      <c r="N80" s="2369"/>
      <c r="O80" s="2369"/>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1"/>
      <c r="O81" s="2371"/>
      <c r="P81" s="900"/>
      <c r="Q81" s="901"/>
    </row>
    <row r="82" spans="1:17" ht="15" thickTop="1">
      <c r="A82" s="941"/>
      <c r="B82" s="888" t="s">
        <v>469</v>
      </c>
      <c r="C82" s="139"/>
      <c r="D82" s="139"/>
      <c r="E82" s="131"/>
      <c r="F82" s="131"/>
      <c r="G82" s="131"/>
      <c r="H82" s="131"/>
      <c r="I82" s="131"/>
      <c r="J82" s="131"/>
      <c r="K82" s="132"/>
      <c r="L82" s="133"/>
      <c r="M82" s="134"/>
      <c r="N82" s="2370"/>
      <c r="O82" s="2370"/>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1"/>
      <c r="O83" s="2371"/>
      <c r="P83" s="334"/>
      <c r="Q83" s="846"/>
    </row>
    <row r="84" spans="1:17" ht="15" thickTop="1">
      <c r="A84" s="941"/>
      <c r="B84" s="880" t="s">
        <v>477</v>
      </c>
      <c r="C84" s="139"/>
      <c r="D84" s="139"/>
      <c r="E84" s="139"/>
      <c r="F84" s="139"/>
      <c r="G84" s="139"/>
      <c r="H84" s="139"/>
      <c r="I84" s="131"/>
      <c r="J84" s="131"/>
      <c r="K84" s="132"/>
      <c r="L84" s="133"/>
      <c r="M84" s="134"/>
      <c r="N84" s="2370"/>
      <c r="O84" s="2370"/>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1"/>
      <c r="O85" s="2371"/>
      <c r="P85" s="334"/>
      <c r="Q85" s="846"/>
    </row>
    <row r="86" spans="1:17" ht="15" thickTop="1">
      <c r="A86" s="941"/>
      <c r="B86" s="888" t="s">
        <v>478</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70"/>
      <c r="O86" s="2370"/>
      <c r="P86" s="334"/>
      <c r="Q86" s="846"/>
    </row>
    <row r="87" spans="1:17">
      <c r="A87" s="941"/>
      <c r="B87" s="888"/>
      <c r="C87" s="937"/>
      <c r="D87" s="937"/>
      <c r="E87" s="937"/>
      <c r="F87" s="937"/>
      <c r="G87" s="937"/>
      <c r="H87" s="937"/>
      <c r="I87" s="937"/>
      <c r="J87" s="938"/>
      <c r="K87" s="938"/>
      <c r="L87" s="939"/>
      <c r="M87" s="940"/>
      <c r="N87" s="2370"/>
      <c r="O87" s="2370"/>
      <c r="P87" s="334"/>
      <c r="Q87" s="846"/>
    </row>
    <row r="88" spans="1:17" ht="15.75" thickBot="1">
      <c r="A88" s="876"/>
      <c r="B88" s="885"/>
      <c r="C88" s="902"/>
      <c r="D88" s="878"/>
      <c r="E88" s="878"/>
      <c r="F88" s="878"/>
      <c r="G88" s="878"/>
      <c r="H88" s="878"/>
      <c r="I88" s="878"/>
      <c r="J88" s="878"/>
      <c r="K88" s="878"/>
      <c r="L88" s="878"/>
      <c r="M88" s="878"/>
      <c r="N88" s="2371"/>
      <c r="O88" s="2371"/>
      <c r="P88" s="334"/>
      <c r="Q88" s="846"/>
    </row>
    <row r="89" spans="1:17" s="813" customFormat="1" ht="15" thickTop="1">
      <c r="A89" s="935"/>
      <c r="B89" s="880" t="s">
        <v>479</v>
      </c>
      <c r="C89" s="139"/>
      <c r="D89" s="139"/>
      <c r="E89" s="139"/>
      <c r="F89" s="139"/>
      <c r="G89" s="139"/>
      <c r="H89" s="139"/>
      <c r="I89" s="139"/>
      <c r="J89" s="139"/>
      <c r="K89" s="139"/>
      <c r="L89" s="139"/>
      <c r="M89" s="1384"/>
      <c r="N89" s="2372"/>
      <c r="O89" s="2372"/>
      <c r="P89" s="900"/>
      <c r="Q89" s="901"/>
    </row>
    <row r="90" spans="1:17" s="813" customFormat="1" ht="15.75" thickBot="1">
      <c r="A90" s="895"/>
      <c r="B90" s="885"/>
      <c r="C90" s="902"/>
      <c r="D90" s="878"/>
      <c r="E90" s="878"/>
      <c r="F90" s="878"/>
      <c r="G90" s="878"/>
      <c r="H90" s="878"/>
      <c r="I90" s="878"/>
      <c r="J90" s="878"/>
      <c r="K90" s="878"/>
      <c r="L90" s="878"/>
      <c r="M90" s="879"/>
      <c r="N90" s="2372"/>
      <c r="O90" s="2372"/>
      <c r="P90" s="900"/>
      <c r="Q90" s="901"/>
    </row>
    <row r="91" spans="1:17" ht="15" thickTop="1">
      <c r="A91" s="941"/>
      <c r="B91" s="1053">
        <f>B32</f>
        <v>111</v>
      </c>
      <c r="C91" s="126"/>
      <c r="D91" s="126"/>
      <c r="E91" s="126"/>
      <c r="F91" s="126"/>
      <c r="G91" s="139"/>
      <c r="H91" s="1058"/>
      <c r="I91" s="1058"/>
      <c r="J91" s="1058"/>
      <c r="K91" s="1058"/>
      <c r="L91" s="1059"/>
      <c r="M91" s="1060"/>
      <c r="N91" s="2370"/>
      <c r="O91" s="2370"/>
      <c r="P91" s="334"/>
      <c r="Q91" s="846"/>
    </row>
    <row r="92" spans="1:17" ht="15.75" thickBot="1">
      <c r="A92" s="876"/>
      <c r="B92" s="1054"/>
      <c r="C92" s="902"/>
      <c r="D92" s="878"/>
      <c r="E92" s="878"/>
      <c r="F92" s="878"/>
      <c r="G92" s="902"/>
      <c r="H92" s="904"/>
      <c r="I92" s="904"/>
      <c r="J92" s="904"/>
      <c r="K92" s="904"/>
      <c r="L92" s="904"/>
      <c r="M92" s="905"/>
      <c r="N92" s="2371"/>
      <c r="O92" s="2371"/>
      <c r="P92" s="334"/>
      <c r="Q92" s="846"/>
    </row>
    <row r="93" spans="1:17" ht="15" thickTop="1">
      <c r="A93" s="941"/>
      <c r="B93" s="1053">
        <f>B33</f>
        <v>111</v>
      </c>
      <c r="C93" s="126"/>
      <c r="D93" s="126"/>
      <c r="E93" s="126"/>
      <c r="F93" s="126"/>
      <c r="G93" s="139"/>
      <c r="H93" s="1058"/>
      <c r="I93" s="1058"/>
      <c r="J93" s="1058"/>
      <c r="K93" s="1058"/>
      <c r="L93" s="1059"/>
      <c r="M93" s="1060"/>
      <c r="N93" s="2370"/>
      <c r="O93" s="2370"/>
      <c r="P93" s="334"/>
      <c r="Q93" s="846"/>
    </row>
    <row r="94" spans="1:17" ht="15.75" thickBot="1">
      <c r="A94" s="876"/>
      <c r="B94" s="1054"/>
      <c r="C94" s="902"/>
      <c r="D94" s="878"/>
      <c r="E94" s="878"/>
      <c r="F94" s="878"/>
      <c r="G94" s="902"/>
      <c r="H94" s="904"/>
      <c r="I94" s="904"/>
      <c r="J94" s="904"/>
      <c r="K94" s="904"/>
      <c r="L94" s="904"/>
      <c r="M94" s="905"/>
      <c r="N94" s="2371"/>
      <c r="O94" s="2371"/>
      <c r="P94" s="334"/>
      <c r="Q94" s="846"/>
    </row>
    <row r="95" spans="1:17" ht="15" thickTop="1">
      <c r="A95" s="941"/>
      <c r="B95" s="211">
        <f>B34</f>
        <v>111</v>
      </c>
      <c r="C95" s="126"/>
      <c r="D95" s="126"/>
      <c r="E95" s="126"/>
      <c r="F95" s="126"/>
      <c r="G95" s="139"/>
      <c r="H95" s="1058"/>
      <c r="I95" s="1058"/>
      <c r="J95" s="1058"/>
      <c r="K95" s="1058"/>
      <c r="L95" s="1059"/>
      <c r="M95" s="1060"/>
      <c r="N95" s="2371"/>
      <c r="O95" s="2371"/>
      <c r="P95" s="979"/>
      <c r="Q95" s="980"/>
    </row>
    <row r="96" spans="1:17" ht="15.75" thickBot="1">
      <c r="A96" s="876"/>
      <c r="B96" s="1054"/>
      <c r="C96" s="902"/>
      <c r="D96" s="902"/>
      <c r="E96" s="902"/>
      <c r="F96" s="902"/>
      <c r="G96" s="902"/>
      <c r="H96" s="904"/>
      <c r="I96" s="904"/>
      <c r="J96" s="904"/>
      <c r="K96" s="904"/>
      <c r="L96" s="904"/>
      <c r="M96" s="905"/>
      <c r="N96" s="2371"/>
      <c r="O96" s="2371"/>
      <c r="P96" s="334"/>
      <c r="Q96" s="846"/>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25" zoomScale="80" zoomScaleNormal="80" workbookViewId="0">
      <selection activeCell="C41" sqref="C41"/>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480</v>
      </c>
      <c r="B1" s="738"/>
      <c r="C1" s="739" t="s">
        <v>481</v>
      </c>
      <c r="D1" s="1302"/>
      <c r="E1" s="1302"/>
      <c r="F1" s="1301" t="s">
        <v>388</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344</v>
      </c>
      <c r="B2" s="1079">
        <f>F66</f>
        <v>17801</v>
      </c>
      <c r="C2" s="2342"/>
      <c r="D2" s="2342"/>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c r="AD2" s="740"/>
    </row>
    <row r="3" spans="1:30" s="741" customFormat="1" ht="28.5" customHeight="1" thickBot="1">
      <c r="A3" s="579" t="s">
        <v>345</v>
      </c>
      <c r="B3" s="951">
        <f>ROUND(IF(D3="",B2*10000/'数据-汇总表'!E3,B2*10000/D3),0)</f>
        <v>13977</v>
      </c>
      <c r="C3" s="579" t="s">
        <v>2883</v>
      </c>
      <c r="D3" s="3052">
        <f>'数据-汇总表'!F27</f>
        <v>12736.12000000001</v>
      </c>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30" ht="15">
      <c r="A4" s="744" t="s">
        <v>389</v>
      </c>
      <c r="B4" s="745"/>
      <c r="C4" s="3730" t="s">
        <v>390</v>
      </c>
      <c r="D4" s="3731"/>
      <c r="E4" s="3732" t="s">
        <v>391</v>
      </c>
      <c r="F4" s="3733"/>
      <c r="G4" s="3730" t="s">
        <v>392</v>
      </c>
      <c r="H4" s="3731"/>
      <c r="I4" s="3730" t="s">
        <v>393</v>
      </c>
      <c r="J4" s="3731"/>
      <c r="K4" s="952" t="s">
        <v>394</v>
      </c>
      <c r="L4" s="2348"/>
      <c r="M4" s="2349"/>
      <c r="N4" s="2349"/>
      <c r="O4" s="2349"/>
      <c r="P4" s="3734" t="s">
        <v>395</v>
      </c>
      <c r="Q4" s="3735"/>
      <c r="R4" s="3717" t="s">
        <v>391</v>
      </c>
      <c r="S4" s="3718"/>
      <c r="T4" s="3717" t="s">
        <v>392</v>
      </c>
      <c r="U4" s="3718"/>
      <c r="V4" s="3742" t="s">
        <v>393</v>
      </c>
      <c r="W4" s="3742"/>
      <c r="X4" s="1317"/>
      <c r="Y4" s="3717" t="s">
        <v>395</v>
      </c>
      <c r="Z4" s="3718"/>
      <c r="AA4" s="3712" t="s">
        <v>391</v>
      </c>
      <c r="AB4" s="3713" t="s">
        <v>392</v>
      </c>
      <c r="AC4" s="3712" t="s">
        <v>393</v>
      </c>
    </row>
    <row r="5" spans="1:30" ht="66.75" customHeight="1">
      <c r="A5" s="747"/>
      <c r="B5" s="748"/>
      <c r="C5" s="3661" t="s">
        <v>1127</v>
      </c>
      <c r="D5" s="3662"/>
      <c r="E5" s="3659" t="str">
        <f>土地案例!A14</f>
        <v>北京市门头沟区龙泉镇MC00-0010-6004地块B2商务用地</v>
      </c>
      <c r="F5" s="3660"/>
      <c r="G5" s="3661" t="str">
        <f>土地案例!A15</f>
        <v>门头沟区门头沟新城MC00-0017-6002地块(S1线区域组团02地块西北侧地块)</v>
      </c>
      <c r="H5" s="3662"/>
      <c r="I5" s="3661" t="str">
        <f>土地案例!A8</f>
        <v>顺义区李桥镇SY00-0029-6012地块</v>
      </c>
      <c r="J5" s="3662"/>
      <c r="K5" s="952"/>
      <c r="L5" s="2348"/>
      <c r="M5" s="2349"/>
      <c r="N5" s="2349"/>
      <c r="O5" s="2349"/>
      <c r="P5" s="3736"/>
      <c r="Q5" s="3737"/>
      <c r="R5" s="3719"/>
      <c r="S5" s="3720"/>
      <c r="T5" s="3719"/>
      <c r="U5" s="3720"/>
      <c r="V5" s="3742"/>
      <c r="W5" s="3742"/>
      <c r="X5" s="1317"/>
      <c r="Y5" s="3719"/>
      <c r="Z5" s="3720"/>
      <c r="AA5" s="3713"/>
      <c r="AB5" s="3713"/>
      <c r="AC5" s="3713"/>
    </row>
    <row r="6" spans="1:30" ht="21" customHeight="1" thickBot="1">
      <c r="A6" s="749"/>
      <c r="B6" s="750"/>
      <c r="C6" s="3663" t="s">
        <v>1130</v>
      </c>
      <c r="D6" s="3664"/>
      <c r="E6" s="3665" t="s">
        <v>1130</v>
      </c>
      <c r="F6" s="3666"/>
      <c r="G6" s="3663" t="s">
        <v>1130</v>
      </c>
      <c r="H6" s="3664"/>
      <c r="I6" s="3663" t="s">
        <v>1130</v>
      </c>
      <c r="J6" s="3664"/>
      <c r="K6" s="952" t="s">
        <v>396</v>
      </c>
      <c r="L6" s="2348"/>
      <c r="M6" s="2349"/>
      <c r="N6" s="2349"/>
      <c r="O6" s="2349"/>
      <c r="P6" s="3738"/>
      <c r="Q6" s="3739"/>
      <c r="R6" s="3719"/>
      <c r="S6" s="3720"/>
      <c r="T6" s="3740"/>
      <c r="U6" s="3741"/>
      <c r="V6" s="3742"/>
      <c r="W6" s="3742"/>
      <c r="X6" s="1317"/>
      <c r="Y6" s="3740"/>
      <c r="Z6" s="3741"/>
      <c r="AA6" s="3714"/>
      <c r="AB6" s="3714"/>
      <c r="AC6" s="3714"/>
    </row>
    <row r="7" spans="1:30" s="407" customFormat="1" ht="15.75" thickBot="1">
      <c r="A7" s="751" t="s">
        <v>397</v>
      </c>
      <c r="B7" s="752"/>
      <c r="C7" s="753">
        <f>'数据-取费表'!B2</f>
        <v>42986</v>
      </c>
      <c r="D7" s="754">
        <v>100</v>
      </c>
      <c r="E7" s="1016" t="str">
        <f>土地案例!H14</f>
        <v>2017-09-07</v>
      </c>
      <c r="F7" s="756">
        <f>SUMIF(70:70,YEAR(E7)&amp;"-"&amp;INT((MONTH(E7)+2)/3),71:71)</f>
        <v>100</v>
      </c>
      <c r="G7" s="1017" t="str">
        <f>土地案例!H15</f>
        <v>2015-02-10</v>
      </c>
      <c r="H7" s="754">
        <f>SUMIF(70:70,YEAR(G7)&amp;"-"&amp;INT((MONTH(G7)+2)/3),71:71)</f>
        <v>85</v>
      </c>
      <c r="I7" s="1017" t="str">
        <f>土地案例!H8</f>
        <v>2016-01-27</v>
      </c>
      <c r="J7" s="754">
        <f>SUMIF(70:70,YEAR(I7)&amp;"-"&amp;INT((MONTH(I7)+2)/3),71:71)</f>
        <v>91</v>
      </c>
      <c r="K7" s="953"/>
      <c r="L7" s="2350"/>
      <c r="M7" s="2351"/>
      <c r="N7" s="2351"/>
      <c r="O7" s="2351"/>
      <c r="P7" s="3715" t="s">
        <v>398</v>
      </c>
      <c r="Q7" s="3743"/>
      <c r="R7" s="1318" t="s">
        <v>65</v>
      </c>
      <c r="S7" s="1319">
        <f t="shared" ref="S7:S15" si="0">F7</f>
        <v>100</v>
      </c>
      <c r="T7" s="1318" t="s">
        <v>65</v>
      </c>
      <c r="U7" s="1319">
        <f t="shared" ref="U7:U15" si="1">H7</f>
        <v>85</v>
      </c>
      <c r="V7" s="1318" t="s">
        <v>65</v>
      </c>
      <c r="W7" s="1319">
        <f t="shared" ref="W7:W15" si="2">J7</f>
        <v>91</v>
      </c>
      <c r="X7" s="1320"/>
      <c r="Y7" s="3715" t="s">
        <v>398</v>
      </c>
      <c r="Z7" s="3716"/>
      <c r="AA7" s="1321">
        <f>D7/F7</f>
        <v>1</v>
      </c>
      <c r="AB7" s="1321">
        <f>D7/H7</f>
        <v>1.1764705882352942</v>
      </c>
      <c r="AC7" s="1321">
        <f>D7/J7</f>
        <v>1.098901098901099</v>
      </c>
    </row>
    <row r="8" spans="1:30" s="407" customFormat="1" ht="15.75" thickBot="1">
      <c r="A8" s="751" t="s">
        <v>399</v>
      </c>
      <c r="B8" s="752"/>
      <c r="C8" s="1019" t="s">
        <v>155</v>
      </c>
      <c r="D8" s="754">
        <v>100</v>
      </c>
      <c r="E8" s="1019" t="s">
        <v>3273</v>
      </c>
      <c r="F8" s="756">
        <f>SUMIF(73:73,E8,74:74)-SUMIF(73:73,C8,74:74)+100</f>
        <v>100</v>
      </c>
      <c r="G8" s="1019" t="s">
        <v>3273</v>
      </c>
      <c r="H8" s="754">
        <f>SUMIF(73:73,G8,74:74)-SUMIF(73:73,C8,74:74)+100</f>
        <v>100</v>
      </c>
      <c r="I8" s="1019" t="s">
        <v>3273</v>
      </c>
      <c r="J8" s="754">
        <f>SUMIF(73:73,I8,74:74)-SUMIF(73:73,C8,74:74)+100</f>
        <v>100</v>
      </c>
      <c r="K8" s="953"/>
      <c r="L8" s="2350"/>
      <c r="M8" s="2351"/>
      <c r="N8" s="2351"/>
      <c r="O8" s="2351"/>
      <c r="P8" s="3715" t="s">
        <v>434</v>
      </c>
      <c r="Q8" s="3716"/>
      <c r="R8" s="1318" t="s">
        <v>65</v>
      </c>
      <c r="S8" s="1319">
        <f t="shared" si="0"/>
        <v>100</v>
      </c>
      <c r="T8" s="1318" t="s">
        <v>65</v>
      </c>
      <c r="U8" s="1319">
        <f t="shared" si="1"/>
        <v>100</v>
      </c>
      <c r="V8" s="1318" t="s">
        <v>65</v>
      </c>
      <c r="W8" s="1319">
        <f t="shared" si="2"/>
        <v>100</v>
      </c>
      <c r="X8" s="1320"/>
      <c r="Y8" s="3715" t="s">
        <v>434</v>
      </c>
      <c r="Z8" s="3716"/>
      <c r="AA8" s="1321">
        <f t="shared" ref="AA8:AA45" si="3">D8/F8</f>
        <v>1</v>
      </c>
      <c r="AB8" s="1321">
        <f t="shared" ref="AB8:AB45" si="4">D8/H8</f>
        <v>1</v>
      </c>
      <c r="AC8" s="1321">
        <f t="shared" ref="AC8:AC45" si="5">D8/J8</f>
        <v>1</v>
      </c>
    </row>
    <row r="9" spans="1:30" s="407" customFormat="1">
      <c r="A9" s="758" t="s">
        <v>400</v>
      </c>
      <c r="B9" s="361" t="s">
        <v>418</v>
      </c>
      <c r="C9" s="1021" t="s">
        <v>3224</v>
      </c>
      <c r="D9" s="425">
        <v>100</v>
      </c>
      <c r="E9" s="1021" t="s">
        <v>3274</v>
      </c>
      <c r="F9" s="425">
        <f>SUMIF(75:75,E9,76:76)-SUMIF(75:75,C9,76:76)+100</f>
        <v>105</v>
      </c>
      <c r="G9" s="1021" t="s">
        <v>3275</v>
      </c>
      <c r="H9" s="425">
        <f>SUMIF(75:75,G9,76:76)-SUMIF(75:75,C9,76:76)+100</f>
        <v>105</v>
      </c>
      <c r="I9" s="1021" t="s">
        <v>3276</v>
      </c>
      <c r="J9" s="425">
        <f>SUMIF(75:75,I9,76:76)-SUMIF(75:75,C9,76:76)+100</f>
        <v>105</v>
      </c>
      <c r="K9" s="953"/>
      <c r="L9" s="2350"/>
      <c r="M9" s="2351"/>
      <c r="N9" s="2351"/>
      <c r="O9" s="2352"/>
      <c r="P9" s="3729" t="s">
        <v>401</v>
      </c>
      <c r="Q9" s="296" t="str">
        <f t="shared" ref="Q9:Q15" si="6">B9</f>
        <v>用途</v>
      </c>
      <c r="R9" s="1318" t="s">
        <v>65</v>
      </c>
      <c r="S9" s="1319">
        <f t="shared" si="0"/>
        <v>105</v>
      </c>
      <c r="T9" s="1318" t="s">
        <v>65</v>
      </c>
      <c r="U9" s="1319">
        <f t="shared" si="1"/>
        <v>105</v>
      </c>
      <c r="V9" s="1318" t="s">
        <v>65</v>
      </c>
      <c r="W9" s="1319">
        <f t="shared" si="2"/>
        <v>105</v>
      </c>
      <c r="X9" s="1320"/>
      <c r="Y9" s="3597" t="s">
        <v>402</v>
      </c>
      <c r="Z9" s="344" t="str">
        <f t="shared" ref="Z9:Z15" si="7">Q9</f>
        <v>用途</v>
      </c>
      <c r="AA9" s="1321">
        <f t="shared" si="3"/>
        <v>0.95238095238095233</v>
      </c>
      <c r="AB9" s="1321">
        <f t="shared" si="4"/>
        <v>0.95238095238095233</v>
      </c>
      <c r="AC9" s="1321">
        <f t="shared" si="5"/>
        <v>0.95238095238095233</v>
      </c>
    </row>
    <row r="10" spans="1:30" s="770" customFormat="1" ht="27">
      <c r="A10" s="764"/>
      <c r="B10" s="765" t="s">
        <v>403</v>
      </c>
      <c r="C10" s="775" t="str">
        <f>项目基本情况!F16</f>
        <v>34.31年</v>
      </c>
      <c r="D10" s="426">
        <v>100</v>
      </c>
      <c r="E10" s="807" t="s">
        <v>3279</v>
      </c>
      <c r="F10" s="426">
        <f>ROUND(100/'数据-取费表'!G16,0)</f>
        <v>114</v>
      </c>
      <c r="G10" s="807" t="s">
        <v>3279</v>
      </c>
      <c r="H10" s="426">
        <f>ROUND(100/'数据-取费表'!G16,0)</f>
        <v>114</v>
      </c>
      <c r="I10" s="807" t="s">
        <v>3279</v>
      </c>
      <c r="J10" s="426">
        <f>ROUND(100/'数据-取费表'!G16,0)</f>
        <v>114</v>
      </c>
      <c r="K10" s="1080"/>
      <c r="L10" s="2353"/>
      <c r="M10" s="2354"/>
      <c r="N10" s="2354"/>
      <c r="O10" s="2355"/>
      <c r="P10" s="3729"/>
      <c r="Q10" s="296" t="str">
        <f t="shared" si="6"/>
        <v>土地使用年限（年）</v>
      </c>
      <c r="R10" s="1318" t="s">
        <v>65</v>
      </c>
      <c r="S10" s="1319">
        <f t="shared" si="0"/>
        <v>114</v>
      </c>
      <c r="T10" s="1318" t="s">
        <v>65</v>
      </c>
      <c r="U10" s="1319">
        <f t="shared" si="1"/>
        <v>114</v>
      </c>
      <c r="V10" s="1318" t="s">
        <v>65</v>
      </c>
      <c r="W10" s="1319">
        <f t="shared" si="2"/>
        <v>114</v>
      </c>
      <c r="X10" s="1320"/>
      <c r="Y10" s="3597"/>
      <c r="Z10" s="344" t="str">
        <f t="shared" si="7"/>
        <v>土地使用年限（年）</v>
      </c>
      <c r="AA10" s="1321">
        <f t="shared" si="3"/>
        <v>0.8771929824561403</v>
      </c>
      <c r="AB10" s="1321">
        <f t="shared" si="4"/>
        <v>0.8771929824561403</v>
      </c>
      <c r="AC10" s="1321">
        <f t="shared" si="5"/>
        <v>0.8771929824561403</v>
      </c>
    </row>
    <row r="11" spans="1:30" ht="15">
      <c r="A11" s="771"/>
      <c r="B11" s="765" t="s">
        <v>404</v>
      </c>
      <c r="C11" s="772">
        <f>'数据-汇总表'!I6</f>
        <v>0.15</v>
      </c>
      <c r="D11" s="426">
        <v>100</v>
      </c>
      <c r="E11" s="772">
        <f>土地案例!F14</f>
        <v>2</v>
      </c>
      <c r="F11" s="426">
        <f>LOOKUP(E11,80:80,81:81)-LOOKUP(C11,80:80,81:81)+100</f>
        <v>91</v>
      </c>
      <c r="G11" s="773">
        <f>土地案例!F15</f>
        <v>3.5</v>
      </c>
      <c r="H11" s="426">
        <f>LOOKUP(G11,80:80,81:81)-LOOKUP(C11,80:80,81:81)+100</f>
        <v>86.5</v>
      </c>
      <c r="I11" s="772">
        <f>土地案例!F8</f>
        <v>2.5</v>
      </c>
      <c r="J11" s="426">
        <f>LOOKUP(I11,80:80,81:81)-LOOKUP(C11,80:80,81:81)+100</f>
        <v>91</v>
      </c>
      <c r="K11" s="1081">
        <v>4.5</v>
      </c>
      <c r="L11" s="2356"/>
      <c r="M11" s="2349"/>
      <c r="N11" s="2349"/>
      <c r="O11" s="2357"/>
      <c r="P11" s="3729"/>
      <c r="Q11" s="296" t="str">
        <f t="shared" si="6"/>
        <v>容积率</v>
      </c>
      <c r="R11" s="1318" t="s">
        <v>65</v>
      </c>
      <c r="S11" s="1319">
        <f t="shared" si="0"/>
        <v>91</v>
      </c>
      <c r="T11" s="1318" t="s">
        <v>65</v>
      </c>
      <c r="U11" s="1319">
        <f t="shared" si="1"/>
        <v>86.5</v>
      </c>
      <c r="V11" s="1318" t="s">
        <v>65</v>
      </c>
      <c r="W11" s="1319">
        <f t="shared" si="2"/>
        <v>91</v>
      </c>
      <c r="X11" s="1320"/>
      <c r="Y11" s="3597"/>
      <c r="Z11" s="344" t="str">
        <f t="shared" si="7"/>
        <v>容积率</v>
      </c>
      <c r="AA11" s="1321">
        <f t="shared" si="3"/>
        <v>1.098901098901099</v>
      </c>
      <c r="AB11" s="1321">
        <f t="shared" si="4"/>
        <v>1.1560693641618498</v>
      </c>
      <c r="AC11" s="1321">
        <f t="shared" si="5"/>
        <v>1.098901098901099</v>
      </c>
    </row>
    <row r="12" spans="1:30" s="407" customFormat="1" ht="15">
      <c r="A12" s="774"/>
      <c r="B12" s="1030" t="s">
        <v>159</v>
      </c>
      <c r="C12" s="1023"/>
      <c r="D12" s="776">
        <v>100</v>
      </c>
      <c r="E12" s="1025"/>
      <c r="F12" s="426">
        <f>SUMIF(82:82,E12,83:83)-SUMIF(82:82,C12,83:83)+100</f>
        <v>100</v>
      </c>
      <c r="G12" s="1026"/>
      <c r="H12" s="426">
        <f>SUMIF(82:82,G12,83:83)-SUMIF(82:82,C12,83:83)+100</f>
        <v>100</v>
      </c>
      <c r="I12" s="1025"/>
      <c r="J12" s="426">
        <f>SUMIF(82:82,I12,83:83)-SUMIF(82:82,C12,83:83)+100</f>
        <v>100</v>
      </c>
      <c r="K12" s="1080"/>
      <c r="L12" s="2350"/>
      <c r="M12" s="2351"/>
      <c r="N12" s="2351"/>
      <c r="O12" s="2352"/>
      <c r="P12" s="3729"/>
      <c r="Q12" s="296" t="str">
        <f t="shared" si="6"/>
        <v>配建</v>
      </c>
      <c r="R12" s="1318" t="s">
        <v>65</v>
      </c>
      <c r="S12" s="1319">
        <f t="shared" si="0"/>
        <v>100</v>
      </c>
      <c r="T12" s="1318" t="s">
        <v>65</v>
      </c>
      <c r="U12" s="1319">
        <f t="shared" si="1"/>
        <v>100</v>
      </c>
      <c r="V12" s="1318" t="s">
        <v>65</v>
      </c>
      <c r="W12" s="1319">
        <f t="shared" si="2"/>
        <v>100</v>
      </c>
      <c r="X12" s="1320"/>
      <c r="Y12" s="3597"/>
      <c r="Z12" s="344" t="str">
        <f t="shared" si="7"/>
        <v>配建</v>
      </c>
      <c r="AA12" s="1321">
        <f>D12/F12</f>
        <v>1</v>
      </c>
      <c r="AB12" s="1321">
        <f>D12/H12</f>
        <v>1</v>
      </c>
      <c r="AC12" s="1321">
        <f>D12/J12</f>
        <v>1</v>
      </c>
    </row>
    <row r="13" spans="1:30" ht="15">
      <c r="A13" s="771"/>
      <c r="B13" s="1030">
        <v>111</v>
      </c>
      <c r="C13" s="93"/>
      <c r="D13" s="778">
        <v>100</v>
      </c>
      <c r="E13" s="126"/>
      <c r="F13" s="426">
        <f>SUMIF(84:84,E13,85:85)-SUMIF(84:84,C13,85:85)+100</f>
        <v>100</v>
      </c>
      <c r="G13" s="203"/>
      <c r="H13" s="778">
        <f>SUMIF(84:84,G13,85:85)-SUMIF(84:84,C13,85:85)+100</f>
        <v>100</v>
      </c>
      <c r="I13" s="203"/>
      <c r="J13" s="778">
        <f>SUMIF(84:84,I13,85:85)-SUMIF(84:84,C13,85:85)+100</f>
        <v>100</v>
      </c>
      <c r="K13" s="1080"/>
      <c r="L13" s="2358"/>
      <c r="M13" s="2349"/>
      <c r="N13" s="2349"/>
      <c r="O13" s="2357"/>
      <c r="P13" s="3729"/>
      <c r="Q13" s="296">
        <f t="shared" si="6"/>
        <v>111</v>
      </c>
      <c r="R13" s="1318" t="s">
        <v>65</v>
      </c>
      <c r="S13" s="1319">
        <f t="shared" si="0"/>
        <v>100</v>
      </c>
      <c r="T13" s="1318" t="s">
        <v>65</v>
      </c>
      <c r="U13" s="1319">
        <f t="shared" si="1"/>
        <v>100</v>
      </c>
      <c r="V13" s="1318" t="s">
        <v>65</v>
      </c>
      <c r="W13" s="1319">
        <f t="shared" si="2"/>
        <v>100</v>
      </c>
      <c r="X13" s="1320"/>
      <c r="Y13" s="3597"/>
      <c r="Z13" s="344">
        <f t="shared" si="7"/>
        <v>111</v>
      </c>
      <c r="AA13" s="1321">
        <f>D13/F13</f>
        <v>1</v>
      </c>
      <c r="AB13" s="1321">
        <f>D13/H13</f>
        <v>1</v>
      </c>
      <c r="AC13" s="1321">
        <f>D13/J13</f>
        <v>1</v>
      </c>
    </row>
    <row r="14" spans="1:30" ht="15.75" thickBot="1">
      <c r="A14" s="779"/>
      <c r="B14" s="1031">
        <v>111</v>
      </c>
      <c r="C14" s="94"/>
      <c r="D14" s="781">
        <v>100</v>
      </c>
      <c r="E14" s="126"/>
      <c r="F14" s="781">
        <f>SUMIF(86:86,E14,87:87)-SUMIF(86:86,C14,87:87)+100</f>
        <v>100</v>
      </c>
      <c r="G14" s="203"/>
      <c r="H14" s="781">
        <f>SUMIF(86:86,G14,87:87)-SUMIF(86:86,C14,87:87)+100</f>
        <v>100</v>
      </c>
      <c r="I14" s="203"/>
      <c r="J14" s="781">
        <f>SUMIF(86:86,I14,87:87)-SUMIF(86:86,C14,87:87)+100</f>
        <v>100</v>
      </c>
      <c r="K14" s="1080"/>
      <c r="L14" s="2358"/>
      <c r="M14" s="2349"/>
      <c r="N14" s="2349"/>
      <c r="O14" s="2357"/>
      <c r="P14" s="3729"/>
      <c r="Q14" s="296">
        <f t="shared" si="6"/>
        <v>111</v>
      </c>
      <c r="R14" s="1318" t="s">
        <v>65</v>
      </c>
      <c r="S14" s="1319">
        <f t="shared" si="0"/>
        <v>100</v>
      </c>
      <c r="T14" s="1318" t="s">
        <v>65</v>
      </c>
      <c r="U14" s="1319">
        <f t="shared" si="1"/>
        <v>100</v>
      </c>
      <c r="V14" s="1318" t="s">
        <v>65</v>
      </c>
      <c r="W14" s="1319">
        <f t="shared" si="2"/>
        <v>100</v>
      </c>
      <c r="X14" s="1320"/>
      <c r="Y14" s="3597"/>
      <c r="Z14" s="344">
        <f t="shared" si="7"/>
        <v>111</v>
      </c>
      <c r="AA14" s="1321">
        <f>D14/F14</f>
        <v>1</v>
      </c>
      <c r="AB14" s="1321">
        <f>D14/H14</f>
        <v>1</v>
      </c>
      <c r="AC14" s="1321">
        <f>D14/J14</f>
        <v>1</v>
      </c>
    </row>
    <row r="15" spans="1:30" ht="15">
      <c r="A15" s="783" t="s">
        <v>405</v>
      </c>
      <c r="B15" s="359" t="s">
        <v>285</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1"/>
      <c r="L15" s="2358"/>
      <c r="M15" s="2349"/>
      <c r="N15" s="2349"/>
      <c r="O15" s="2357"/>
      <c r="P15" s="3744" t="s">
        <v>406</v>
      </c>
      <c r="Q15" s="1322" t="str">
        <f t="shared" si="6"/>
        <v>居住社区成熟度</v>
      </c>
      <c r="R15" s="1323" t="s">
        <v>65</v>
      </c>
      <c r="S15" s="1324">
        <f t="shared" si="0"/>
        <v>100</v>
      </c>
      <c r="T15" s="1323" t="s">
        <v>65</v>
      </c>
      <c r="U15" s="1324">
        <f t="shared" si="1"/>
        <v>100</v>
      </c>
      <c r="V15" s="1323" t="s">
        <v>65</v>
      </c>
      <c r="W15" s="1324">
        <f t="shared" si="2"/>
        <v>100</v>
      </c>
      <c r="X15" s="1317"/>
      <c r="Y15" s="3744" t="s">
        <v>406</v>
      </c>
      <c r="Z15" s="1325" t="str">
        <f t="shared" si="7"/>
        <v>居住社区成熟度</v>
      </c>
      <c r="AA15" s="1326">
        <f t="shared" si="3"/>
        <v>1</v>
      </c>
      <c r="AB15" s="1326">
        <f t="shared" si="4"/>
        <v>1</v>
      </c>
      <c r="AC15" s="1326">
        <f t="shared" si="5"/>
        <v>1</v>
      </c>
    </row>
    <row r="16" spans="1:30" ht="15">
      <c r="A16" s="771"/>
      <c r="B16" s="789"/>
      <c r="C16" s="97"/>
      <c r="D16" s="791"/>
      <c r="E16" s="98"/>
      <c r="F16" s="791"/>
      <c r="G16" s="98"/>
      <c r="H16" s="793"/>
      <c r="I16" s="99"/>
      <c r="J16" s="791"/>
      <c r="K16" s="1080"/>
      <c r="L16" s="2358"/>
      <c r="M16" s="2349"/>
      <c r="N16" s="2349"/>
      <c r="O16" s="2357"/>
      <c r="P16" s="3745"/>
      <c r="Q16" s="1322"/>
      <c r="R16" s="1323"/>
      <c r="S16" s="1324"/>
      <c r="T16" s="1323"/>
      <c r="U16" s="1324"/>
      <c r="V16" s="1323"/>
      <c r="W16" s="1324"/>
      <c r="X16" s="1317"/>
      <c r="Y16" s="3745"/>
      <c r="Z16" s="1325"/>
      <c r="AA16" s="1326">
        <v>1</v>
      </c>
      <c r="AB16" s="1326">
        <v>1</v>
      </c>
      <c r="AC16" s="1326">
        <v>1</v>
      </c>
    </row>
    <row r="17" spans="1:29" ht="15">
      <c r="A17" s="771"/>
      <c r="B17" s="794" t="s">
        <v>435</v>
      </c>
      <c r="C17" s="190">
        <f>估价对象房地状况!C16</f>
        <v>0</v>
      </c>
      <c r="D17" s="793">
        <v>100</v>
      </c>
      <c r="E17" s="795"/>
      <c r="F17" s="793">
        <f>SUMIF(90:90,E18,91:91)-SUMIF(90:90,C18,91:91)+100</f>
        <v>100</v>
      </c>
      <c r="G17" s="795"/>
      <c r="H17" s="798">
        <f>SUMIF(90:90,G18,91:91)-SUMIF(90:90,C18,91:91)+100</f>
        <v>100</v>
      </c>
      <c r="I17" s="797"/>
      <c r="J17" s="798">
        <f>SUMIF(90:90,I18,91:91)-SUMIF(90:90,C18,91:91)+100</f>
        <v>100</v>
      </c>
      <c r="K17" s="1081"/>
      <c r="L17" s="2358"/>
      <c r="M17" s="2349"/>
      <c r="N17" s="2349"/>
      <c r="O17" s="2357"/>
      <c r="P17" s="3745"/>
      <c r="Q17" s="1322" t="str">
        <f>B17</f>
        <v>商业繁华度</v>
      </c>
      <c r="R17" s="1323" t="s">
        <v>65</v>
      </c>
      <c r="S17" s="1324">
        <f>F17</f>
        <v>100</v>
      </c>
      <c r="T17" s="1323" t="s">
        <v>65</v>
      </c>
      <c r="U17" s="1324">
        <f>H17</f>
        <v>100</v>
      </c>
      <c r="V17" s="1323" t="s">
        <v>65</v>
      </c>
      <c r="W17" s="1324">
        <f>J17</f>
        <v>100</v>
      </c>
      <c r="X17" s="1317"/>
      <c r="Y17" s="3745"/>
      <c r="Z17" s="1325" t="str">
        <f>Q17</f>
        <v>商业繁华度</v>
      </c>
      <c r="AA17" s="1326">
        <f t="shared" si="3"/>
        <v>1</v>
      </c>
      <c r="AB17" s="1326">
        <f t="shared" si="4"/>
        <v>1</v>
      </c>
      <c r="AC17" s="1326">
        <f t="shared" si="5"/>
        <v>1</v>
      </c>
    </row>
    <row r="18" spans="1:29" ht="15">
      <c r="A18" s="771"/>
      <c r="B18" s="799"/>
      <c r="C18" s="102"/>
      <c r="D18" s="793"/>
      <c r="E18" s="103"/>
      <c r="F18" s="793"/>
      <c r="G18" s="103"/>
      <c r="H18" s="791"/>
      <c r="I18" s="104"/>
      <c r="J18" s="791"/>
      <c r="K18" s="1080"/>
      <c r="L18" s="2358"/>
      <c r="M18" s="2349"/>
      <c r="N18" s="2349"/>
      <c r="O18" s="2357"/>
      <c r="P18" s="3745"/>
      <c r="Q18" s="1322"/>
      <c r="R18" s="1323"/>
      <c r="S18" s="1324"/>
      <c r="T18" s="1323"/>
      <c r="U18" s="1324"/>
      <c r="V18" s="1323"/>
      <c r="W18" s="1324"/>
      <c r="X18" s="1317"/>
      <c r="Y18" s="3745"/>
      <c r="Z18" s="1325"/>
      <c r="AA18" s="1326">
        <v>1</v>
      </c>
      <c r="AB18" s="1326">
        <v>1</v>
      </c>
      <c r="AC18" s="1326">
        <v>1</v>
      </c>
    </row>
    <row r="19" spans="1:29" ht="148.5">
      <c r="A19" s="771"/>
      <c r="B19" s="794" t="s">
        <v>440</v>
      </c>
      <c r="C19" s="190" t="str">
        <f>估价对象房地状况!C17</f>
        <v>估价对象位于怀柔区杨宋镇，目前投用项目有中影基地、星美影视城、百汇演艺学校等类似用房以及相关行业酒店等配套设施，产业聚集度较好</v>
      </c>
      <c r="D19" s="798">
        <v>100</v>
      </c>
      <c r="E19" s="800"/>
      <c r="F19" s="798">
        <f>SUMIF(92:92,E20,93:93)-SUMIF(92:92,C20,93:93)+100</f>
        <v>98</v>
      </c>
      <c r="G19" s="800"/>
      <c r="H19" s="793">
        <f>SUMIF(92:92,G20,93:93)-SUMIF(92:92,C20,93:93)+100</f>
        <v>98</v>
      </c>
      <c r="I19" s="802"/>
      <c r="J19" s="793">
        <f>SUMIF(92:92,I20,93:93)-SUMIF(92:92,C20,93:93)+100</f>
        <v>100</v>
      </c>
      <c r="K19" s="1081">
        <v>2</v>
      </c>
      <c r="L19" s="2358"/>
      <c r="M19" s="2349"/>
      <c r="N19" s="2349"/>
      <c r="O19" s="2357"/>
      <c r="P19" s="3745"/>
      <c r="Q19" s="1322" t="str">
        <f>B19</f>
        <v>办公集聚程度</v>
      </c>
      <c r="R19" s="1323" t="s">
        <v>65</v>
      </c>
      <c r="S19" s="1324">
        <f>F19</f>
        <v>98</v>
      </c>
      <c r="T19" s="1323" t="s">
        <v>65</v>
      </c>
      <c r="U19" s="1324">
        <f>H19</f>
        <v>98</v>
      </c>
      <c r="V19" s="1323" t="s">
        <v>65</v>
      </c>
      <c r="W19" s="1324">
        <f>J19</f>
        <v>100</v>
      </c>
      <c r="X19" s="1317"/>
      <c r="Y19" s="3745"/>
      <c r="Z19" s="1325" t="str">
        <f>Q19</f>
        <v>办公集聚程度</v>
      </c>
      <c r="AA19" s="1326">
        <f t="shared" si="3"/>
        <v>1.0204081632653061</v>
      </c>
      <c r="AB19" s="1326">
        <f t="shared" si="4"/>
        <v>1.0204081632653061</v>
      </c>
      <c r="AC19" s="1326">
        <f t="shared" si="5"/>
        <v>1</v>
      </c>
    </row>
    <row r="20" spans="1:29" ht="15">
      <c r="A20" s="771"/>
      <c r="B20" s="799"/>
      <c r="C20" s="97" t="s">
        <v>3175</v>
      </c>
      <c r="D20" s="791"/>
      <c r="E20" s="98" t="s">
        <v>3171</v>
      </c>
      <c r="F20" s="791"/>
      <c r="G20" s="98" t="s">
        <v>3171</v>
      </c>
      <c r="H20" s="791"/>
      <c r="I20" s="99" t="s">
        <v>3175</v>
      </c>
      <c r="J20" s="791"/>
      <c r="K20" s="1080"/>
      <c r="L20" s="2358"/>
      <c r="M20" s="2349"/>
      <c r="N20" s="2349"/>
      <c r="O20" s="2357"/>
      <c r="P20" s="3745"/>
      <c r="Q20" s="1322"/>
      <c r="R20" s="1323"/>
      <c r="S20" s="1324"/>
      <c r="T20" s="1323"/>
      <c r="U20" s="1324"/>
      <c r="V20" s="1323"/>
      <c r="W20" s="1324"/>
      <c r="X20" s="1317"/>
      <c r="Y20" s="3745"/>
      <c r="Z20" s="1325"/>
      <c r="AA20" s="1326">
        <v>1</v>
      </c>
      <c r="AB20" s="1326">
        <v>1</v>
      </c>
      <c r="AC20" s="1326">
        <v>1</v>
      </c>
    </row>
    <row r="21" spans="1:29" ht="175.5">
      <c r="A21" s="771"/>
      <c r="B21" s="794" t="s">
        <v>455</v>
      </c>
      <c r="C21" s="158" t="str">
        <f>估价对象房地状况!C18</f>
        <v>估价对象紧邻城市次干道——怀耿路，半径1公里内有866、H07、H09、H44路等公交线路，周边有怀耿路、杨雁路两条城市次干道，西北距离怀柔火车站4公里，交通便捷度较差</v>
      </c>
      <c r="D21" s="793">
        <v>100</v>
      </c>
      <c r="E21" s="795"/>
      <c r="F21" s="798">
        <f>SUMIF(94:94,E22,95:95)-SUMIF(94:94,C22,95:95)+100</f>
        <v>102</v>
      </c>
      <c r="G21" s="795"/>
      <c r="H21" s="793">
        <f>SUMIF(94:94,G22,95:95)-SUMIF(94:94,C22,95:95)+100</f>
        <v>101</v>
      </c>
      <c r="I21" s="797"/>
      <c r="J21" s="793">
        <f>SUMIF(94:94,I22,95:95)-SUMIF(94:94,C22,95:95)+100</f>
        <v>101</v>
      </c>
      <c r="K21" s="1081">
        <v>1</v>
      </c>
      <c r="L21" s="2358"/>
      <c r="M21" s="2349"/>
      <c r="N21" s="2349"/>
      <c r="O21" s="2357"/>
      <c r="P21" s="3745"/>
      <c r="Q21" s="1322" t="str">
        <f>B21</f>
        <v>交通便捷度</v>
      </c>
      <c r="R21" s="1323" t="s">
        <v>65</v>
      </c>
      <c r="S21" s="1324">
        <f>F21</f>
        <v>102</v>
      </c>
      <c r="T21" s="1323" t="s">
        <v>65</v>
      </c>
      <c r="U21" s="1324">
        <f>H21</f>
        <v>101</v>
      </c>
      <c r="V21" s="1323" t="s">
        <v>65</v>
      </c>
      <c r="W21" s="1324">
        <f>J21</f>
        <v>101</v>
      </c>
      <c r="X21" s="1317"/>
      <c r="Y21" s="3745"/>
      <c r="Z21" s="1325" t="str">
        <f>Q21</f>
        <v>交通便捷度</v>
      </c>
      <c r="AA21" s="1326">
        <f t="shared" si="3"/>
        <v>0.98039215686274506</v>
      </c>
      <c r="AB21" s="1326">
        <f t="shared" si="4"/>
        <v>0.99009900990099009</v>
      </c>
      <c r="AC21" s="1326">
        <f t="shared" si="5"/>
        <v>0.99009900990099009</v>
      </c>
    </row>
    <row r="22" spans="1:29" ht="15">
      <c r="A22" s="771"/>
      <c r="B22" s="2769"/>
      <c r="C22" s="97" t="s">
        <v>3176</v>
      </c>
      <c r="D22" s="793"/>
      <c r="E22" s="98" t="s">
        <v>3175</v>
      </c>
      <c r="F22" s="791"/>
      <c r="G22" s="98" t="s">
        <v>3171</v>
      </c>
      <c r="H22" s="791"/>
      <c r="I22" s="99" t="s">
        <v>3171</v>
      </c>
      <c r="J22" s="791"/>
      <c r="K22" s="1080"/>
      <c r="L22" s="2358"/>
      <c r="M22" s="2349"/>
      <c r="N22" s="2349"/>
      <c r="O22" s="2357"/>
      <c r="P22" s="3745"/>
      <c r="Q22" s="1322"/>
      <c r="R22" s="1323"/>
      <c r="S22" s="1324"/>
      <c r="T22" s="1323"/>
      <c r="U22" s="1324"/>
      <c r="V22" s="1323"/>
      <c r="W22" s="1324"/>
      <c r="X22" s="1317"/>
      <c r="Y22" s="3745"/>
      <c r="Z22" s="1325"/>
      <c r="AA22" s="1326">
        <v>1</v>
      </c>
      <c r="AB22" s="1326">
        <v>1</v>
      </c>
      <c r="AC22" s="1326">
        <v>1</v>
      </c>
    </row>
    <row r="23" spans="1:29" ht="27">
      <c r="A23" s="747"/>
      <c r="B23" s="794" t="s">
        <v>482</v>
      </c>
      <c r="C23" s="2774" t="str">
        <f>估价对象房地状况!C19</f>
        <v>一般</v>
      </c>
      <c r="D23" s="798">
        <v>100</v>
      </c>
      <c r="E23" s="795"/>
      <c r="F23" s="798">
        <f>SUMIF(96:96,E24,97:97)-SUMIF(96:96,C24,97:97)+100</f>
        <v>100</v>
      </c>
      <c r="G23" s="797"/>
      <c r="H23" s="798">
        <f>SUMIF(96:96,G24,97:97)-SUMIF(96:96,C24,97:97)+100</f>
        <v>100</v>
      </c>
      <c r="I23" s="797"/>
      <c r="J23" s="798">
        <f>SUMIF(96:96,I24,97:97)-SUMIF(96:96,C24,97:97)+100</f>
        <v>100</v>
      </c>
      <c r="K23" s="1081">
        <v>2</v>
      </c>
      <c r="L23" s="2358"/>
      <c r="M23" s="2349"/>
      <c r="N23" s="2349"/>
      <c r="O23" s="2357"/>
      <c r="P23" s="3745"/>
      <c r="Q23" s="1322" t="str">
        <f t="shared" ref="Q23:Q37" si="8">B23</f>
        <v>区域土地利用方向</v>
      </c>
      <c r="R23" s="1323" t="s">
        <v>65</v>
      </c>
      <c r="S23" s="1324">
        <f>F23</f>
        <v>100</v>
      </c>
      <c r="T23" s="1323" t="s">
        <v>65</v>
      </c>
      <c r="U23" s="1324">
        <f>H23</f>
        <v>100</v>
      </c>
      <c r="V23" s="1323" t="s">
        <v>65</v>
      </c>
      <c r="W23" s="1324">
        <f>J23</f>
        <v>100</v>
      </c>
      <c r="X23" s="1317"/>
      <c r="Y23" s="3745"/>
      <c r="Z23" s="1325" t="str">
        <f>Q23</f>
        <v>区域土地利用方向</v>
      </c>
      <c r="AA23" s="1326">
        <f t="shared" si="3"/>
        <v>1</v>
      </c>
      <c r="AB23" s="1326">
        <f t="shared" si="4"/>
        <v>1</v>
      </c>
      <c r="AC23" s="1326">
        <f t="shared" si="5"/>
        <v>1</v>
      </c>
    </row>
    <row r="24" spans="1:29" ht="15">
      <c r="A24" s="747"/>
      <c r="B24" s="799"/>
      <c r="C24" s="182" t="s">
        <v>3171</v>
      </c>
      <c r="D24" s="791"/>
      <c r="E24" s="98" t="s">
        <v>3171</v>
      </c>
      <c r="F24" s="791"/>
      <c r="G24" s="99" t="s">
        <v>3171</v>
      </c>
      <c r="H24" s="791"/>
      <c r="I24" s="99" t="s">
        <v>3171</v>
      </c>
      <c r="J24" s="791"/>
      <c r="K24" s="1485"/>
      <c r="L24" s="2358"/>
      <c r="M24" s="2349"/>
      <c r="N24" s="2349"/>
      <c r="O24" s="2357"/>
      <c r="P24" s="3745"/>
      <c r="Q24" s="1469"/>
      <c r="R24" s="1323"/>
      <c r="S24" s="1324"/>
      <c r="T24" s="1323"/>
      <c r="U24" s="1324"/>
      <c r="V24" s="1323"/>
      <c r="W24" s="1324"/>
      <c r="X24" s="1468"/>
      <c r="Y24" s="3745"/>
      <c r="Z24" s="1470"/>
      <c r="AA24" s="1326"/>
      <c r="AB24" s="1326"/>
      <c r="AC24" s="1326"/>
    </row>
    <row r="25" spans="1:29" ht="175.5">
      <c r="A25" s="747"/>
      <c r="B25" s="2769" t="s">
        <v>483</v>
      </c>
      <c r="C25" s="190" t="str">
        <f>估价对象房地状况!C20</f>
        <v>周边约1公里范围内有北京影视研修学院、北京怀柔中视腾飞影视培训学校等演艺教育学校，人文环境一般；周边有约1公里有栖河，自然环境一般。综合评价自然与人文环境一般</v>
      </c>
      <c r="D25" s="793">
        <v>100</v>
      </c>
      <c r="E25" s="795"/>
      <c r="F25" s="793">
        <f>SUMIF(98:98,E26,99:99)-SUMIF(98:98,C26,99:99)+100</f>
        <v>100</v>
      </c>
      <c r="G25" s="795"/>
      <c r="H25" s="793">
        <f>SUMIF(98:98,G26,99:99)-SUMIF(98:98,C26,99:99)+100</f>
        <v>100</v>
      </c>
      <c r="I25" s="797"/>
      <c r="J25" s="793">
        <f>SUMIF(98:98,I26,99:99)-SUMIF(98:98,C26,99:99)+100</f>
        <v>100</v>
      </c>
      <c r="K25" s="1081">
        <v>2</v>
      </c>
      <c r="L25" s="2358"/>
      <c r="M25" s="2349"/>
      <c r="N25" s="2349"/>
      <c r="O25" s="2357"/>
      <c r="P25" s="3745"/>
      <c r="Q25" s="1322" t="str">
        <f t="shared" si="8"/>
        <v>自然及人文环境状况</v>
      </c>
      <c r="R25" s="1323" t="s">
        <v>65</v>
      </c>
      <c r="S25" s="1324">
        <f>F25</f>
        <v>100</v>
      </c>
      <c r="T25" s="1323" t="s">
        <v>65</v>
      </c>
      <c r="U25" s="1324">
        <f>H25</f>
        <v>100</v>
      </c>
      <c r="V25" s="1323" t="s">
        <v>65</v>
      </c>
      <c r="W25" s="1324">
        <f>J25</f>
        <v>100</v>
      </c>
      <c r="X25" s="1317"/>
      <c r="Y25" s="3745"/>
      <c r="Z25" s="1325" t="str">
        <f>Q25</f>
        <v>自然及人文环境状况</v>
      </c>
      <c r="AA25" s="1326">
        <f t="shared" si="3"/>
        <v>1</v>
      </c>
      <c r="AB25" s="1326">
        <f t="shared" si="4"/>
        <v>1</v>
      </c>
      <c r="AC25" s="1326">
        <f t="shared" si="5"/>
        <v>1</v>
      </c>
    </row>
    <row r="26" spans="1:29" ht="15">
      <c r="A26" s="747"/>
      <c r="B26" s="799"/>
      <c r="C26" s="97" t="s">
        <v>3171</v>
      </c>
      <c r="D26" s="791"/>
      <c r="E26" s="192" t="s">
        <v>3171</v>
      </c>
      <c r="F26" s="791"/>
      <c r="G26" s="192" t="s">
        <v>3171</v>
      </c>
      <c r="H26" s="791"/>
      <c r="I26" s="97" t="s">
        <v>3171</v>
      </c>
      <c r="J26" s="791"/>
      <c r="K26" s="1080"/>
      <c r="L26" s="2358"/>
      <c r="M26" s="2349"/>
      <c r="N26" s="2349"/>
      <c r="O26" s="2357"/>
      <c r="P26" s="3745"/>
      <c r="Q26" s="1322"/>
      <c r="R26" s="1323"/>
      <c r="S26" s="1324"/>
      <c r="T26" s="1323"/>
      <c r="U26" s="1324"/>
      <c r="V26" s="1323"/>
      <c r="W26" s="1324"/>
      <c r="X26" s="1317"/>
      <c r="Y26" s="3745"/>
      <c r="Z26" s="1325"/>
      <c r="AA26" s="1326">
        <v>1</v>
      </c>
      <c r="AB26" s="1326">
        <v>1</v>
      </c>
      <c r="AC26" s="1326">
        <v>1</v>
      </c>
    </row>
    <row r="27" spans="1:29" s="407" customFormat="1" ht="198.75" customHeight="1">
      <c r="A27" s="991"/>
      <c r="B27" s="1411" t="s">
        <v>2665</v>
      </c>
      <c r="C27" s="158"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D27" s="793">
        <v>100</v>
      </c>
      <c r="E27" s="795"/>
      <c r="F27" s="793">
        <f>SUMIF(100:100,E28,101:101)-SUMIF(100:100,C28,101:101)+100</f>
        <v>101</v>
      </c>
      <c r="G27" s="795"/>
      <c r="H27" s="793">
        <f>SUMIF(100:100,G28,101:101)-SUMIF(100:100,C28,101:101)+100</f>
        <v>101</v>
      </c>
      <c r="I27" s="797"/>
      <c r="J27" s="793">
        <f>SUMIF(100:100,I28,101:101)-SUMIF(100:100,C28,101:101)+100</f>
        <v>100</v>
      </c>
      <c r="K27" s="1081">
        <v>1</v>
      </c>
      <c r="L27" s="2350"/>
      <c r="M27" s="2351"/>
      <c r="N27" s="2351"/>
      <c r="O27" s="2352"/>
      <c r="P27" s="3745"/>
      <c r="Q27" s="296" t="str">
        <f t="shared" si="8"/>
        <v>公共配套设施</v>
      </c>
      <c r="R27" s="1318" t="s">
        <v>65</v>
      </c>
      <c r="S27" s="1319">
        <f>F27</f>
        <v>101</v>
      </c>
      <c r="T27" s="1318" t="s">
        <v>65</v>
      </c>
      <c r="U27" s="1319">
        <f>H27</f>
        <v>101</v>
      </c>
      <c r="V27" s="1318" t="s">
        <v>65</v>
      </c>
      <c r="W27" s="1319">
        <f>J27</f>
        <v>100</v>
      </c>
      <c r="X27" s="1320"/>
      <c r="Y27" s="3745"/>
      <c r="Z27" s="344" t="str">
        <f>Q27</f>
        <v>公共配套设施</v>
      </c>
      <c r="AA27" s="1326">
        <f>D27/F27</f>
        <v>0.99009900990099009</v>
      </c>
      <c r="AB27" s="1326">
        <f>D27/H27</f>
        <v>0.99009900990099009</v>
      </c>
      <c r="AC27" s="1326">
        <f>D27/J27</f>
        <v>1</v>
      </c>
    </row>
    <row r="28" spans="1:29" s="407" customFormat="1" ht="15">
      <c r="A28" s="991"/>
      <c r="B28" s="799"/>
      <c r="C28" s="2775" t="s">
        <v>3171</v>
      </c>
      <c r="D28" s="791"/>
      <c r="E28" s="192" t="s">
        <v>3175</v>
      </c>
      <c r="F28" s="791"/>
      <c r="G28" s="192" t="s">
        <v>3175</v>
      </c>
      <c r="H28" s="791"/>
      <c r="I28" s="97" t="s">
        <v>3171</v>
      </c>
      <c r="J28" s="791"/>
      <c r="K28" s="1080"/>
      <c r="L28" s="2350"/>
      <c r="M28" s="2351"/>
      <c r="N28" s="2351"/>
      <c r="O28" s="2352"/>
      <c r="P28" s="3745"/>
      <c r="Q28" s="296"/>
      <c r="R28" s="1318"/>
      <c r="S28" s="1319"/>
      <c r="T28" s="1318"/>
      <c r="U28" s="1319"/>
      <c r="V28" s="1318"/>
      <c r="W28" s="1319"/>
      <c r="X28" s="1320"/>
      <c r="Y28" s="3745"/>
      <c r="Z28" s="344"/>
      <c r="AA28" s="1326">
        <v>1</v>
      </c>
      <c r="AB28" s="1326">
        <v>1</v>
      </c>
      <c r="AC28" s="1326">
        <v>1</v>
      </c>
    </row>
    <row r="29" spans="1:29" s="407" customFormat="1" ht="40.5">
      <c r="A29" s="991"/>
      <c r="B29" s="1411" t="s">
        <v>2666</v>
      </c>
      <c r="C29" s="158" t="str">
        <f>估价对象房地状况!C22</f>
        <v>估价对象所在区域基础设施水平达到七通</v>
      </c>
      <c r="D29" s="793">
        <v>100</v>
      </c>
      <c r="E29" s="795"/>
      <c r="F29" s="793">
        <f>SUMIF(102:102,E30,103:103)-SUMIF(102:102,C30,103:103)+100</f>
        <v>100</v>
      </c>
      <c r="G29" s="795"/>
      <c r="H29" s="793">
        <f>SUMIF(102:102,G30,103:103)-SUMIF(102:102,C30,103:103)+100</f>
        <v>100</v>
      </c>
      <c r="I29" s="797"/>
      <c r="J29" s="793">
        <f>SUMIF(102:102,I30,103:103)-SUMIF(102:102,C30,103:103)+100</f>
        <v>100</v>
      </c>
      <c r="K29" s="1081"/>
      <c r="L29" s="2350"/>
      <c r="M29" s="2351"/>
      <c r="N29" s="2351"/>
      <c r="O29" s="2352"/>
      <c r="P29" s="3745"/>
      <c r="Q29" s="2744" t="str">
        <f t="shared" ref="Q29" si="9">B29</f>
        <v>基础设施水平</v>
      </c>
      <c r="R29" s="1318" t="s">
        <v>65</v>
      </c>
      <c r="S29" s="1319">
        <f>F29</f>
        <v>100</v>
      </c>
      <c r="T29" s="1318" t="s">
        <v>65</v>
      </c>
      <c r="U29" s="1319">
        <f>H29</f>
        <v>100</v>
      </c>
      <c r="V29" s="1318" t="s">
        <v>65</v>
      </c>
      <c r="W29" s="1319">
        <f>J29</f>
        <v>100</v>
      </c>
      <c r="X29" s="1320"/>
      <c r="Y29" s="3745"/>
      <c r="Z29" s="344" t="str">
        <f>Q29</f>
        <v>基础设施水平</v>
      </c>
      <c r="AA29" s="1326">
        <f>D29/F29</f>
        <v>1</v>
      </c>
      <c r="AB29" s="1326">
        <f>D29/H29</f>
        <v>1</v>
      </c>
      <c r="AC29" s="1326">
        <f>D29/J29</f>
        <v>1</v>
      </c>
    </row>
    <row r="30" spans="1:29" s="407" customFormat="1" ht="15">
      <c r="A30" s="991"/>
      <c r="B30" s="799"/>
      <c r="C30" s="2775" t="s">
        <v>3280</v>
      </c>
      <c r="D30" s="791"/>
      <c r="E30" s="1036" t="s">
        <v>3280</v>
      </c>
      <c r="F30" s="791"/>
      <c r="G30" s="1036" t="s">
        <v>3280</v>
      </c>
      <c r="H30" s="791"/>
      <c r="I30" s="1036" t="s">
        <v>3280</v>
      </c>
      <c r="J30" s="791"/>
      <c r="K30" s="1080"/>
      <c r="L30" s="2350"/>
      <c r="M30" s="2351"/>
      <c r="N30" s="2351"/>
      <c r="O30" s="2352"/>
      <c r="P30" s="3745"/>
      <c r="Q30" s="2744"/>
      <c r="R30" s="1318"/>
      <c r="S30" s="1319"/>
      <c r="T30" s="1318"/>
      <c r="U30" s="1319"/>
      <c r="V30" s="1318"/>
      <c r="W30" s="1319"/>
      <c r="X30" s="1320"/>
      <c r="Y30" s="3745"/>
      <c r="Z30" s="344"/>
      <c r="AA30" s="1326">
        <v>1</v>
      </c>
      <c r="AB30" s="1326">
        <v>1</v>
      </c>
      <c r="AC30" s="1326">
        <v>1</v>
      </c>
    </row>
    <row r="31" spans="1:29" ht="15">
      <c r="A31" s="771"/>
      <c r="B31" s="799" t="s">
        <v>436</v>
      </c>
      <c r="C31" s="182" t="s">
        <v>3281</v>
      </c>
      <c r="D31" s="778">
        <v>100</v>
      </c>
      <c r="E31" s="195" t="s">
        <v>3173</v>
      </c>
      <c r="F31" s="778">
        <f>SUMIF(104:104,E31,105:105)-SUMIF(104:104,C31,105:105)+100</f>
        <v>101</v>
      </c>
      <c r="G31" s="195" t="s">
        <v>3298</v>
      </c>
      <c r="H31" s="778">
        <f>SUMIF(104:104,G31,105:105)-SUMIF(104:104,C31,105:105)+100</f>
        <v>100</v>
      </c>
      <c r="I31" s="195" t="s">
        <v>3299</v>
      </c>
      <c r="J31" s="778">
        <f>SUMIF(104:104,I31,105:105)-SUMIF(104:104,C31,105:105)+100</f>
        <v>102</v>
      </c>
      <c r="K31" s="1081">
        <v>1</v>
      </c>
      <c r="L31" s="2358"/>
      <c r="M31" s="2349"/>
      <c r="N31" s="2349"/>
      <c r="O31" s="2357"/>
      <c r="P31" s="3745"/>
      <c r="Q31" s="1322" t="str">
        <f t="shared" si="8"/>
        <v>临街状况</v>
      </c>
      <c r="R31" s="1323" t="s">
        <v>65</v>
      </c>
      <c r="S31" s="1324">
        <f t="shared" ref="S31:S45" si="10">F31</f>
        <v>101</v>
      </c>
      <c r="T31" s="1323" t="s">
        <v>65</v>
      </c>
      <c r="U31" s="1324">
        <f t="shared" ref="U31:U45" si="11">H31</f>
        <v>100</v>
      </c>
      <c r="V31" s="1323" t="s">
        <v>65</v>
      </c>
      <c r="W31" s="1324">
        <f t="shared" ref="W31:W45" si="12">J31</f>
        <v>102</v>
      </c>
      <c r="X31" s="1317"/>
      <c r="Y31" s="3745"/>
      <c r="Z31" s="1325" t="str">
        <f t="shared" ref="Z31:Z45" si="13">Q31</f>
        <v>临街状况</v>
      </c>
      <c r="AA31" s="1326">
        <f t="shared" si="3"/>
        <v>0.99009900990099009</v>
      </c>
      <c r="AB31" s="1326">
        <f t="shared" si="4"/>
        <v>1</v>
      </c>
      <c r="AC31" s="1326">
        <f t="shared" si="5"/>
        <v>0.98039215686274506</v>
      </c>
    </row>
    <row r="32" spans="1:29" ht="27.75">
      <c r="A32" s="771"/>
      <c r="B32" s="2769" t="s">
        <v>441</v>
      </c>
      <c r="C32" s="797" t="s">
        <v>3282</v>
      </c>
      <c r="D32" s="793">
        <v>100</v>
      </c>
      <c r="E32" s="3409" t="s">
        <v>3314</v>
      </c>
      <c r="F32" s="793">
        <f>SUMIF(106:106,E33,107:107)-SUMIF(106:106,C33,107:107)+100</f>
        <v>100</v>
      </c>
      <c r="G32" s="3409" t="s">
        <v>3296</v>
      </c>
      <c r="H32" s="793">
        <f>SUMIF(106:106,G33,107:107)-SUMIF(106:106,C33,107:107)+100</f>
        <v>98</v>
      </c>
      <c r="I32" s="3410" t="s">
        <v>3315</v>
      </c>
      <c r="J32" s="793">
        <f>SUMIF(106:106,I33,107:107)-SUMIF(106:106,C33,107:107)+100</f>
        <v>99</v>
      </c>
      <c r="K32" s="1081">
        <v>1</v>
      </c>
      <c r="L32" s="2358"/>
      <c r="M32" s="2349"/>
      <c r="N32" s="2349"/>
      <c r="O32" s="2357"/>
      <c r="P32" s="3745"/>
      <c r="Q32" s="1322" t="str">
        <f t="shared" si="8"/>
        <v>毗邻道路的类型与等级</v>
      </c>
      <c r="R32" s="1323" t="s">
        <v>65</v>
      </c>
      <c r="S32" s="1324">
        <f t="shared" si="10"/>
        <v>100</v>
      </c>
      <c r="T32" s="1323" t="s">
        <v>65</v>
      </c>
      <c r="U32" s="1324">
        <f t="shared" si="11"/>
        <v>98</v>
      </c>
      <c r="V32" s="1323" t="s">
        <v>65</v>
      </c>
      <c r="W32" s="1324">
        <f t="shared" si="12"/>
        <v>99</v>
      </c>
      <c r="X32" s="1317"/>
      <c r="Y32" s="3745"/>
      <c r="Z32" s="1325" t="str">
        <f t="shared" si="13"/>
        <v>毗邻道路的类型与等级</v>
      </c>
      <c r="AA32" s="1326">
        <f t="shared" si="3"/>
        <v>1</v>
      </c>
      <c r="AB32" s="1326">
        <f t="shared" si="4"/>
        <v>1.0204081632653061</v>
      </c>
      <c r="AC32" s="1326">
        <f t="shared" si="5"/>
        <v>1.0101010101010102</v>
      </c>
    </row>
    <row r="33" spans="1:29" ht="15">
      <c r="A33" s="771"/>
      <c r="B33" s="799"/>
      <c r="C33" s="97" t="s">
        <v>3284</v>
      </c>
      <c r="D33" s="791"/>
      <c r="E33" s="192" t="s">
        <v>3284</v>
      </c>
      <c r="F33" s="791"/>
      <c r="G33" s="192" t="s">
        <v>3288</v>
      </c>
      <c r="H33" s="791"/>
      <c r="I33" s="97" t="s">
        <v>3286</v>
      </c>
      <c r="J33" s="791"/>
      <c r="K33" s="955"/>
      <c r="L33" s="2358"/>
      <c r="M33" s="2349"/>
      <c r="N33" s="2349"/>
      <c r="O33" s="2357"/>
      <c r="P33" s="3745"/>
      <c r="Q33" s="1322"/>
      <c r="R33" s="1323"/>
      <c r="S33" s="1324"/>
      <c r="T33" s="1323"/>
      <c r="U33" s="1324"/>
      <c r="V33" s="1323"/>
      <c r="W33" s="1324"/>
      <c r="X33" s="1317"/>
      <c r="Y33" s="3745"/>
      <c r="Z33" s="1325"/>
      <c r="AA33" s="1326">
        <v>1</v>
      </c>
      <c r="AB33" s="1326">
        <v>1</v>
      </c>
      <c r="AC33" s="1326">
        <v>1</v>
      </c>
    </row>
    <row r="34" spans="1:29" ht="15">
      <c r="A34" s="771"/>
      <c r="B34" s="765" t="s">
        <v>484</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4"/>
      <c r="L34" s="2358"/>
      <c r="M34" s="2349"/>
      <c r="N34" s="2349"/>
      <c r="O34" s="2357"/>
      <c r="P34" s="3745"/>
      <c r="Q34" s="1322" t="str">
        <f t="shared" si="8"/>
        <v>土地级别</v>
      </c>
      <c r="R34" s="1323" t="s">
        <v>65</v>
      </c>
      <c r="S34" s="1324">
        <f t="shared" si="10"/>
        <v>100</v>
      </c>
      <c r="T34" s="1323" t="s">
        <v>65</v>
      </c>
      <c r="U34" s="1324">
        <f t="shared" si="11"/>
        <v>100</v>
      </c>
      <c r="V34" s="1323" t="s">
        <v>65</v>
      </c>
      <c r="W34" s="1324">
        <f t="shared" si="12"/>
        <v>100</v>
      </c>
      <c r="X34" s="1317"/>
      <c r="Y34" s="3745"/>
      <c r="Z34" s="1325" t="str">
        <f t="shared" si="13"/>
        <v>土地级别</v>
      </c>
      <c r="AA34" s="1326">
        <f t="shared" si="3"/>
        <v>1</v>
      </c>
      <c r="AB34" s="1326">
        <f t="shared" si="4"/>
        <v>1</v>
      </c>
      <c r="AC34" s="1326">
        <f t="shared" si="5"/>
        <v>1</v>
      </c>
    </row>
    <row r="35" spans="1:29" ht="15">
      <c r="A35" s="747"/>
      <c r="B35" s="2771">
        <v>111</v>
      </c>
      <c r="C35" s="1082"/>
      <c r="D35" s="778">
        <v>100</v>
      </c>
      <c r="E35" s="819"/>
      <c r="F35" s="778">
        <f>SUMIF(110:110,E35,111:111)-SUMIF(110:110,C35,111:111)+100</f>
        <v>100</v>
      </c>
      <c r="G35" s="819"/>
      <c r="H35" s="778">
        <f>SUMIF(110:110,G35,111:111)-SUMIF(110:110,C35,111:111)+100</f>
        <v>100</v>
      </c>
      <c r="I35" s="1082"/>
      <c r="J35" s="778">
        <f>SUMIF(110:110,I35,111:111)-SUMIF(110:110,C35,111:111)+100</f>
        <v>100</v>
      </c>
      <c r="K35" s="955"/>
      <c r="L35" s="2358"/>
      <c r="M35" s="2349"/>
      <c r="N35" s="2349"/>
      <c r="O35" s="2357"/>
      <c r="P35" s="3745"/>
      <c r="Q35" s="1322">
        <f t="shared" si="8"/>
        <v>111</v>
      </c>
      <c r="R35" s="1323" t="s">
        <v>65</v>
      </c>
      <c r="S35" s="1324">
        <f t="shared" si="10"/>
        <v>100</v>
      </c>
      <c r="T35" s="1323" t="s">
        <v>65</v>
      </c>
      <c r="U35" s="1324">
        <f t="shared" si="11"/>
        <v>100</v>
      </c>
      <c r="V35" s="1323" t="s">
        <v>65</v>
      </c>
      <c r="W35" s="1324">
        <f t="shared" si="12"/>
        <v>100</v>
      </c>
      <c r="X35" s="1317"/>
      <c r="Y35" s="3745"/>
      <c r="Z35" s="1325">
        <f t="shared" si="13"/>
        <v>111</v>
      </c>
      <c r="AA35" s="1326">
        <f t="shared" si="3"/>
        <v>1</v>
      </c>
      <c r="AB35" s="1326">
        <f t="shared" si="4"/>
        <v>1</v>
      </c>
      <c r="AC35" s="1326">
        <f t="shared" si="5"/>
        <v>1</v>
      </c>
    </row>
    <row r="36" spans="1:29" ht="15">
      <c r="A36" s="1083"/>
      <c r="B36" s="2772">
        <v>111</v>
      </c>
      <c r="C36" s="1082"/>
      <c r="D36" s="778">
        <v>100</v>
      </c>
      <c r="E36" s="819"/>
      <c r="F36" s="778">
        <f>SUMIF(112:112,E37,113:113)-SUMIF(112:112,C37,113:113)+100</f>
        <v>100</v>
      </c>
      <c r="G36" s="819"/>
      <c r="H36" s="778">
        <f>SUMIF(112:112,G36,113:113)-SUMIF(112:112,C36,113:113)+100</f>
        <v>100</v>
      </c>
      <c r="I36" s="1082"/>
      <c r="J36" s="778">
        <f>SUMIF(112:112,I36,113:113)-SUMIF(112:112,C36,113:113)+100</f>
        <v>100</v>
      </c>
      <c r="K36" s="955"/>
      <c r="L36" s="2358"/>
      <c r="M36" s="2349"/>
      <c r="N36" s="2349"/>
      <c r="O36" s="2357"/>
      <c r="P36" s="3746" t="s">
        <v>408</v>
      </c>
      <c r="Q36" s="1322">
        <f t="shared" si="8"/>
        <v>111</v>
      </c>
      <c r="R36" s="1323" t="s">
        <v>65</v>
      </c>
      <c r="S36" s="1324">
        <f t="shared" si="10"/>
        <v>100</v>
      </c>
      <c r="T36" s="1323" t="s">
        <v>65</v>
      </c>
      <c r="U36" s="1324">
        <f t="shared" si="11"/>
        <v>100</v>
      </c>
      <c r="V36" s="1323" t="s">
        <v>65</v>
      </c>
      <c r="W36" s="1324">
        <f t="shared" si="12"/>
        <v>100</v>
      </c>
      <c r="X36" s="1317"/>
      <c r="Y36" s="3747" t="s">
        <v>408</v>
      </c>
      <c r="Z36" s="1325">
        <f t="shared" si="13"/>
        <v>111</v>
      </c>
      <c r="AA36" s="1326">
        <f t="shared" si="3"/>
        <v>1</v>
      </c>
      <c r="AB36" s="1326">
        <f t="shared" si="4"/>
        <v>1</v>
      </c>
      <c r="AC36" s="1326">
        <f t="shared" si="5"/>
        <v>1</v>
      </c>
    </row>
    <row r="37" spans="1:29" s="813" customFormat="1" ht="15.75" thickBot="1">
      <c r="A37" s="1084"/>
      <c r="B37" s="2773">
        <v>111</v>
      </c>
      <c r="C37" s="1086"/>
      <c r="D37" s="427">
        <v>100</v>
      </c>
      <c r="E37" s="1109"/>
      <c r="F37" s="781">
        <f>SUMIF(114:114,E37,115:115)-SUMIF(114:114,C37,115:115)+100</f>
        <v>100</v>
      </c>
      <c r="G37" s="1109"/>
      <c r="H37" s="781">
        <f>SUMIF(114:114,G37,115:115)-SUMIF(114:114,C37,115:115)+100</f>
        <v>100</v>
      </c>
      <c r="I37" s="1086"/>
      <c r="J37" s="781">
        <f>SUMIF(114:114,I37,115:115)-SUMIF(114:114,C37,115:115)+100</f>
        <v>100</v>
      </c>
      <c r="K37" s="955"/>
      <c r="L37" s="2356"/>
      <c r="M37" s="2359"/>
      <c r="N37" s="2359"/>
      <c r="O37" s="2360"/>
      <c r="P37" s="3747"/>
      <c r="Q37" s="1322">
        <f t="shared" si="8"/>
        <v>111</v>
      </c>
      <c r="R37" s="1328" t="s">
        <v>65</v>
      </c>
      <c r="S37" s="1329">
        <f t="shared" si="10"/>
        <v>100</v>
      </c>
      <c r="T37" s="1328" t="s">
        <v>65</v>
      </c>
      <c r="U37" s="1329">
        <f t="shared" si="11"/>
        <v>100</v>
      </c>
      <c r="V37" s="1328" t="s">
        <v>65</v>
      </c>
      <c r="W37" s="1329">
        <f t="shared" si="12"/>
        <v>100</v>
      </c>
      <c r="X37" s="1330"/>
      <c r="Y37" s="3747"/>
      <c r="Z37" s="1331">
        <f t="shared" si="13"/>
        <v>111</v>
      </c>
      <c r="AA37" s="1326">
        <f t="shared" si="3"/>
        <v>1</v>
      </c>
      <c r="AB37" s="1326">
        <f t="shared" si="4"/>
        <v>1</v>
      </c>
      <c r="AC37" s="1326">
        <f t="shared" si="5"/>
        <v>1</v>
      </c>
    </row>
    <row r="38" spans="1:29" ht="15">
      <c r="A38" s="814" t="s">
        <v>407</v>
      </c>
      <c r="B38" s="799" t="s">
        <v>485</v>
      </c>
      <c r="C38" s="1087">
        <f>'数据-基础表'!A3</f>
        <v>82323.28</v>
      </c>
      <c r="D38" s="809">
        <v>100</v>
      </c>
      <c r="E38" s="1087">
        <f>土地案例!D15</f>
        <v>27641.17</v>
      </c>
      <c r="F38" s="809">
        <f>LOOKUP(E38,117:117,118:118)-LOOKUP(C38,117:117,118:118)+100</f>
        <v>98</v>
      </c>
      <c r="G38" s="1087">
        <f>土地案例!D15</f>
        <v>27641.17</v>
      </c>
      <c r="H38" s="809">
        <f>LOOKUP(G38,117:117,118:118)-LOOKUP(C38,117:117,118:118)+100</f>
        <v>98</v>
      </c>
      <c r="I38" s="872">
        <f>土地案例!D8</f>
        <v>49477.2</v>
      </c>
      <c r="J38" s="809">
        <f>LOOKUP(I38,117:117,118:118)-LOOKUP(C38,117:117,118:118)+100</f>
        <v>98</v>
      </c>
      <c r="K38" s="955"/>
      <c r="L38" s="2358"/>
      <c r="M38" s="2349"/>
      <c r="N38" s="2349"/>
      <c r="O38" s="2357"/>
      <c r="P38" s="3747"/>
      <c r="Q38" s="1322" t="str">
        <f>B38</f>
        <v>宗地面积</v>
      </c>
      <c r="R38" s="1323" t="s">
        <v>65</v>
      </c>
      <c r="S38" s="1324">
        <f t="shared" si="10"/>
        <v>98</v>
      </c>
      <c r="T38" s="1323" t="s">
        <v>65</v>
      </c>
      <c r="U38" s="1324">
        <f t="shared" si="11"/>
        <v>98</v>
      </c>
      <c r="V38" s="1323" t="s">
        <v>65</v>
      </c>
      <c r="W38" s="1324">
        <f t="shared" si="12"/>
        <v>98</v>
      </c>
      <c r="X38" s="1317"/>
      <c r="Y38" s="3747"/>
      <c r="Z38" s="1325" t="str">
        <f t="shared" si="13"/>
        <v>宗地面积</v>
      </c>
      <c r="AA38" s="1326">
        <f t="shared" si="3"/>
        <v>1.0204081632653061</v>
      </c>
      <c r="AB38" s="1326">
        <f t="shared" si="4"/>
        <v>1.0204081632653061</v>
      </c>
      <c r="AC38" s="1326">
        <f t="shared" si="5"/>
        <v>1.0204081632653061</v>
      </c>
    </row>
    <row r="39" spans="1:29" ht="15">
      <c r="A39" s="814"/>
      <c r="B39" s="765" t="s">
        <v>486</v>
      </c>
      <c r="C39" s="109" t="s">
        <v>3292</v>
      </c>
      <c r="D39" s="778">
        <v>100</v>
      </c>
      <c r="E39" s="109" t="s">
        <v>3292</v>
      </c>
      <c r="F39" s="778">
        <f>SUMIF(119:119,E39,120:120)-SUMIF(119:119,C39,120:120)+100</f>
        <v>100</v>
      </c>
      <c r="G39" s="109" t="s">
        <v>3293</v>
      </c>
      <c r="H39" s="778">
        <f>SUMIF(119:119,G39,120:120)-SUMIF(119:119,C39,120:120)+100</f>
        <v>100</v>
      </c>
      <c r="I39" s="109" t="s">
        <v>3290</v>
      </c>
      <c r="J39" s="778">
        <f>SUMIF(119:119,I39,120:120)-SUMIF(119:119,C39,120:120)+100</f>
        <v>104</v>
      </c>
      <c r="K39" s="954">
        <v>2</v>
      </c>
      <c r="L39" s="2358"/>
      <c r="M39" s="2349"/>
      <c r="N39" s="2349"/>
      <c r="O39" s="2357"/>
      <c r="P39" s="3747"/>
      <c r="Q39" s="1322" t="str">
        <f t="shared" ref="Q39:Q45" si="14">B39</f>
        <v>宗地形状</v>
      </c>
      <c r="R39" s="1323" t="s">
        <v>65</v>
      </c>
      <c r="S39" s="1324">
        <f t="shared" si="10"/>
        <v>100</v>
      </c>
      <c r="T39" s="1323" t="s">
        <v>65</v>
      </c>
      <c r="U39" s="1324">
        <f t="shared" si="11"/>
        <v>100</v>
      </c>
      <c r="V39" s="1323" t="s">
        <v>65</v>
      </c>
      <c r="W39" s="1324">
        <f t="shared" si="12"/>
        <v>104</v>
      </c>
      <c r="X39" s="1317"/>
      <c r="Y39" s="3747"/>
      <c r="Z39" s="1325" t="str">
        <f t="shared" si="13"/>
        <v>宗地形状</v>
      </c>
      <c r="AA39" s="1326">
        <f t="shared" si="3"/>
        <v>1</v>
      </c>
      <c r="AB39" s="1326">
        <f t="shared" si="4"/>
        <v>1</v>
      </c>
      <c r="AC39" s="1326">
        <f t="shared" si="5"/>
        <v>0.96153846153846156</v>
      </c>
    </row>
    <row r="40" spans="1:29" ht="15">
      <c r="A40" s="814"/>
      <c r="B40" s="765" t="s">
        <v>487</v>
      </c>
      <c r="C40" s="109" t="s">
        <v>3294</v>
      </c>
      <c r="D40" s="778">
        <v>100</v>
      </c>
      <c r="E40" s="109" t="s">
        <v>3294</v>
      </c>
      <c r="F40" s="778">
        <f>SUMIF(121:121,E40,122:122)-SUMIF(121:121,C40,122:122)+100</f>
        <v>100</v>
      </c>
      <c r="G40" s="109" t="s">
        <v>3294</v>
      </c>
      <c r="H40" s="778">
        <f>SUMIF(121:121,G40,122:122)-SUMIF(121:121,C40,122:122)+100</f>
        <v>100</v>
      </c>
      <c r="I40" s="109" t="s">
        <v>3294</v>
      </c>
      <c r="J40" s="778">
        <f>SUMIF(121:121,I40,122:122)-SUMIF(121:121,C40,122:122)+100</f>
        <v>100</v>
      </c>
      <c r="K40" s="954">
        <v>1</v>
      </c>
      <c r="L40" s="2358"/>
      <c r="M40" s="2349"/>
      <c r="N40" s="2349"/>
      <c r="O40" s="2357"/>
      <c r="P40" s="3747"/>
      <c r="Q40" s="1322" t="str">
        <f t="shared" si="14"/>
        <v>临街宽度及深度</v>
      </c>
      <c r="R40" s="1323" t="s">
        <v>65</v>
      </c>
      <c r="S40" s="1324">
        <f t="shared" si="10"/>
        <v>100</v>
      </c>
      <c r="T40" s="1323" t="s">
        <v>65</v>
      </c>
      <c r="U40" s="1324">
        <f t="shared" si="11"/>
        <v>100</v>
      </c>
      <c r="V40" s="1323" t="s">
        <v>65</v>
      </c>
      <c r="W40" s="1324">
        <f t="shared" si="12"/>
        <v>100</v>
      </c>
      <c r="X40" s="1317"/>
      <c r="Y40" s="3747"/>
      <c r="Z40" s="1325" t="str">
        <f t="shared" si="13"/>
        <v>临街宽度及深度</v>
      </c>
      <c r="AA40" s="1326">
        <f t="shared" si="3"/>
        <v>1</v>
      </c>
      <c r="AB40" s="1326">
        <f t="shared" si="4"/>
        <v>1</v>
      </c>
      <c r="AC40" s="1326">
        <f t="shared" si="5"/>
        <v>1</v>
      </c>
    </row>
    <row r="41" spans="1:29" s="407" customFormat="1" ht="15">
      <c r="A41" s="815"/>
      <c r="B41" s="2610" t="s">
        <v>2497</v>
      </c>
      <c r="C41" s="1041" t="s">
        <v>3295</v>
      </c>
      <c r="D41" s="426">
        <v>100</v>
      </c>
      <c r="E41" s="1041" t="s">
        <v>2657</v>
      </c>
      <c r="F41" s="778">
        <f>SUMIF(123:123,E41,124:124)-SUMIF(123:123,C41,124:124)+100</f>
        <v>97</v>
      </c>
      <c r="G41" s="1041" t="s">
        <v>3297</v>
      </c>
      <c r="H41" s="778">
        <f>SUMIF(123:123,G41,124:124)-SUMIF(123:123,C41,124:124)+100</f>
        <v>97</v>
      </c>
      <c r="I41" s="1041" t="s">
        <v>3295</v>
      </c>
      <c r="J41" s="778">
        <f>SUMIF(123:123,I41,124:124)-SUMIF(123:123,C41,124:124)+100</f>
        <v>100</v>
      </c>
      <c r="K41" s="954">
        <v>1</v>
      </c>
      <c r="L41" s="2350"/>
      <c r="M41" s="2351"/>
      <c r="N41" s="2351"/>
      <c r="O41" s="2352"/>
      <c r="P41" s="3747"/>
      <c r="Q41" s="1322" t="str">
        <f t="shared" si="14"/>
        <v>宗地开发程度</v>
      </c>
      <c r="R41" s="1318" t="s">
        <v>65</v>
      </c>
      <c r="S41" s="1319">
        <f t="shared" si="10"/>
        <v>97</v>
      </c>
      <c r="T41" s="1318" t="s">
        <v>65</v>
      </c>
      <c r="U41" s="1319">
        <f t="shared" si="11"/>
        <v>97</v>
      </c>
      <c r="V41" s="1318" t="s">
        <v>65</v>
      </c>
      <c r="W41" s="1319">
        <f t="shared" si="12"/>
        <v>100</v>
      </c>
      <c r="X41" s="1320"/>
      <c r="Y41" s="3747"/>
      <c r="Z41" s="344" t="str">
        <f t="shared" si="13"/>
        <v>宗地开发程度</v>
      </c>
      <c r="AA41" s="1321">
        <f t="shared" si="3"/>
        <v>1.0309278350515463</v>
      </c>
      <c r="AB41" s="1321">
        <f t="shared" si="4"/>
        <v>1.0309278350515463</v>
      </c>
      <c r="AC41" s="1321">
        <f t="shared" si="5"/>
        <v>1</v>
      </c>
    </row>
    <row r="42" spans="1:29" ht="15">
      <c r="A42" s="814"/>
      <c r="B42" s="765" t="s">
        <v>488</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4"/>
      <c r="L42" s="2358"/>
      <c r="M42" s="2349"/>
      <c r="N42" s="2349"/>
      <c r="O42" s="2357"/>
      <c r="P42" s="3747" t="s">
        <v>408</v>
      </c>
      <c r="Q42" s="1322" t="str">
        <f t="shared" si="14"/>
        <v>工程地质条件</v>
      </c>
      <c r="R42" s="1323" t="s">
        <v>65</v>
      </c>
      <c r="S42" s="1324">
        <f t="shared" si="10"/>
        <v>100</v>
      </c>
      <c r="T42" s="1323" t="s">
        <v>65</v>
      </c>
      <c r="U42" s="1324">
        <f t="shared" si="11"/>
        <v>100</v>
      </c>
      <c r="V42" s="1323" t="s">
        <v>65</v>
      </c>
      <c r="W42" s="1324">
        <f t="shared" si="12"/>
        <v>100</v>
      </c>
      <c r="X42" s="1317"/>
      <c r="Y42" s="3747" t="s">
        <v>408</v>
      </c>
      <c r="Z42" s="1325" t="str">
        <f t="shared" si="13"/>
        <v>工程地质条件</v>
      </c>
      <c r="AA42" s="1326">
        <f t="shared" si="3"/>
        <v>1</v>
      </c>
      <c r="AB42" s="1326">
        <f t="shared" si="4"/>
        <v>1</v>
      </c>
      <c r="AC42" s="1326">
        <f t="shared" si="5"/>
        <v>1</v>
      </c>
    </row>
    <row r="43" spans="1:29" ht="15">
      <c r="A43" s="814"/>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5"/>
      <c r="L43" s="2358"/>
      <c r="M43" s="2349"/>
      <c r="N43" s="2349"/>
      <c r="O43" s="2357"/>
      <c r="P43" s="3747"/>
      <c r="Q43" s="1322">
        <f t="shared" si="14"/>
        <v>111</v>
      </c>
      <c r="R43" s="1323" t="s">
        <v>65</v>
      </c>
      <c r="S43" s="1324">
        <f t="shared" si="10"/>
        <v>100</v>
      </c>
      <c r="T43" s="1323" t="s">
        <v>65</v>
      </c>
      <c r="U43" s="1324">
        <f t="shared" si="11"/>
        <v>100</v>
      </c>
      <c r="V43" s="1323" t="s">
        <v>65</v>
      </c>
      <c r="W43" s="1324">
        <f t="shared" si="12"/>
        <v>100</v>
      </c>
      <c r="X43" s="1317"/>
      <c r="Y43" s="3747"/>
      <c r="Z43" s="1325">
        <f t="shared" si="13"/>
        <v>111</v>
      </c>
      <c r="AA43" s="1326">
        <f t="shared" si="3"/>
        <v>1</v>
      </c>
      <c r="AB43" s="1326">
        <f t="shared" si="4"/>
        <v>1</v>
      </c>
      <c r="AC43" s="1326">
        <f t="shared" si="5"/>
        <v>1</v>
      </c>
    </row>
    <row r="44" spans="1:29" ht="15">
      <c r="A44" s="814"/>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5"/>
      <c r="L44" s="2358"/>
      <c r="M44" s="2349"/>
      <c r="N44" s="2349"/>
      <c r="O44" s="2357"/>
      <c r="P44" s="3747"/>
      <c r="Q44" s="1322">
        <f t="shared" si="14"/>
        <v>111</v>
      </c>
      <c r="R44" s="1323" t="s">
        <v>65</v>
      </c>
      <c r="S44" s="1324">
        <f t="shared" si="10"/>
        <v>100</v>
      </c>
      <c r="T44" s="1323" t="s">
        <v>65</v>
      </c>
      <c r="U44" s="1324">
        <f t="shared" si="11"/>
        <v>100</v>
      </c>
      <c r="V44" s="1323" t="s">
        <v>65</v>
      </c>
      <c r="W44" s="1324">
        <f t="shared" si="12"/>
        <v>100</v>
      </c>
      <c r="X44" s="1317"/>
      <c r="Y44" s="3747"/>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1">
        <f>SUMIF(131:131,E45,132:132)-SUMIF(131:131,C45,132:132)+100</f>
        <v>100</v>
      </c>
      <c r="G45" s="203"/>
      <c r="H45" s="781">
        <f>SUMIF(131:131,G45,132:132)-SUMIF(131:131,C45,132:132)+100</f>
        <v>100</v>
      </c>
      <c r="I45" s="203"/>
      <c r="J45" s="781">
        <f>SUMIF(131:131,I45,132:132)-SUMIF(131:131,C45,132:132)+100</f>
        <v>100</v>
      </c>
      <c r="K45" s="1089"/>
      <c r="L45" s="2356"/>
      <c r="M45" s="2359"/>
      <c r="N45" s="2359"/>
      <c r="O45" s="2360"/>
      <c r="P45" s="3747"/>
      <c r="Q45" s="1322">
        <f t="shared" si="14"/>
        <v>111</v>
      </c>
      <c r="R45" s="1328" t="s">
        <v>65</v>
      </c>
      <c r="S45" s="1329">
        <f t="shared" si="10"/>
        <v>100</v>
      </c>
      <c r="T45" s="1328" t="s">
        <v>65</v>
      </c>
      <c r="U45" s="1329">
        <f t="shared" si="11"/>
        <v>100</v>
      </c>
      <c r="V45" s="1328" t="s">
        <v>65</v>
      </c>
      <c r="W45" s="1329">
        <f t="shared" si="12"/>
        <v>100</v>
      </c>
      <c r="X45" s="1330"/>
      <c r="Y45" s="3747"/>
      <c r="Z45" s="1331">
        <f t="shared" si="13"/>
        <v>111</v>
      </c>
      <c r="AA45" s="1326">
        <f t="shared" si="3"/>
        <v>1</v>
      </c>
      <c r="AB45" s="1326">
        <f t="shared" si="4"/>
        <v>1</v>
      </c>
      <c r="AC45" s="1326">
        <f t="shared" si="5"/>
        <v>1</v>
      </c>
    </row>
    <row r="46" spans="1:29" ht="15">
      <c r="A46" s="821" t="s">
        <v>489</v>
      </c>
      <c r="B46" s="207" t="s">
        <v>3306</v>
      </c>
      <c r="C46" s="1090" t="s">
        <v>23</v>
      </c>
      <c r="D46" s="823"/>
      <c r="E46" s="824">
        <v>13080</v>
      </c>
      <c r="F46" s="825"/>
      <c r="G46" s="826">
        <v>12156</v>
      </c>
      <c r="H46" s="827"/>
      <c r="I46" s="824">
        <v>15159</v>
      </c>
      <c r="J46" s="827"/>
      <c r="K46" s="1399"/>
      <c r="L46" s="2361"/>
      <c r="M46" s="2362"/>
      <c r="N46" s="2349"/>
      <c r="O46" s="2362"/>
      <c r="P46" s="3729" t="str">
        <f>A46</f>
        <v>成交单价</v>
      </c>
      <c r="Q46" s="3729"/>
      <c r="R46" s="3742">
        <f>E46</f>
        <v>13080</v>
      </c>
      <c r="S46" s="3742"/>
      <c r="T46" s="3742">
        <f>G46</f>
        <v>12156</v>
      </c>
      <c r="U46" s="3742"/>
      <c r="V46" s="3742">
        <f>I46</f>
        <v>15159</v>
      </c>
      <c r="W46" s="3742"/>
      <c r="X46" s="1306"/>
      <c r="Y46" s="1332"/>
      <c r="Z46" s="1306"/>
      <c r="AA46" s="1306"/>
      <c r="AB46" s="1306"/>
      <c r="AC46" s="1306"/>
    </row>
    <row r="47" spans="1:29" ht="15.75" thickBot="1">
      <c r="A47" s="828" t="s">
        <v>410</v>
      </c>
      <c r="B47" s="1091"/>
      <c r="C47" s="832">
        <f>R48</f>
        <v>13977</v>
      </c>
      <c r="D47" s="831"/>
      <c r="E47" s="832">
        <f>R47</f>
        <v>12388</v>
      </c>
      <c r="F47" s="833"/>
      <c r="G47" s="830">
        <f>T47</f>
        <v>14831</v>
      </c>
      <c r="H47" s="831"/>
      <c r="I47" s="832">
        <f>V47</f>
        <v>14712</v>
      </c>
      <c r="J47" s="831"/>
      <c r="K47" s="1400"/>
      <c r="L47" s="2361"/>
      <c r="M47" s="2362"/>
      <c r="N47" s="2362"/>
      <c r="O47" s="2362"/>
      <c r="P47" s="3729" t="str">
        <f>A47</f>
        <v>比较价值（元/平方米）</v>
      </c>
      <c r="Q47" s="3729"/>
      <c r="R47" s="3752">
        <f>ROUND(PRODUCT(R46,AA7:AA45),0)</f>
        <v>12388</v>
      </c>
      <c r="S47" s="3752"/>
      <c r="T47" s="3752">
        <f>ROUND(PRODUCT(T46,AB7:AB45),0)</f>
        <v>14831</v>
      </c>
      <c r="U47" s="3752"/>
      <c r="V47" s="3752">
        <f>ROUND(PRODUCT(V46,AC7:AC45),0)</f>
        <v>14712</v>
      </c>
      <c r="W47" s="3752"/>
      <c r="X47" s="1306"/>
      <c r="Y47" s="1306"/>
      <c r="Z47" s="1306"/>
      <c r="AA47" s="1306"/>
      <c r="AB47" s="1306"/>
      <c r="AC47" s="1306"/>
    </row>
    <row r="48" spans="1:29" ht="15.75" thickBot="1">
      <c r="A48" s="115" t="s">
        <v>515</v>
      </c>
      <c r="B48" s="835"/>
      <c r="C48" s="836">
        <f>R48</f>
        <v>13977</v>
      </c>
      <c r="D48" s="836"/>
      <c r="E48" s="836"/>
      <c r="F48" s="836"/>
      <c r="G48" s="836"/>
      <c r="H48" s="836"/>
      <c r="I48" s="836"/>
      <c r="J48" s="836"/>
      <c r="K48" s="1401"/>
      <c r="L48" s="2361"/>
      <c r="M48" s="2362"/>
      <c r="N48" s="2362"/>
      <c r="O48" s="2362"/>
      <c r="P48" s="3749" t="str">
        <f>A48</f>
        <v>估价对象XX用房的比较价值（楼面单价，元/平方米）</v>
      </c>
      <c r="Q48" s="3750"/>
      <c r="R48" s="3753">
        <f>ROUND(AVERAGE(R47:V47),0)</f>
        <v>13977</v>
      </c>
      <c r="S48" s="3753"/>
      <c r="T48" s="3753"/>
      <c r="U48" s="3753"/>
      <c r="V48" s="3753"/>
      <c r="W48" s="3753"/>
      <c r="X48" s="1306"/>
      <c r="Y48" s="1306"/>
      <c r="Z48" s="1306"/>
      <c r="AA48" s="1306"/>
      <c r="AB48" s="1306"/>
      <c r="AC48" s="1306"/>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39" t="s">
        <v>411</v>
      </c>
      <c r="D51" s="840"/>
      <c r="E51" s="841">
        <f>IF(E46&lt;E47,E47/E46-1,E46/E47-1)</f>
        <v>5.586051017113336E-2</v>
      </c>
      <c r="F51" s="842" t="str">
        <f>IF(OR(E51&gt;=0.3,E51&lt;=-0.3),"超过30%","")</f>
        <v/>
      </c>
      <c r="G51" s="841">
        <f>IF(G46&lt;G47,G47/G46-1,G46/G47-1)</f>
        <v>0.22005593945376778</v>
      </c>
      <c r="H51" s="842" t="str">
        <f>IF(OR(G51&gt;=0.3,G51&lt;=-0.3),"超过30%","")</f>
        <v/>
      </c>
      <c r="I51" s="841">
        <f>IF(I46&lt;I47,I47/I46-1,I46/I47-1)</f>
        <v>3.0383360522022729E-2</v>
      </c>
      <c r="J51" s="842" t="str">
        <f>IF(OR(I51&gt;=0.3,I51&lt;=-0.3),"超过30%","")</f>
        <v/>
      </c>
      <c r="K51" s="2188"/>
      <c r="L51" s="2189"/>
      <c r="M51" s="2362"/>
      <c r="N51" s="2362"/>
      <c r="O51" s="2362"/>
    </row>
    <row r="52" spans="1:15" ht="13.5" customHeight="1">
      <c r="A52" s="2362"/>
      <c r="B52" s="2362"/>
      <c r="C52" s="839" t="s">
        <v>412</v>
      </c>
      <c r="D52" s="843"/>
      <c r="E52" s="841">
        <f>IF(E47&lt;G47,G47/E47-1,E47/G47-1)</f>
        <v>0.19720697449144331</v>
      </c>
      <c r="F52" s="842" t="str">
        <f>IF(OR(E52&gt;=0.2,E52&lt;=-0.2),"超过20%","")</f>
        <v/>
      </c>
      <c r="G52" s="841">
        <f>IF(G47&lt;I47,I47/G47-1,G47/I47-1)</f>
        <v>8.0886351277869029E-3</v>
      </c>
      <c r="H52" s="842" t="str">
        <f>IF(OR(G52&gt;=0.2,G52&lt;=-0.2),"超过20%","")</f>
        <v/>
      </c>
      <c r="I52" s="841">
        <f>IF(I47&lt;E47,E47/I47-1,I47/E47-1)</f>
        <v>0.1876009041007427</v>
      </c>
      <c r="J52" s="842" t="str">
        <f>IF(OR(I52&gt;=0.2,I52&lt;=-0.2),"超过20%","")</f>
        <v/>
      </c>
      <c r="K52" s="2188"/>
      <c r="L52" s="2189"/>
      <c r="M52" s="2362"/>
      <c r="N52" s="2362"/>
      <c r="O52" s="2362"/>
    </row>
    <row r="53" spans="1:15" s="844" customFormat="1" ht="13.5" customHeight="1">
      <c r="A53" s="2363"/>
      <c r="B53" s="2363"/>
      <c r="C53" s="839" t="s">
        <v>413</v>
      </c>
      <c r="D53" s="843"/>
      <c r="E53" s="841">
        <f>IF(E46&lt;G46,G46/E46-1,E46/G46-1)</f>
        <v>7.6011846001974304E-2</v>
      </c>
      <c r="F53" s="842" t="str">
        <f>IF(OR(E53&gt;=0.3,E53&lt;=-0.3),"超过30%","")</f>
        <v/>
      </c>
      <c r="G53" s="841">
        <f>IF(G46&lt;I46,I46/G46-1,G46/I46-1)</f>
        <v>0.24703849950641654</v>
      </c>
      <c r="H53" s="842" t="str">
        <f>IF(OR(G53&gt;=0.3,G53&lt;=-0.3),"超过30%","")</f>
        <v/>
      </c>
      <c r="I53" s="841">
        <f>IF(I46&lt;E46,E46/I46-1,I46/E46-1)</f>
        <v>0.15894495412844045</v>
      </c>
      <c r="J53" s="842" t="str">
        <f>IF(OR(I53&gt;=0.3,I53&lt;=-0.3),"超过30%","")</f>
        <v/>
      </c>
      <c r="K53" s="2366"/>
      <c r="L53" s="2367"/>
      <c r="M53" s="2363"/>
      <c r="N53" s="2363"/>
      <c r="O53" s="2363"/>
    </row>
    <row r="54" spans="1:15" s="844" customFormat="1" ht="15" thickBot="1">
      <c r="A54" s="2363"/>
      <c r="B54" s="2364"/>
      <c r="C54" s="1309"/>
      <c r="D54" s="1307"/>
      <c r="E54" s="1307"/>
      <c r="F54" s="1307"/>
      <c r="G54" s="1307"/>
      <c r="H54" s="1307"/>
      <c r="I54" s="1307"/>
      <c r="J54" s="1307"/>
      <c r="K54" s="2366"/>
      <c r="L54" s="2367"/>
      <c r="M54" s="2363"/>
      <c r="N54" s="2363"/>
      <c r="O54" s="2363"/>
    </row>
    <row r="55" spans="1:15" ht="27" customHeight="1">
      <c r="A55" s="1092" t="s">
        <v>490</v>
      </c>
      <c r="B55" s="1093" t="s">
        <v>491</v>
      </c>
      <c r="C55" s="1776" t="s">
        <v>1888</v>
      </c>
      <c r="D55" s="2393" t="s">
        <v>2322</v>
      </c>
      <c r="E55" s="1094" t="s">
        <v>492</v>
      </c>
      <c r="F55" s="2190" t="s">
        <v>493</v>
      </c>
      <c r="G55" s="3754" t="s">
        <v>2315</v>
      </c>
      <c r="H55" s="3755"/>
      <c r="I55" s="2191" t="s">
        <v>1887</v>
      </c>
      <c r="J55" s="2195" t="str">
        <f>项目基本情况!F35</f>
        <v>怀柔区</v>
      </c>
      <c r="K55" s="2376" t="s">
        <v>1889</v>
      </c>
      <c r="L55" s="2189"/>
      <c r="M55" s="2362"/>
      <c r="N55" s="2362"/>
      <c r="O55" s="2362"/>
    </row>
    <row r="56" spans="1:15" s="1100" customFormat="1">
      <c r="A56" s="1096" t="s">
        <v>494</v>
      </c>
      <c r="B56" s="1097">
        <f>C48</f>
        <v>13977</v>
      </c>
      <c r="C56" s="1098">
        <v>1</v>
      </c>
      <c r="D56" s="2394">
        <v>1</v>
      </c>
      <c r="E56" s="1098">
        <f>'数据-汇总表'!E8+'数据-汇总表'!E9</f>
        <v>12736.12000000001</v>
      </c>
      <c r="F56" s="2186">
        <f t="shared" ref="F56:F65" si="15">ROUND(B56*E56/10000,0)</f>
        <v>17801</v>
      </c>
      <c r="G56" s="3756"/>
      <c r="H56" s="3757"/>
      <c r="I56" s="2192">
        <v>1</v>
      </c>
      <c r="J56" s="2196">
        <v>1</v>
      </c>
      <c r="K56" s="2363"/>
      <c r="L56" s="1773"/>
      <c r="M56" s="1773"/>
      <c r="N56" s="1773"/>
      <c r="O56" s="1773"/>
    </row>
    <row r="57" spans="1:15" s="1100" customFormat="1">
      <c r="A57" s="1101" t="s">
        <v>495</v>
      </c>
      <c r="B57" s="594">
        <f>ROUND($C$48*C57*D57,0)</f>
        <v>2097</v>
      </c>
      <c r="C57" s="532">
        <f t="shared" ref="C57:C65" si="16">IF($C$55="北京市系数",I57,J57)</f>
        <v>0.6</v>
      </c>
      <c r="D57" s="2395">
        <v>0.25</v>
      </c>
      <c r="E57" s="1102"/>
      <c r="F57" s="2186">
        <f t="shared" si="15"/>
        <v>0</v>
      </c>
      <c r="G57" s="3758" t="s">
        <v>2316</v>
      </c>
      <c r="H57" s="2187" t="str">
        <f>项目基本情况!B37</f>
        <v>八级</v>
      </c>
      <c r="I57" s="2192">
        <f>SUMIF(修正!A45:A56,H57,修正!B45:B56)</f>
        <v>0.6</v>
      </c>
      <c r="J57" s="2197"/>
      <c r="K57" s="2362"/>
      <c r="L57" s="1773"/>
      <c r="M57" s="1773"/>
      <c r="N57" s="1773"/>
      <c r="O57" s="1773"/>
    </row>
    <row r="58" spans="1:15" s="1100" customFormat="1">
      <c r="A58" s="1101" t="s">
        <v>496</v>
      </c>
      <c r="B58" s="594">
        <f t="shared" ref="B58:B65" si="17">ROUND($C$48*C58*D58,0)</f>
        <v>1048</v>
      </c>
      <c r="C58" s="532">
        <f t="shared" si="16"/>
        <v>0.3</v>
      </c>
      <c r="D58" s="2395">
        <v>0.25</v>
      </c>
      <c r="E58" s="1102"/>
      <c r="F58" s="2186">
        <f t="shared" si="15"/>
        <v>0</v>
      </c>
      <c r="G58" s="3758"/>
      <c r="H58" s="2187" t="str">
        <f>项目基本情况!B37</f>
        <v>八级</v>
      </c>
      <c r="I58" s="2192">
        <f>SUMIF(修正!A45:A56,H58,修正!C45:C56)</f>
        <v>0.3</v>
      </c>
      <c r="J58" s="2197"/>
      <c r="K58" s="2363"/>
      <c r="L58" s="1773"/>
      <c r="M58" s="1773"/>
      <c r="N58" s="1773"/>
      <c r="O58" s="1773"/>
    </row>
    <row r="59" spans="1:15" s="1100" customFormat="1">
      <c r="A59" s="1101" t="s">
        <v>497</v>
      </c>
      <c r="B59" s="594">
        <f t="shared" si="17"/>
        <v>699</v>
      </c>
      <c r="C59" s="532">
        <f t="shared" si="16"/>
        <v>0.2</v>
      </c>
      <c r="D59" s="2395">
        <v>0.25</v>
      </c>
      <c r="E59" s="1102"/>
      <c r="F59" s="2186">
        <f t="shared" si="15"/>
        <v>0</v>
      </c>
      <c r="G59" s="3758"/>
      <c r="H59" s="2187" t="str">
        <f>项目基本情况!B37</f>
        <v>八级</v>
      </c>
      <c r="I59" s="2192">
        <f>SUMIF(修正!A45:A56,H59,修正!D45:D56)</f>
        <v>0.2</v>
      </c>
      <c r="J59" s="2197"/>
      <c r="K59" s="2362"/>
      <c r="L59" s="1773"/>
      <c r="M59" s="1773"/>
      <c r="N59" s="1773"/>
      <c r="O59" s="1773"/>
    </row>
    <row r="60" spans="1:15" s="1100" customFormat="1">
      <c r="A60" s="1101" t="s">
        <v>498</v>
      </c>
      <c r="B60" s="594">
        <f t="shared" si="17"/>
        <v>699</v>
      </c>
      <c r="C60" s="532">
        <f t="shared" si="16"/>
        <v>0.2</v>
      </c>
      <c r="D60" s="2395">
        <v>0.25</v>
      </c>
      <c r="E60" s="1102"/>
      <c r="F60" s="2186">
        <f t="shared" si="15"/>
        <v>0</v>
      </c>
      <c r="G60" s="3758"/>
      <c r="H60" s="2187" t="str">
        <f>项目基本情况!B37</f>
        <v>八级</v>
      </c>
      <c r="I60" s="2192">
        <f>SUMIF(修正!A45:A56,H60,修正!E45:E56)</f>
        <v>0.2</v>
      </c>
      <c r="J60" s="2197"/>
      <c r="K60" s="2363"/>
      <c r="L60" s="1773"/>
      <c r="M60" s="1773"/>
      <c r="N60" s="1773"/>
      <c r="O60" s="1773"/>
    </row>
    <row r="61" spans="1:15" s="1100" customFormat="1">
      <c r="A61" s="2515" t="s">
        <v>2397</v>
      </c>
      <c r="B61" s="594">
        <f t="shared" si="17"/>
        <v>699</v>
      </c>
      <c r="C61" s="532">
        <f t="shared" si="16"/>
        <v>0.2</v>
      </c>
      <c r="D61" s="2395">
        <v>0.25</v>
      </c>
      <c r="E61" s="593">
        <f>'数据-汇总表'!E11</f>
        <v>0</v>
      </c>
      <c r="F61" s="2186">
        <f t="shared" si="15"/>
        <v>0</v>
      </c>
      <c r="G61" s="2199" t="s">
        <v>2317</v>
      </c>
      <c r="H61" s="2187" t="str">
        <f>项目基本情况!C37</f>
        <v>八级</v>
      </c>
      <c r="I61" s="2192">
        <f>SUMIF(修正!A45:A56,H61,修正!F45:F56)</f>
        <v>0.2</v>
      </c>
      <c r="J61" s="2197"/>
      <c r="K61" s="2362"/>
      <c r="L61" s="1773"/>
      <c r="M61" s="1773"/>
      <c r="N61" s="1773"/>
      <c r="O61" s="1773"/>
    </row>
    <row r="62" spans="1:15" s="1100" customFormat="1">
      <c r="A62" s="1101" t="s">
        <v>499</v>
      </c>
      <c r="B62" s="594">
        <f t="shared" si="17"/>
        <v>699</v>
      </c>
      <c r="C62" s="532">
        <f t="shared" si="16"/>
        <v>0.2</v>
      </c>
      <c r="D62" s="2395">
        <v>0.25</v>
      </c>
      <c r="E62" s="593">
        <f>'数据-汇总表'!E12</f>
        <v>0</v>
      </c>
      <c r="F62" s="2186">
        <f t="shared" si="15"/>
        <v>0</v>
      </c>
      <c r="G62" s="2193" t="s">
        <v>141</v>
      </c>
      <c r="H62" s="2187" t="str">
        <f>IF(G62="商业",项目基本情况!B37,IF(G62="办公",项目基本情况!C37,IF(G62="住宅",项目基本情况!D37,项目基本情况!E37)))</f>
        <v>八级</v>
      </c>
      <c r="I62" s="2192">
        <f>SUMIF(修正!A45:A56,H62,修正!G45:G56)</f>
        <v>0.2</v>
      </c>
      <c r="J62" s="2197"/>
      <c r="K62" s="2363"/>
      <c r="L62" s="1773"/>
      <c r="M62" s="1773"/>
      <c r="N62" s="1773"/>
      <c r="O62" s="1773"/>
    </row>
    <row r="63" spans="1:15" s="1100" customFormat="1">
      <c r="A63" s="1101" t="s">
        <v>500</v>
      </c>
      <c r="B63" s="594">
        <f t="shared" si="17"/>
        <v>0</v>
      </c>
      <c r="C63" s="532">
        <f t="shared" si="16"/>
        <v>0</v>
      </c>
      <c r="D63" s="2395">
        <v>0.25</v>
      </c>
      <c r="E63" s="593">
        <f>'数据-汇总表'!E13</f>
        <v>0</v>
      </c>
      <c r="F63" s="2186">
        <f t="shared" si="15"/>
        <v>0</v>
      </c>
      <c r="G63" s="2193" t="s">
        <v>40</v>
      </c>
      <c r="H63" s="2187">
        <f>IF(G63="商业",项目基本情况!B37,IF(G63="办公",项目基本情况!C37,IF(G63="住宅",项目基本情况!D37,项目基本情况!E37)))</f>
        <v>0</v>
      </c>
      <c r="I63" s="2192">
        <f>SUMIF(修正!A45:A56,H63,修正!H45:H56)</f>
        <v>0</v>
      </c>
      <c r="J63" s="2197"/>
      <c r="K63" s="2362"/>
      <c r="L63" s="1773"/>
      <c r="M63" s="1773"/>
      <c r="N63" s="1773"/>
      <c r="O63" s="1773"/>
    </row>
    <row r="64" spans="1:15" s="1100" customFormat="1">
      <c r="A64" s="1101" t="s">
        <v>501</v>
      </c>
      <c r="B64" s="594">
        <f t="shared" si="17"/>
        <v>524</v>
      </c>
      <c r="C64" s="532">
        <f t="shared" si="16"/>
        <v>0.15</v>
      </c>
      <c r="D64" s="2395">
        <v>0.25</v>
      </c>
      <c r="E64" s="593">
        <f>'数据-汇总表'!E14</f>
        <v>0</v>
      </c>
      <c r="F64" s="2186">
        <f t="shared" si="15"/>
        <v>0</v>
      </c>
      <c r="G64" s="2199" t="s">
        <v>2318</v>
      </c>
      <c r="H64" s="2187" t="str">
        <f>项目基本情况!B37</f>
        <v>八级</v>
      </c>
      <c r="I64" s="2192">
        <f>SUMIF(修正!A45:A56,H64,修正!H45:H56)</f>
        <v>0.15</v>
      </c>
      <c r="J64" s="2197"/>
      <c r="K64" s="2363"/>
      <c r="L64" s="1773"/>
      <c r="M64" s="1773"/>
      <c r="N64" s="1773"/>
      <c r="O64" s="1773"/>
    </row>
    <row r="65" spans="1:17" s="1100" customFormat="1" ht="15" thickBot="1">
      <c r="A65" s="1101" t="s">
        <v>502</v>
      </c>
      <c r="B65" s="594">
        <f t="shared" si="17"/>
        <v>524</v>
      </c>
      <c r="C65" s="532">
        <f t="shared" si="16"/>
        <v>0.15</v>
      </c>
      <c r="D65" s="2395">
        <v>0.25</v>
      </c>
      <c r="E65" s="593">
        <f>'数据-汇总表'!E15</f>
        <v>0</v>
      </c>
      <c r="F65" s="2186">
        <f t="shared" si="15"/>
        <v>0</v>
      </c>
      <c r="G65" s="2200" t="s">
        <v>2317</v>
      </c>
      <c r="H65" s="2201" t="str">
        <f>项目基本情况!C37</f>
        <v>八级</v>
      </c>
      <c r="I65" s="2194">
        <f>SUMIF(修正!A45:A56,H65,修正!H45:H56)</f>
        <v>0.15</v>
      </c>
      <c r="J65" s="2198"/>
      <c r="K65" s="2362"/>
      <c r="L65" s="1773"/>
      <c r="M65" s="1773"/>
      <c r="N65" s="1773"/>
      <c r="O65" s="1773"/>
    </row>
    <row r="66" spans="1:17" s="1100" customFormat="1" ht="13.5" thickBot="1">
      <c r="A66" s="1103" t="s">
        <v>503</v>
      </c>
      <c r="B66" s="1104" t="s">
        <v>156</v>
      </c>
      <c r="C66" s="1104" t="s">
        <v>157</v>
      </c>
      <c r="D66" s="1104" t="s">
        <v>2323</v>
      </c>
      <c r="E66" s="1104">
        <f>IF(B46="楼面地价",SUM(E56:E65),'数据-汇总表'!D3)</f>
        <v>12736.12000000001</v>
      </c>
      <c r="F66" s="1105">
        <f>IF(B46="楼面地价",SUM(F56:F65),ROUND(C48*E66/10000,0))</f>
        <v>17801</v>
      </c>
      <c r="G66" s="1414"/>
      <c r="H66" s="1414"/>
      <c r="I66" s="1414"/>
      <c r="J66" s="1414"/>
      <c r="K66" s="2377"/>
      <c r="L66" s="1773"/>
      <c r="M66" s="1773"/>
      <c r="N66" s="1773"/>
      <c r="O66" s="1773"/>
    </row>
    <row r="67" spans="1:17">
      <c r="A67" s="1306"/>
      <c r="B67" s="1308"/>
      <c r="C67" s="1309"/>
      <c r="D67" s="1306"/>
      <c r="E67" s="1306"/>
      <c r="F67" s="1306"/>
      <c r="G67" s="1306"/>
      <c r="H67" s="1306"/>
      <c r="I67" s="1306"/>
      <c r="J67" s="2362"/>
      <c r="K67" s="2188"/>
      <c r="L67" s="2189"/>
      <c r="M67" s="2362"/>
      <c r="N67" s="2362"/>
      <c r="O67" s="2362"/>
    </row>
    <row r="68" spans="1:17">
      <c r="A68" s="1306"/>
      <c r="B68" s="1308"/>
      <c r="C68" s="1308" t="str">
        <f>YEAR(C7)&amp;"-"&amp;MONTH(C7)&amp;"-1"</f>
        <v>2017-9-1</v>
      </c>
      <c r="D68" s="1308">
        <f>EDATE(C68,-3)</f>
        <v>42887</v>
      </c>
      <c r="E68" s="1308">
        <f>EDATE(D68,-3)</f>
        <v>42795</v>
      </c>
      <c r="F68" s="1308">
        <f t="shared" ref="F68:O68" si="18">EDATE(E68,-3)</f>
        <v>42705</v>
      </c>
      <c r="G68" s="1308">
        <f t="shared" si="18"/>
        <v>42614</v>
      </c>
      <c r="H68" s="1308">
        <f t="shared" si="18"/>
        <v>42522</v>
      </c>
      <c r="I68" s="1308">
        <f t="shared" si="18"/>
        <v>42430</v>
      </c>
      <c r="J68" s="1308">
        <f t="shared" si="18"/>
        <v>42339</v>
      </c>
      <c r="K68" s="1308">
        <f t="shared" si="18"/>
        <v>42248</v>
      </c>
      <c r="L68" s="1308">
        <f t="shared" si="18"/>
        <v>42156</v>
      </c>
      <c r="M68" s="1308">
        <f t="shared" si="18"/>
        <v>42064</v>
      </c>
      <c r="N68" s="1308">
        <f t="shared" si="18"/>
        <v>41974</v>
      </c>
      <c r="O68" s="1308">
        <f t="shared" si="18"/>
        <v>41883</v>
      </c>
    </row>
    <row r="69" spans="1:17" ht="21.75" thickBot="1">
      <c r="A69" s="1310" t="s">
        <v>414</v>
      </c>
      <c r="B69" s="1306"/>
      <c r="C69" s="1311"/>
      <c r="D69" s="1311"/>
      <c r="E69" s="1311"/>
      <c r="F69" s="1312"/>
      <c r="G69" s="1312"/>
      <c r="H69" s="1311"/>
      <c r="I69" s="1311"/>
      <c r="J69" s="2378"/>
      <c r="K69" s="2379"/>
      <c r="L69" s="2380"/>
      <c r="M69" s="2378"/>
      <c r="N69" s="2378"/>
      <c r="O69" s="2378"/>
      <c r="P69" s="845"/>
      <c r="Q69" s="846"/>
    </row>
    <row r="70" spans="1:17" s="850" customFormat="1" ht="15">
      <c r="A70" s="2706" t="s">
        <v>2788</v>
      </c>
      <c r="B70" s="2707"/>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49"/>
    </row>
    <row r="71" spans="1:17" s="407" customFormat="1" ht="30" customHeight="1">
      <c r="A71" s="3039" t="s">
        <v>40</v>
      </c>
      <c r="B71" s="664" t="str">
        <f>"北京市平均增长率"&amp;TEXT(SUMIF(基准地价修正!N21:N25,A71,基准地价修正!P21:P25),"0.00%")</f>
        <v>北京市平均增长率2.75%</v>
      </c>
      <c r="C71" s="945">
        <v>100</v>
      </c>
      <c r="D71" s="937">
        <f>C71-1.5</f>
        <v>98.5</v>
      </c>
      <c r="E71" s="937">
        <f t="shared" ref="E71:O71" si="20">D71-1.5</f>
        <v>97</v>
      </c>
      <c r="F71" s="937">
        <f t="shared" si="20"/>
        <v>95.5</v>
      </c>
      <c r="G71" s="937">
        <f t="shared" si="20"/>
        <v>94</v>
      </c>
      <c r="H71" s="937">
        <f t="shared" si="20"/>
        <v>92.5</v>
      </c>
      <c r="I71" s="937">
        <f t="shared" si="20"/>
        <v>91</v>
      </c>
      <c r="J71" s="937">
        <f t="shared" si="20"/>
        <v>89.5</v>
      </c>
      <c r="K71" s="937">
        <f t="shared" si="20"/>
        <v>88</v>
      </c>
      <c r="L71" s="937">
        <f t="shared" si="20"/>
        <v>86.5</v>
      </c>
      <c r="M71" s="937">
        <f t="shared" si="20"/>
        <v>85</v>
      </c>
      <c r="N71" s="937">
        <f t="shared" si="20"/>
        <v>83.5</v>
      </c>
      <c r="O71" s="937">
        <f t="shared" si="20"/>
        <v>82</v>
      </c>
      <c r="P71" s="846"/>
    </row>
    <row r="72" spans="1:17" s="407" customFormat="1" ht="15.75" thickBot="1">
      <c r="A72" s="857" t="s">
        <v>415</v>
      </c>
      <c r="B72" s="858"/>
      <c r="C72" s="859"/>
      <c r="D72" s="860"/>
      <c r="E72" s="860"/>
      <c r="F72" s="860"/>
      <c r="G72" s="860"/>
      <c r="H72" s="860"/>
      <c r="I72" s="860"/>
      <c r="J72" s="860"/>
      <c r="K72" s="860"/>
      <c r="L72" s="860"/>
      <c r="M72" s="861"/>
      <c r="N72" s="860"/>
      <c r="O72" s="2381"/>
      <c r="P72" s="846"/>
      <c r="Q72" s="846"/>
    </row>
    <row r="73" spans="1:17" s="407" customFormat="1" ht="15">
      <c r="A73" s="863" t="s">
        <v>399</v>
      </c>
      <c r="B73" s="852"/>
      <c r="C73" s="864" t="s">
        <v>416</v>
      </c>
      <c r="D73" s="140"/>
      <c r="E73" s="140"/>
      <c r="F73" s="140"/>
      <c r="G73" s="140"/>
      <c r="H73" s="140"/>
      <c r="I73" s="140"/>
      <c r="J73" s="140"/>
      <c r="K73" s="140"/>
      <c r="L73" s="141"/>
      <c r="M73" s="1050"/>
      <c r="N73" s="2369"/>
      <c r="O73" s="2369"/>
      <c r="P73" s="868"/>
      <c r="Q73" s="846"/>
    </row>
    <row r="74" spans="1:17" s="407" customFormat="1" ht="15.75" thickBot="1">
      <c r="A74" s="863"/>
      <c r="B74" s="852"/>
      <c r="C74" s="981">
        <v>100</v>
      </c>
      <c r="D74" s="854"/>
      <c r="E74" s="854"/>
      <c r="F74" s="854"/>
      <c r="G74" s="854"/>
      <c r="H74" s="854"/>
      <c r="I74" s="854"/>
      <c r="J74" s="854"/>
      <c r="K74" s="854"/>
      <c r="L74" s="854"/>
      <c r="M74" s="856"/>
      <c r="N74" s="2369"/>
      <c r="O74" s="2369"/>
      <c r="P74" s="846"/>
      <c r="Q74" s="846"/>
    </row>
    <row r="75" spans="1:17">
      <c r="A75" s="869" t="s">
        <v>417</v>
      </c>
      <c r="B75" s="870" t="s">
        <v>418</v>
      </c>
      <c r="C75" s="122" t="s">
        <v>3277</v>
      </c>
      <c r="D75" s="122" t="s">
        <v>3278</v>
      </c>
      <c r="E75" s="122"/>
      <c r="F75" s="122"/>
      <c r="G75" s="122"/>
      <c r="H75" s="122"/>
      <c r="I75" s="122"/>
      <c r="J75" s="122"/>
      <c r="K75" s="123"/>
      <c r="L75" s="124"/>
      <c r="M75" s="125"/>
      <c r="N75" s="2370"/>
      <c r="O75" s="2370"/>
      <c r="P75" s="334"/>
      <c r="Q75" s="846"/>
    </row>
    <row r="76" spans="1:17" ht="15.75" thickBot="1">
      <c r="A76" s="876"/>
      <c r="B76" s="877"/>
      <c r="C76" s="878">
        <v>100</v>
      </c>
      <c r="D76" s="878">
        <v>95</v>
      </c>
      <c r="E76" s="878"/>
      <c r="F76" s="878"/>
      <c r="G76" s="878"/>
      <c r="H76" s="878"/>
      <c r="I76" s="878"/>
      <c r="J76" s="878"/>
      <c r="K76" s="878"/>
      <c r="L76" s="878"/>
      <c r="M76" s="879"/>
      <c r="N76" s="2371"/>
      <c r="O76" s="2371"/>
      <c r="P76" s="334"/>
      <c r="Q76" s="846"/>
    </row>
    <row r="77" spans="1:17" ht="27.75" thickTop="1">
      <c r="A77" s="876"/>
      <c r="B77" s="880" t="s">
        <v>403</v>
      </c>
      <c r="C77" s="881"/>
      <c r="D77" s="881"/>
      <c r="E77" s="881"/>
      <c r="F77" s="881"/>
      <c r="G77" s="881"/>
      <c r="H77" s="881"/>
      <c r="I77" s="881"/>
      <c r="J77" s="881"/>
      <c r="K77" s="882"/>
      <c r="L77" s="883"/>
      <c r="M77" s="884"/>
      <c r="N77" s="2370"/>
      <c r="O77" s="2370"/>
      <c r="P77" s="334"/>
      <c r="Q77" s="846"/>
    </row>
    <row r="78" spans="1:17" ht="15.75" thickBot="1">
      <c r="A78" s="876"/>
      <c r="B78" s="885"/>
      <c r="C78" s="886"/>
      <c r="D78" s="886"/>
      <c r="E78" s="886"/>
      <c r="F78" s="886"/>
      <c r="G78" s="886"/>
      <c r="H78" s="886"/>
      <c r="I78" s="886"/>
      <c r="J78" s="886"/>
      <c r="K78" s="886"/>
      <c r="L78" s="886"/>
      <c r="M78" s="887"/>
      <c r="N78" s="2371"/>
      <c r="O78" s="2371"/>
      <c r="P78" s="334"/>
      <c r="Q78" s="846"/>
    </row>
    <row r="79" spans="1:17" ht="15.75" thickTop="1">
      <c r="A79" s="876"/>
      <c r="B79" s="888" t="s">
        <v>404</v>
      </c>
      <c r="C79" s="889" t="str">
        <f>C80&amp;"（含）"&amp;"-"&amp;D80</f>
        <v>0（含）-1</v>
      </c>
      <c r="D79" s="889" t="str">
        <f t="shared" ref="D79:L79" si="21">D80&amp;"（含）"&amp;"-"&amp;E80</f>
        <v>1（含）-2</v>
      </c>
      <c r="E79" s="889" t="str">
        <f t="shared" si="21"/>
        <v>2（含）-3</v>
      </c>
      <c r="F79" s="889" t="str">
        <f t="shared" si="21"/>
        <v>3（含）-4</v>
      </c>
      <c r="G79" s="889" t="str">
        <f t="shared" si="21"/>
        <v>4（含）-5</v>
      </c>
      <c r="H79" s="889" t="str">
        <f t="shared" si="21"/>
        <v>5（含）-6</v>
      </c>
      <c r="I79" s="889" t="str">
        <f t="shared" si="21"/>
        <v>6（含）-7</v>
      </c>
      <c r="J79" s="889" t="str">
        <f t="shared" si="21"/>
        <v>7（含）-</v>
      </c>
      <c r="K79" s="889" t="str">
        <f t="shared" si="21"/>
        <v>（含）-</v>
      </c>
      <c r="L79" s="889" t="str">
        <f t="shared" si="21"/>
        <v>（含）-</v>
      </c>
      <c r="M79" s="791" t="str">
        <f>M80&amp;"（含）"&amp;"-"&amp;P80</f>
        <v>（含）-</v>
      </c>
      <c r="N79" s="2371"/>
      <c r="O79" s="2371"/>
      <c r="P79" s="334"/>
      <c r="Q79" s="846"/>
    </row>
    <row r="80" spans="1:17" ht="15">
      <c r="A80" s="876"/>
      <c r="B80" s="890"/>
      <c r="C80" s="891">
        <v>0</v>
      </c>
      <c r="D80" s="891">
        <v>1</v>
      </c>
      <c r="E80" s="891">
        <v>2</v>
      </c>
      <c r="F80" s="891">
        <v>3</v>
      </c>
      <c r="G80" s="891">
        <v>4</v>
      </c>
      <c r="H80" s="891">
        <v>5</v>
      </c>
      <c r="I80" s="891">
        <v>6</v>
      </c>
      <c r="J80" s="891">
        <v>7</v>
      </c>
      <c r="K80" s="892"/>
      <c r="L80" s="893"/>
      <c r="M80" s="894"/>
      <c r="N80" s="2370"/>
      <c r="O80" s="2370"/>
      <c r="P80" s="334"/>
      <c r="Q80" s="846"/>
    </row>
    <row r="81" spans="1:17" ht="15.75" thickBot="1">
      <c r="A81" s="876"/>
      <c r="B81" s="877"/>
      <c r="C81" s="886">
        <v>100</v>
      </c>
      <c r="D81" s="886">
        <f t="shared" ref="D81:M81" si="22">IF($B$46="单位面积地价",C81+$K11,C81-$K11)</f>
        <v>95.5</v>
      </c>
      <c r="E81" s="886">
        <f t="shared" si="22"/>
        <v>91</v>
      </c>
      <c r="F81" s="886">
        <f t="shared" si="22"/>
        <v>86.5</v>
      </c>
      <c r="G81" s="886">
        <f t="shared" si="22"/>
        <v>82</v>
      </c>
      <c r="H81" s="886">
        <f t="shared" si="22"/>
        <v>77.5</v>
      </c>
      <c r="I81" s="886">
        <f t="shared" si="22"/>
        <v>73</v>
      </c>
      <c r="J81" s="886">
        <f t="shared" si="22"/>
        <v>68.5</v>
      </c>
      <c r="K81" s="886">
        <f t="shared" si="22"/>
        <v>64</v>
      </c>
      <c r="L81" s="886">
        <f t="shared" si="22"/>
        <v>59.5</v>
      </c>
      <c r="M81" s="886">
        <f t="shared" si="22"/>
        <v>55</v>
      </c>
      <c r="N81" s="2371"/>
      <c r="O81" s="2371"/>
      <c r="P81" s="334"/>
      <c r="Q81" s="846"/>
    </row>
    <row r="82" spans="1:17" s="813" customFormat="1" ht="15.75" thickTop="1">
      <c r="A82" s="895"/>
      <c r="B82" s="880" t="str">
        <f>B12</f>
        <v>配建</v>
      </c>
      <c r="C82" s="139"/>
      <c r="D82" s="139"/>
      <c r="E82" s="139"/>
      <c r="F82" s="139"/>
      <c r="G82" s="139"/>
      <c r="H82" s="1058"/>
      <c r="I82" s="1058"/>
      <c r="J82" s="1058"/>
      <c r="K82" s="1058"/>
      <c r="L82" s="1059"/>
      <c r="M82" s="1060"/>
      <c r="N82" s="2372"/>
      <c r="O82" s="2372"/>
      <c r="P82" s="900"/>
      <c r="Q82" s="901"/>
    </row>
    <row r="83" spans="1:17" s="813" customFormat="1" ht="15.75" thickBot="1">
      <c r="A83" s="895"/>
      <c r="B83" s="885"/>
      <c r="C83" s="902"/>
      <c r="D83" s="878"/>
      <c r="E83" s="878"/>
      <c r="F83" s="878"/>
      <c r="G83" s="878"/>
      <c r="H83" s="878"/>
      <c r="I83" s="878"/>
      <c r="J83" s="878"/>
      <c r="K83" s="878"/>
      <c r="L83" s="878"/>
      <c r="M83" s="879"/>
      <c r="N83" s="2371"/>
      <c r="O83" s="2371"/>
      <c r="P83" s="900"/>
      <c r="Q83" s="901"/>
    </row>
    <row r="84" spans="1:17" s="813" customFormat="1" ht="15.75" thickTop="1">
      <c r="A84" s="895"/>
      <c r="B84" s="880">
        <f>B13</f>
        <v>111</v>
      </c>
      <c r="C84" s="139"/>
      <c r="D84" s="139"/>
      <c r="E84" s="139"/>
      <c r="F84" s="139"/>
      <c r="G84" s="139"/>
      <c r="H84" s="1058"/>
      <c r="I84" s="1058"/>
      <c r="J84" s="1058"/>
      <c r="K84" s="1058"/>
      <c r="L84" s="1059"/>
      <c r="M84" s="1060"/>
      <c r="N84" s="2372"/>
      <c r="O84" s="2372"/>
      <c r="P84" s="812"/>
      <c r="Q84" s="903"/>
    </row>
    <row r="85" spans="1:17" s="813" customFormat="1" ht="15.75" thickBot="1">
      <c r="A85" s="895"/>
      <c r="B85" s="885"/>
      <c r="C85" s="902"/>
      <c r="D85" s="902"/>
      <c r="E85" s="902"/>
      <c r="F85" s="902"/>
      <c r="G85" s="902"/>
      <c r="H85" s="904"/>
      <c r="I85" s="904"/>
      <c r="J85" s="904"/>
      <c r="K85" s="904"/>
      <c r="L85" s="904"/>
      <c r="M85" s="905"/>
      <c r="N85" s="2372"/>
      <c r="O85" s="2372"/>
      <c r="P85" s="900"/>
      <c r="Q85" s="901"/>
    </row>
    <row r="86" spans="1:17" s="813" customFormat="1" ht="15.75" thickTop="1">
      <c r="A86" s="895"/>
      <c r="B86" s="888">
        <f>B14</f>
        <v>111</v>
      </c>
      <c r="C86" s="140"/>
      <c r="D86" s="140"/>
      <c r="E86" s="140"/>
      <c r="F86" s="140"/>
      <c r="G86" s="140"/>
      <c r="H86" s="1065"/>
      <c r="I86" s="1065"/>
      <c r="J86" s="1065"/>
      <c r="K86" s="1065"/>
      <c r="L86" s="1066"/>
      <c r="M86" s="1067"/>
      <c r="N86" s="2372"/>
      <c r="O86" s="2372"/>
      <c r="P86" s="909"/>
      <c r="Q86" s="901"/>
    </row>
    <row r="87" spans="1:17" s="813" customFormat="1" ht="15.75" thickBot="1">
      <c r="A87" s="910"/>
      <c r="B87" s="911"/>
      <c r="C87" s="912"/>
      <c r="D87" s="912"/>
      <c r="E87" s="912"/>
      <c r="F87" s="912"/>
      <c r="G87" s="912"/>
      <c r="H87" s="913"/>
      <c r="I87" s="913"/>
      <c r="J87" s="913"/>
      <c r="K87" s="913"/>
      <c r="L87" s="913"/>
      <c r="M87" s="914"/>
      <c r="N87" s="2372"/>
      <c r="O87" s="2372"/>
      <c r="P87" s="900"/>
      <c r="Q87" s="901"/>
    </row>
    <row r="88" spans="1:17">
      <c r="A88" s="869" t="s">
        <v>405</v>
      </c>
      <c r="B88" s="870" t="s">
        <v>423</v>
      </c>
      <c r="C88" s="915" t="s">
        <v>424</v>
      </c>
      <c r="D88" s="915" t="s">
        <v>425</v>
      </c>
      <c r="E88" s="915" t="s">
        <v>426</v>
      </c>
      <c r="F88" s="915" t="s">
        <v>427</v>
      </c>
      <c r="G88" s="915" t="s">
        <v>428</v>
      </c>
      <c r="H88" s="871"/>
      <c r="I88" s="871"/>
      <c r="J88" s="871"/>
      <c r="K88" s="916"/>
      <c r="L88" s="917"/>
      <c r="M88" s="918"/>
      <c r="N88" s="2370"/>
      <c r="O88" s="2370"/>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1"/>
      <c r="O89" s="2371"/>
      <c r="P89" s="334"/>
      <c r="Q89" s="846"/>
    </row>
    <row r="90" spans="1:17" ht="15.75" thickTop="1">
      <c r="A90" s="876"/>
      <c r="B90" s="880" t="s">
        <v>504</v>
      </c>
      <c r="C90" s="920" t="s">
        <v>424</v>
      </c>
      <c r="D90" s="920" t="s">
        <v>425</v>
      </c>
      <c r="E90" s="920" t="s">
        <v>426</v>
      </c>
      <c r="F90" s="920" t="s">
        <v>427</v>
      </c>
      <c r="G90" s="920" t="s">
        <v>428</v>
      </c>
      <c r="H90" s="881"/>
      <c r="I90" s="881"/>
      <c r="J90" s="881"/>
      <c r="K90" s="882"/>
      <c r="L90" s="883"/>
      <c r="M90" s="884"/>
      <c r="N90" s="2370"/>
      <c r="O90" s="2370"/>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1"/>
      <c r="O91" s="2371"/>
      <c r="P91" s="334"/>
      <c r="Q91" s="846"/>
    </row>
    <row r="92" spans="1:17" ht="15.75" thickTop="1">
      <c r="A92" s="876"/>
      <c r="B92" s="880" t="s">
        <v>442</v>
      </c>
      <c r="C92" s="920" t="s">
        <v>424</v>
      </c>
      <c r="D92" s="920" t="s">
        <v>425</v>
      </c>
      <c r="E92" s="920" t="s">
        <v>426</v>
      </c>
      <c r="F92" s="920" t="s">
        <v>427</v>
      </c>
      <c r="G92" s="920" t="s">
        <v>428</v>
      </c>
      <c r="H92" s="881"/>
      <c r="I92" s="881"/>
      <c r="J92" s="881"/>
      <c r="K92" s="882"/>
      <c r="L92" s="883"/>
      <c r="M92" s="884"/>
      <c r="N92" s="2370"/>
      <c r="O92" s="2370"/>
      <c r="P92" s="334"/>
      <c r="Q92" s="846"/>
    </row>
    <row r="93" spans="1:17" ht="15.75" thickBot="1">
      <c r="A93" s="876"/>
      <c r="B93" s="885"/>
      <c r="C93" s="886">
        <v>100</v>
      </c>
      <c r="D93" s="886">
        <f>C93-$K19</f>
        <v>98</v>
      </c>
      <c r="E93" s="886">
        <f>D93-$K19</f>
        <v>96</v>
      </c>
      <c r="F93" s="886">
        <f>E93-$K19</f>
        <v>94</v>
      </c>
      <c r="G93" s="886">
        <f>F93-$K19</f>
        <v>92</v>
      </c>
      <c r="H93" s="886"/>
      <c r="I93" s="886"/>
      <c r="J93" s="886"/>
      <c r="K93" s="886"/>
      <c r="L93" s="886"/>
      <c r="M93" s="887"/>
      <c r="N93" s="2371"/>
      <c r="O93" s="2371"/>
      <c r="P93" s="334"/>
      <c r="Q93" s="846"/>
    </row>
    <row r="94" spans="1:17" ht="15.75" thickTop="1">
      <c r="A94" s="876"/>
      <c r="B94" s="880" t="s">
        <v>429</v>
      </c>
      <c r="C94" s="920" t="s">
        <v>424</v>
      </c>
      <c r="D94" s="920" t="s">
        <v>425</v>
      </c>
      <c r="E94" s="920" t="s">
        <v>426</v>
      </c>
      <c r="F94" s="920" t="s">
        <v>427</v>
      </c>
      <c r="G94" s="920" t="s">
        <v>428</v>
      </c>
      <c r="H94" s="881"/>
      <c r="I94" s="881"/>
      <c r="J94" s="881"/>
      <c r="K94" s="882"/>
      <c r="L94" s="883"/>
      <c r="M94" s="884"/>
      <c r="N94" s="2370"/>
      <c r="O94" s="2370"/>
      <c r="P94" s="334"/>
      <c r="Q94" s="846"/>
    </row>
    <row r="95" spans="1:17" ht="15.75" thickBot="1">
      <c r="A95" s="876"/>
      <c r="B95" s="885"/>
      <c r="C95" s="886">
        <v>100</v>
      </c>
      <c r="D95" s="886">
        <f>C95-$K21</f>
        <v>99</v>
      </c>
      <c r="E95" s="886">
        <f>D95-$K21</f>
        <v>98</v>
      </c>
      <c r="F95" s="886">
        <f>E95-$K21</f>
        <v>97</v>
      </c>
      <c r="G95" s="886">
        <f>F95-$K21</f>
        <v>96</v>
      </c>
      <c r="H95" s="886"/>
      <c r="I95" s="886"/>
      <c r="J95" s="886"/>
      <c r="K95" s="886"/>
      <c r="L95" s="886"/>
      <c r="M95" s="887"/>
      <c r="N95" s="2371"/>
      <c r="O95" s="2371"/>
      <c r="P95" s="334"/>
      <c r="Q95" s="846"/>
    </row>
    <row r="96" spans="1:17" s="407" customFormat="1" ht="27.75" thickTop="1">
      <c r="A96" s="921"/>
      <c r="B96" s="880" t="s">
        <v>505</v>
      </c>
      <c r="C96" s="920" t="s">
        <v>424</v>
      </c>
      <c r="D96" s="920" t="s">
        <v>425</v>
      </c>
      <c r="E96" s="920" t="s">
        <v>426</v>
      </c>
      <c r="F96" s="920" t="s">
        <v>427</v>
      </c>
      <c r="G96" s="920" t="s">
        <v>428</v>
      </c>
      <c r="H96" s="920"/>
      <c r="I96" s="920"/>
      <c r="J96" s="920"/>
      <c r="K96" s="920"/>
      <c r="L96" s="1106"/>
      <c r="M96" s="964"/>
      <c r="N96" s="2369"/>
      <c r="O96" s="2369"/>
      <c r="P96" s="334"/>
      <c r="Q96" s="846"/>
    </row>
    <row r="97" spans="1:17" s="407" customFormat="1" ht="15.75" thickBot="1">
      <c r="A97" s="921"/>
      <c r="B97" s="885"/>
      <c r="C97" s="924">
        <v>100</v>
      </c>
      <c r="D97" s="886">
        <f>C97-$K23</f>
        <v>98</v>
      </c>
      <c r="E97" s="886">
        <f>D97-$K23</f>
        <v>96</v>
      </c>
      <c r="F97" s="886">
        <f>E97-$K23</f>
        <v>94</v>
      </c>
      <c r="G97" s="886">
        <f>F97-$K23</f>
        <v>92</v>
      </c>
      <c r="H97" s="886"/>
      <c r="I97" s="886"/>
      <c r="J97" s="886"/>
      <c r="K97" s="886"/>
      <c r="L97" s="886"/>
      <c r="M97" s="887"/>
      <c r="N97" s="2371"/>
      <c r="O97" s="2371"/>
      <c r="P97" s="334"/>
      <c r="Q97" s="846"/>
    </row>
    <row r="98" spans="1:17" s="407" customFormat="1" ht="27.75" thickTop="1">
      <c r="A98" s="921"/>
      <c r="B98" s="880" t="s">
        <v>506</v>
      </c>
      <c r="C98" s="915" t="s">
        <v>424</v>
      </c>
      <c r="D98" s="915" t="s">
        <v>425</v>
      </c>
      <c r="E98" s="915" t="s">
        <v>426</v>
      </c>
      <c r="F98" s="915" t="s">
        <v>427</v>
      </c>
      <c r="G98" s="915" t="s">
        <v>428</v>
      </c>
      <c r="H98" s="920"/>
      <c r="I98" s="920"/>
      <c r="J98" s="920"/>
      <c r="K98" s="920"/>
      <c r="L98" s="920"/>
      <c r="M98" s="964"/>
      <c r="N98" s="2369"/>
      <c r="O98" s="2369"/>
      <c r="P98" s="334"/>
      <c r="Q98" s="846"/>
    </row>
    <row r="99" spans="1:17" s="407" customFormat="1" ht="15.75" thickBot="1">
      <c r="A99" s="921"/>
      <c r="B99" s="885"/>
      <c r="C99" s="886">
        <v>100</v>
      </c>
      <c r="D99" s="886">
        <f>C99-$K25</f>
        <v>98</v>
      </c>
      <c r="E99" s="886">
        <f>D99-$K25</f>
        <v>96</v>
      </c>
      <c r="F99" s="886">
        <f>E99-$K25</f>
        <v>94</v>
      </c>
      <c r="G99" s="886">
        <f>F99-$K25</f>
        <v>92</v>
      </c>
      <c r="H99" s="886"/>
      <c r="I99" s="886"/>
      <c r="J99" s="886"/>
      <c r="K99" s="886"/>
      <c r="L99" s="886"/>
      <c r="M99" s="887"/>
      <c r="N99" s="2371"/>
      <c r="O99" s="2371"/>
      <c r="P99" s="334"/>
      <c r="Q99" s="846"/>
    </row>
    <row r="100" spans="1:17" s="813" customFormat="1" ht="15.75" thickTop="1">
      <c r="A100" s="895"/>
      <c r="B100" s="1053" t="s">
        <v>2665</v>
      </c>
      <c r="C100" s="915" t="s">
        <v>424</v>
      </c>
      <c r="D100" s="915" t="s">
        <v>425</v>
      </c>
      <c r="E100" s="915" t="s">
        <v>426</v>
      </c>
      <c r="F100" s="915" t="s">
        <v>427</v>
      </c>
      <c r="G100" s="915" t="s">
        <v>428</v>
      </c>
      <c r="H100" s="942"/>
      <c r="I100" s="942"/>
      <c r="J100" s="942"/>
      <c r="K100" s="942"/>
      <c r="L100" s="943"/>
      <c r="M100" s="944"/>
      <c r="N100" s="2372"/>
      <c r="O100" s="2372"/>
      <c r="P100" s="900"/>
      <c r="Q100" s="901"/>
    </row>
    <row r="101" spans="1:17" s="813" customFormat="1" ht="15.75" thickBot="1">
      <c r="A101" s="895"/>
      <c r="B101" s="885"/>
      <c r="C101" s="886">
        <v>100</v>
      </c>
      <c r="D101" s="886">
        <f>C101-$K27</f>
        <v>99</v>
      </c>
      <c r="E101" s="886">
        <f>D101-$K27</f>
        <v>98</v>
      </c>
      <c r="F101" s="886">
        <f>E101-$K27</f>
        <v>97</v>
      </c>
      <c r="G101" s="886">
        <f>F101-$K27</f>
        <v>96</v>
      </c>
      <c r="H101" s="949"/>
      <c r="I101" s="949"/>
      <c r="J101" s="949"/>
      <c r="K101" s="949"/>
      <c r="L101" s="949"/>
      <c r="M101" s="950"/>
      <c r="N101" s="2372"/>
      <c r="O101" s="2372"/>
      <c r="P101" s="900"/>
      <c r="Q101" s="901"/>
    </row>
    <row r="102" spans="1:17" s="813" customFormat="1" ht="15.75" thickTop="1">
      <c r="A102" s="895"/>
      <c r="B102" s="1055" t="s">
        <v>2652</v>
      </c>
      <c r="C102" s="213" t="s">
        <v>2653</v>
      </c>
      <c r="D102" s="213" t="s">
        <v>2654</v>
      </c>
      <c r="E102" s="213" t="s">
        <v>2655</v>
      </c>
      <c r="F102" s="213" t="s">
        <v>2656</v>
      </c>
      <c r="G102" s="213" t="s">
        <v>2657</v>
      </c>
      <c r="H102" s="942"/>
      <c r="I102" s="942"/>
      <c r="J102" s="942"/>
      <c r="K102" s="942"/>
      <c r="L102" s="942"/>
      <c r="M102" s="2770"/>
      <c r="N102" s="2372"/>
      <c r="O102" s="2372"/>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70"/>
      <c r="N103" s="2372"/>
      <c r="O103" s="2372"/>
      <c r="P103" s="900"/>
      <c r="Q103" s="901"/>
    </row>
    <row r="104" spans="1:17" ht="15.75" thickTop="1">
      <c r="A104" s="876"/>
      <c r="B104" s="1053" t="str">
        <f>B31</f>
        <v>临街状况</v>
      </c>
      <c r="C104" s="881" t="s">
        <v>507</v>
      </c>
      <c r="D104" s="881" t="s">
        <v>508</v>
      </c>
      <c r="E104" s="881" t="s">
        <v>509</v>
      </c>
      <c r="F104" s="881" t="s">
        <v>510</v>
      </c>
      <c r="G104" s="881"/>
      <c r="H104" s="881"/>
      <c r="I104" s="881"/>
      <c r="J104" s="881"/>
      <c r="K104" s="882"/>
      <c r="L104" s="883"/>
      <c r="M104" s="884"/>
      <c r="N104" s="2370"/>
      <c r="O104" s="2370"/>
      <c r="P104" s="334"/>
      <c r="Q104" s="846"/>
    </row>
    <row r="105" spans="1:17" ht="15.75" thickBot="1">
      <c r="A105" s="876"/>
      <c r="B105" s="885"/>
      <c r="C105" s="886">
        <v>100</v>
      </c>
      <c r="D105" s="886">
        <f>C105-$K31</f>
        <v>99</v>
      </c>
      <c r="E105" s="886">
        <f t="shared" ref="E105:M105" si="23">D105-$K31</f>
        <v>98</v>
      </c>
      <c r="F105" s="886">
        <f t="shared" si="23"/>
        <v>97</v>
      </c>
      <c r="G105" s="886">
        <f t="shared" si="23"/>
        <v>96</v>
      </c>
      <c r="H105" s="886">
        <f t="shared" si="23"/>
        <v>95</v>
      </c>
      <c r="I105" s="886">
        <f t="shared" si="23"/>
        <v>94</v>
      </c>
      <c r="J105" s="886">
        <f t="shared" si="23"/>
        <v>93</v>
      </c>
      <c r="K105" s="886">
        <f t="shared" si="23"/>
        <v>92</v>
      </c>
      <c r="L105" s="886">
        <f t="shared" si="23"/>
        <v>91</v>
      </c>
      <c r="M105" s="886">
        <f t="shared" si="23"/>
        <v>90</v>
      </c>
      <c r="N105" s="2371"/>
      <c r="O105" s="2371"/>
      <c r="P105" s="334"/>
      <c r="Q105" s="846"/>
    </row>
    <row r="106" spans="1:17" ht="27.75" thickTop="1">
      <c r="A106" s="876"/>
      <c r="B106" s="880" t="s">
        <v>441</v>
      </c>
      <c r="C106" s="139" t="s">
        <v>3283</v>
      </c>
      <c r="D106" s="139" t="s">
        <v>3285</v>
      </c>
      <c r="E106" s="139" t="s">
        <v>3287</v>
      </c>
      <c r="F106" s="139" t="s">
        <v>3289</v>
      </c>
      <c r="G106" s="139"/>
      <c r="H106" s="131"/>
      <c r="I106" s="131"/>
      <c r="J106" s="131"/>
      <c r="K106" s="132"/>
      <c r="L106" s="133"/>
      <c r="M106" s="134"/>
      <c r="N106" s="2370"/>
      <c r="O106" s="2370"/>
      <c r="P106" s="334"/>
      <c r="Q106" s="846"/>
    </row>
    <row r="107" spans="1:17" ht="15.75" thickBot="1">
      <c r="A107" s="876"/>
      <c r="B107" s="885"/>
      <c r="C107" s="886">
        <v>100</v>
      </c>
      <c r="D107" s="886">
        <f>C107-$K32</f>
        <v>99</v>
      </c>
      <c r="E107" s="886">
        <f t="shared" ref="E107:M107" si="24">D107-$K32</f>
        <v>98</v>
      </c>
      <c r="F107" s="886">
        <f t="shared" si="24"/>
        <v>97</v>
      </c>
      <c r="G107" s="886">
        <f t="shared" si="24"/>
        <v>96</v>
      </c>
      <c r="H107" s="886">
        <f t="shared" si="24"/>
        <v>95</v>
      </c>
      <c r="I107" s="886">
        <f t="shared" si="24"/>
        <v>94</v>
      </c>
      <c r="J107" s="886">
        <f t="shared" si="24"/>
        <v>93</v>
      </c>
      <c r="K107" s="886">
        <f t="shared" si="24"/>
        <v>92</v>
      </c>
      <c r="L107" s="886">
        <f t="shared" si="24"/>
        <v>91</v>
      </c>
      <c r="M107" s="886">
        <f t="shared" si="24"/>
        <v>90</v>
      </c>
      <c r="N107" s="2371"/>
      <c r="O107" s="2371"/>
      <c r="P107" s="334"/>
      <c r="Q107" s="846"/>
    </row>
    <row r="108" spans="1:17" ht="15.75" thickTop="1">
      <c r="A108" s="876"/>
      <c r="B108" s="880" t="s">
        <v>484</v>
      </c>
      <c r="C108" s="131"/>
      <c r="D108" s="131"/>
      <c r="E108" s="131"/>
      <c r="F108" s="131"/>
      <c r="G108" s="131"/>
      <c r="H108" s="131"/>
      <c r="I108" s="131"/>
      <c r="J108" s="131"/>
      <c r="K108" s="132"/>
      <c r="L108" s="133"/>
      <c r="M108" s="134"/>
      <c r="N108" s="2370"/>
      <c r="O108" s="2370"/>
      <c r="P108" s="334"/>
      <c r="Q108" s="846"/>
    </row>
    <row r="109" spans="1:17" ht="15.75" thickBot="1">
      <c r="A109" s="876"/>
      <c r="B109" s="885"/>
      <c r="C109" s="886">
        <v>100</v>
      </c>
      <c r="D109" s="886">
        <f>C109-$K34</f>
        <v>100</v>
      </c>
      <c r="E109" s="886">
        <f t="shared" ref="E109:M109" si="25">D109-$K34</f>
        <v>100</v>
      </c>
      <c r="F109" s="886">
        <f t="shared" si="25"/>
        <v>100</v>
      </c>
      <c r="G109" s="886">
        <f t="shared" si="25"/>
        <v>100</v>
      </c>
      <c r="H109" s="886">
        <f t="shared" si="25"/>
        <v>100</v>
      </c>
      <c r="I109" s="886">
        <f t="shared" si="25"/>
        <v>100</v>
      </c>
      <c r="J109" s="886">
        <f t="shared" si="25"/>
        <v>100</v>
      </c>
      <c r="K109" s="886">
        <f t="shared" si="25"/>
        <v>100</v>
      </c>
      <c r="L109" s="886">
        <f t="shared" si="25"/>
        <v>100</v>
      </c>
      <c r="M109" s="886">
        <f t="shared" si="25"/>
        <v>100</v>
      </c>
      <c r="N109" s="2371"/>
      <c r="O109" s="2371"/>
      <c r="P109" s="334"/>
      <c r="Q109" s="846"/>
    </row>
    <row r="110" spans="1:17" ht="15.75" thickTop="1">
      <c r="A110" s="876"/>
      <c r="B110" s="888">
        <f>B35</f>
        <v>111</v>
      </c>
      <c r="C110" s="139"/>
      <c r="D110" s="139"/>
      <c r="E110" s="139"/>
      <c r="F110" s="139"/>
      <c r="G110" s="135"/>
      <c r="H110" s="135"/>
      <c r="I110" s="135"/>
      <c r="J110" s="135"/>
      <c r="K110" s="136"/>
      <c r="L110" s="137"/>
      <c r="M110" s="138"/>
      <c r="N110" s="2370"/>
      <c r="O110" s="2370"/>
      <c r="P110" s="334"/>
      <c r="Q110" s="846"/>
    </row>
    <row r="111" spans="1:17" ht="15.75" thickBot="1">
      <c r="A111" s="876"/>
      <c r="B111" s="911"/>
      <c r="C111" s="902"/>
      <c r="D111" s="902"/>
      <c r="E111" s="902"/>
      <c r="F111" s="902"/>
      <c r="G111" s="933"/>
      <c r="H111" s="933"/>
      <c r="I111" s="933"/>
      <c r="J111" s="933"/>
      <c r="K111" s="933"/>
      <c r="L111" s="933"/>
      <c r="M111" s="934"/>
      <c r="N111" s="2371"/>
      <c r="O111" s="2371"/>
      <c r="P111" s="334"/>
      <c r="Q111" s="846"/>
    </row>
    <row r="112" spans="1:17" ht="15" thickTop="1">
      <c r="A112" s="1083"/>
      <c r="B112" s="880">
        <f>B36</f>
        <v>111</v>
      </c>
      <c r="C112" s="140"/>
      <c r="D112" s="140"/>
      <c r="E112" s="140"/>
      <c r="F112" s="140"/>
      <c r="G112" s="131"/>
      <c r="H112" s="131"/>
      <c r="I112" s="131"/>
      <c r="J112" s="131"/>
      <c r="K112" s="132"/>
      <c r="L112" s="133"/>
      <c r="M112" s="134"/>
      <c r="N112" s="2370"/>
      <c r="O112" s="2370"/>
      <c r="P112" s="334"/>
      <c r="Q112" s="846"/>
    </row>
    <row r="113" spans="1:17" ht="15.75" thickBot="1">
      <c r="A113" s="876"/>
      <c r="B113" s="885"/>
      <c r="C113" s="912"/>
      <c r="D113" s="912"/>
      <c r="E113" s="912"/>
      <c r="F113" s="912"/>
      <c r="G113" s="878"/>
      <c r="H113" s="878"/>
      <c r="I113" s="878"/>
      <c r="J113" s="878"/>
      <c r="K113" s="878"/>
      <c r="L113" s="878"/>
      <c r="M113" s="879"/>
      <c r="N113" s="2371"/>
      <c r="O113" s="2371"/>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2"/>
      <c r="O114" s="2372"/>
      <c r="P114" s="900"/>
      <c r="Q114" s="901"/>
    </row>
    <row r="115" spans="1:17" s="813" customFormat="1" ht="15.75" thickBot="1">
      <c r="A115" s="895"/>
      <c r="B115" s="888"/>
      <c r="C115" s="854"/>
      <c r="D115" s="1085"/>
      <c r="E115" s="1085"/>
      <c r="F115" s="1085"/>
      <c r="G115" s="1085"/>
      <c r="H115" s="1085"/>
      <c r="I115" s="1085"/>
      <c r="J115" s="1085"/>
      <c r="K115" s="1085"/>
      <c r="L115" s="1085"/>
      <c r="M115" s="1107"/>
      <c r="N115" s="2371"/>
      <c r="O115" s="2371"/>
      <c r="P115" s="900"/>
      <c r="Q115" s="901"/>
    </row>
    <row r="116" spans="1:17" ht="36" customHeight="1" thickBot="1">
      <c r="A116" s="869" t="s">
        <v>407</v>
      </c>
      <c r="B116" s="870" t="s">
        <v>511</v>
      </c>
      <c r="C116" s="3407" t="str">
        <f>C117&amp;"（含）"&amp;"-"&amp;D117</f>
        <v>0（含）-20000</v>
      </c>
      <c r="D116" s="3407" t="str">
        <f t="shared" ref="D116" si="26">D117&amp;"（含）"&amp;"-"&amp;E117</f>
        <v>20000（含）-50000</v>
      </c>
      <c r="E116" s="3407" t="str">
        <f t="shared" ref="E116" si="27">E117&amp;"（含）"&amp;"-"&amp;F117</f>
        <v>50000（含）-80000</v>
      </c>
      <c r="F116" s="3407" t="str">
        <f t="shared" ref="F116" si="28">F117&amp;"（含）"&amp;"-"&amp;G117</f>
        <v>80000（含）-110000</v>
      </c>
      <c r="G116" s="3407" t="str">
        <f t="shared" ref="G116" si="29">G117&amp;"（含）"&amp;"-"&amp;H117</f>
        <v>110000（含）-</v>
      </c>
      <c r="H116" s="3407" t="str">
        <f t="shared" ref="H116" si="30">H117&amp;"（含）"&amp;"-"&amp;I117</f>
        <v>（含）-</v>
      </c>
      <c r="I116" s="3407" t="str">
        <f t="shared" ref="I116" si="31">I117&amp;"（含）"&amp;"-"&amp;J117</f>
        <v>（含）-</v>
      </c>
      <c r="J116" s="3407" t="str">
        <f t="shared" ref="J116" si="32">J117&amp;"（含）"&amp;"-"&amp;K117</f>
        <v>（含）-</v>
      </c>
      <c r="K116" s="3407" t="str">
        <f t="shared" ref="K116" si="33">K117&amp;"（含）"&amp;"-"&amp;L117</f>
        <v>（含）-</v>
      </c>
      <c r="L116" s="3407" t="str">
        <f t="shared" ref="L116" si="34">L117&amp;"（含）"&amp;"-"&amp;M117</f>
        <v>（含）-</v>
      </c>
      <c r="M116" s="3408" t="str">
        <f>M117&amp;"（含）"&amp;"-"&amp;P117</f>
        <v>（含）-</v>
      </c>
      <c r="N116" s="2370"/>
      <c r="O116" s="2370"/>
      <c r="P116" s="334"/>
      <c r="Q116" s="846"/>
    </row>
    <row r="117" spans="1:17" ht="15">
      <c r="A117" s="876"/>
      <c r="B117" s="888"/>
      <c r="C117" s="872">
        <v>0</v>
      </c>
      <c r="D117" s="872">
        <v>20000</v>
      </c>
      <c r="E117" s="872">
        <v>50000</v>
      </c>
      <c r="F117" s="872">
        <v>80000</v>
      </c>
      <c r="G117" s="872">
        <v>110000</v>
      </c>
      <c r="H117" s="937"/>
      <c r="I117" s="937"/>
      <c r="J117" s="938"/>
      <c r="K117" s="938"/>
      <c r="L117" s="939"/>
      <c r="M117" s="940"/>
      <c r="N117" s="2370"/>
      <c r="O117" s="2370"/>
      <c r="P117" s="334"/>
      <c r="Q117" s="846"/>
    </row>
    <row r="118" spans="1:17" ht="15.75" thickBot="1">
      <c r="A118" s="876"/>
      <c r="B118" s="885"/>
      <c r="C118" s="912">
        <v>100</v>
      </c>
      <c r="D118" s="933">
        <v>101</v>
      </c>
      <c r="E118" s="933">
        <v>102</v>
      </c>
      <c r="F118" s="933">
        <v>103</v>
      </c>
      <c r="G118" s="933">
        <v>104</v>
      </c>
      <c r="H118" s="933"/>
      <c r="I118" s="933"/>
      <c r="J118" s="933"/>
      <c r="K118" s="933"/>
      <c r="L118" s="933"/>
      <c r="M118" s="934"/>
      <c r="N118" s="2371"/>
      <c r="O118" s="2371"/>
      <c r="P118" s="334"/>
      <c r="Q118" s="846"/>
    </row>
    <row r="119" spans="1:17" ht="15" thickTop="1">
      <c r="A119" s="941"/>
      <c r="B119" s="880" t="s">
        <v>512</v>
      </c>
      <c r="C119" s="131" t="s">
        <v>3290</v>
      </c>
      <c r="D119" s="131" t="s">
        <v>3291</v>
      </c>
      <c r="E119" s="131" t="s">
        <v>3293</v>
      </c>
      <c r="F119" s="131"/>
      <c r="G119" s="131"/>
      <c r="H119" s="131"/>
      <c r="I119" s="131"/>
      <c r="J119" s="131"/>
      <c r="K119" s="132"/>
      <c r="L119" s="133"/>
      <c r="M119" s="134"/>
      <c r="N119" s="2370"/>
      <c r="O119" s="2370"/>
      <c r="P119" s="334"/>
      <c r="Q119" s="846"/>
    </row>
    <row r="120" spans="1:17" ht="15.75" thickBot="1">
      <c r="A120" s="876"/>
      <c r="B120" s="885"/>
      <c r="C120" s="886">
        <v>100</v>
      </c>
      <c r="D120" s="886">
        <f t="shared" ref="D120:M120" si="35">C120-$K39</f>
        <v>98</v>
      </c>
      <c r="E120" s="886">
        <f t="shared" si="35"/>
        <v>96</v>
      </c>
      <c r="F120" s="886">
        <f t="shared" si="35"/>
        <v>94</v>
      </c>
      <c r="G120" s="886">
        <f t="shared" si="35"/>
        <v>92</v>
      </c>
      <c r="H120" s="886">
        <f t="shared" si="35"/>
        <v>90</v>
      </c>
      <c r="I120" s="886">
        <f t="shared" si="35"/>
        <v>88</v>
      </c>
      <c r="J120" s="886">
        <f t="shared" si="35"/>
        <v>86</v>
      </c>
      <c r="K120" s="886">
        <f t="shared" si="35"/>
        <v>84</v>
      </c>
      <c r="L120" s="886">
        <f t="shared" si="35"/>
        <v>82</v>
      </c>
      <c r="M120" s="887">
        <f t="shared" si="35"/>
        <v>80</v>
      </c>
      <c r="N120" s="2371"/>
      <c r="O120" s="2371"/>
      <c r="P120" s="334"/>
      <c r="Q120" s="846"/>
    </row>
    <row r="121" spans="1:17" ht="15" thickTop="1">
      <c r="A121" s="941"/>
      <c r="B121" s="880" t="s">
        <v>513</v>
      </c>
      <c r="C121" s="139"/>
      <c r="D121" s="139"/>
      <c r="E121" s="139"/>
      <c r="F121" s="131"/>
      <c r="G121" s="131"/>
      <c r="H121" s="131"/>
      <c r="I121" s="131"/>
      <c r="J121" s="131"/>
      <c r="K121" s="132"/>
      <c r="L121" s="133"/>
      <c r="M121" s="134"/>
      <c r="N121" s="2370"/>
      <c r="O121" s="2370"/>
      <c r="P121" s="334"/>
      <c r="Q121" s="846"/>
    </row>
    <row r="122" spans="1:17" ht="15.75" thickBot="1">
      <c r="A122" s="876"/>
      <c r="B122" s="885"/>
      <c r="C122" s="886">
        <v>100</v>
      </c>
      <c r="D122" s="886">
        <f t="shared" ref="D122:M122" si="36">C122-$K40</f>
        <v>99</v>
      </c>
      <c r="E122" s="886">
        <f t="shared" si="36"/>
        <v>98</v>
      </c>
      <c r="F122" s="886">
        <f t="shared" si="36"/>
        <v>97</v>
      </c>
      <c r="G122" s="886">
        <f t="shared" si="36"/>
        <v>96</v>
      </c>
      <c r="H122" s="886">
        <f t="shared" si="36"/>
        <v>95</v>
      </c>
      <c r="I122" s="886">
        <f t="shared" si="36"/>
        <v>94</v>
      </c>
      <c r="J122" s="886">
        <f t="shared" si="36"/>
        <v>93</v>
      </c>
      <c r="K122" s="886">
        <f t="shared" si="36"/>
        <v>92</v>
      </c>
      <c r="L122" s="886">
        <f t="shared" si="36"/>
        <v>91</v>
      </c>
      <c r="M122" s="887">
        <f t="shared" si="36"/>
        <v>90</v>
      </c>
      <c r="N122" s="2371"/>
      <c r="O122" s="2371"/>
      <c r="P122" s="334"/>
      <c r="Q122" s="846"/>
    </row>
    <row r="123" spans="1:17" s="813" customFormat="1" ht="15" thickTop="1">
      <c r="A123" s="935"/>
      <c r="B123" s="1053" t="s">
        <v>2496</v>
      </c>
      <c r="C123" s="139" t="s">
        <v>3301</v>
      </c>
      <c r="D123" s="139" t="s">
        <v>3302</v>
      </c>
      <c r="E123" s="139" t="s">
        <v>3303</v>
      </c>
      <c r="F123" s="139" t="s">
        <v>3304</v>
      </c>
      <c r="G123" s="139" t="s">
        <v>3305</v>
      </c>
      <c r="H123" s="131"/>
      <c r="I123" s="131"/>
      <c r="J123" s="131"/>
      <c r="K123" s="132"/>
      <c r="L123" s="133"/>
      <c r="M123" s="134"/>
      <c r="N123" s="2372"/>
      <c r="O123" s="2372"/>
      <c r="P123" s="900"/>
      <c r="Q123" s="901"/>
    </row>
    <row r="124" spans="1:17" s="813" customFormat="1" ht="15.75" thickBot="1">
      <c r="A124" s="895"/>
      <c r="B124" s="885"/>
      <c r="C124" s="886">
        <v>100</v>
      </c>
      <c r="D124" s="886">
        <f>C124-$K41</f>
        <v>99</v>
      </c>
      <c r="E124" s="886">
        <f t="shared" ref="E124:M124" si="37">D124-$K41</f>
        <v>98</v>
      </c>
      <c r="F124" s="886">
        <f t="shared" si="37"/>
        <v>97</v>
      </c>
      <c r="G124" s="886">
        <f t="shared" si="37"/>
        <v>96</v>
      </c>
      <c r="H124" s="886">
        <f t="shared" si="37"/>
        <v>95</v>
      </c>
      <c r="I124" s="886">
        <f t="shared" si="37"/>
        <v>94</v>
      </c>
      <c r="J124" s="886">
        <f t="shared" si="37"/>
        <v>93</v>
      </c>
      <c r="K124" s="886">
        <f t="shared" si="37"/>
        <v>92</v>
      </c>
      <c r="L124" s="886">
        <f t="shared" si="37"/>
        <v>91</v>
      </c>
      <c r="M124" s="887">
        <f t="shared" si="37"/>
        <v>90</v>
      </c>
      <c r="N124" s="2372"/>
      <c r="O124" s="2372"/>
      <c r="P124" s="900"/>
      <c r="Q124" s="901"/>
    </row>
    <row r="125" spans="1:17" ht="15" thickTop="1">
      <c r="A125" s="941"/>
      <c r="B125" s="880" t="s">
        <v>514</v>
      </c>
      <c r="C125" s="139"/>
      <c r="D125" s="139"/>
      <c r="E125" s="131"/>
      <c r="F125" s="131"/>
      <c r="G125" s="131"/>
      <c r="H125" s="131"/>
      <c r="I125" s="131"/>
      <c r="J125" s="131"/>
      <c r="K125" s="132"/>
      <c r="L125" s="133"/>
      <c r="M125" s="134"/>
      <c r="N125" s="2370"/>
      <c r="O125" s="2370"/>
      <c r="P125" s="334"/>
      <c r="Q125" s="846"/>
    </row>
    <row r="126" spans="1:17" ht="15.75" thickBot="1">
      <c r="A126" s="876"/>
      <c r="B126" s="885"/>
      <c r="C126" s="886">
        <v>100</v>
      </c>
      <c r="D126" s="886">
        <f t="shared" ref="D126:M126" si="38">C126-$K42</f>
        <v>100</v>
      </c>
      <c r="E126" s="886">
        <f t="shared" si="38"/>
        <v>100</v>
      </c>
      <c r="F126" s="886">
        <f t="shared" si="38"/>
        <v>100</v>
      </c>
      <c r="G126" s="886">
        <f t="shared" si="38"/>
        <v>100</v>
      </c>
      <c r="H126" s="886">
        <f t="shared" si="38"/>
        <v>100</v>
      </c>
      <c r="I126" s="886">
        <f t="shared" si="38"/>
        <v>100</v>
      </c>
      <c r="J126" s="886">
        <f t="shared" si="38"/>
        <v>100</v>
      </c>
      <c r="K126" s="886">
        <f t="shared" si="38"/>
        <v>100</v>
      </c>
      <c r="L126" s="886">
        <f t="shared" si="38"/>
        <v>100</v>
      </c>
      <c r="M126" s="887">
        <f t="shared" si="38"/>
        <v>100</v>
      </c>
      <c r="N126" s="2371"/>
      <c r="O126" s="2371"/>
      <c r="P126" s="334"/>
      <c r="Q126" s="846"/>
    </row>
    <row r="127" spans="1:17" ht="15" thickTop="1">
      <c r="A127" s="941"/>
      <c r="B127" s="880">
        <f>B43</f>
        <v>111</v>
      </c>
      <c r="C127" s="139"/>
      <c r="D127" s="139"/>
      <c r="E127" s="139"/>
      <c r="F127" s="139"/>
      <c r="G127" s="139"/>
      <c r="H127" s="131"/>
      <c r="I127" s="131"/>
      <c r="J127" s="131"/>
      <c r="K127" s="132"/>
      <c r="L127" s="133"/>
      <c r="M127" s="134"/>
      <c r="N127" s="2370"/>
      <c r="O127" s="2370"/>
      <c r="P127" s="334"/>
      <c r="Q127" s="846"/>
    </row>
    <row r="128" spans="1:17" ht="15.75" thickBot="1">
      <c r="A128" s="876"/>
      <c r="B128" s="885"/>
      <c r="C128" s="902"/>
      <c r="D128" s="902"/>
      <c r="E128" s="902"/>
      <c r="F128" s="902"/>
      <c r="G128" s="878"/>
      <c r="H128" s="878"/>
      <c r="I128" s="878"/>
      <c r="J128" s="878"/>
      <c r="K128" s="878"/>
      <c r="L128" s="878"/>
      <c r="M128" s="879"/>
      <c r="N128" s="2371"/>
      <c r="O128" s="2371"/>
      <c r="P128" s="334"/>
      <c r="Q128" s="846"/>
    </row>
    <row r="129" spans="1:17" ht="15" thickTop="1">
      <c r="A129" s="941"/>
      <c r="B129" s="880">
        <f>B44</f>
        <v>111</v>
      </c>
      <c r="C129" s="140"/>
      <c r="D129" s="140"/>
      <c r="E129" s="140"/>
      <c r="F129" s="140"/>
      <c r="G129" s="131"/>
      <c r="H129" s="131"/>
      <c r="I129" s="131"/>
      <c r="J129" s="131"/>
      <c r="K129" s="132"/>
      <c r="L129" s="133"/>
      <c r="M129" s="134"/>
      <c r="N129" s="2370"/>
      <c r="O129" s="2370"/>
      <c r="P129" s="334"/>
      <c r="Q129" s="846"/>
    </row>
    <row r="130" spans="1:17" ht="15.75" thickBot="1">
      <c r="A130" s="876"/>
      <c r="B130" s="885"/>
      <c r="C130" s="912"/>
      <c r="D130" s="912"/>
      <c r="E130" s="912"/>
      <c r="F130" s="912"/>
      <c r="G130" s="878"/>
      <c r="H130" s="878"/>
      <c r="I130" s="878"/>
      <c r="J130" s="878"/>
      <c r="K130" s="878"/>
      <c r="L130" s="878"/>
      <c r="M130" s="879"/>
      <c r="N130" s="2371"/>
      <c r="O130" s="2371"/>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2"/>
      <c r="O131" s="2372"/>
      <c r="P131" s="900"/>
      <c r="Q131" s="901"/>
    </row>
    <row r="132" spans="1:17" s="813" customFormat="1" ht="15.75" thickBot="1">
      <c r="A132" s="910"/>
      <c r="B132" s="1108"/>
      <c r="C132" s="912"/>
      <c r="D132" s="912"/>
      <c r="E132" s="912"/>
      <c r="F132" s="912"/>
      <c r="G132" s="933"/>
      <c r="H132" s="933"/>
      <c r="I132" s="933"/>
      <c r="J132" s="933"/>
      <c r="K132" s="933"/>
      <c r="L132" s="933"/>
      <c r="M132" s="934"/>
      <c r="N132" s="2372"/>
      <c r="O132" s="2372"/>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480</v>
      </c>
      <c r="B1" s="738"/>
      <c r="C1" s="739" t="s">
        <v>516</v>
      </c>
      <c r="D1" s="1302"/>
      <c r="E1" s="1302"/>
      <c r="F1" s="1301" t="s">
        <v>388</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344</v>
      </c>
      <c r="B2" s="1079" t="e">
        <f>F61</f>
        <v>#DIV/0!</v>
      </c>
      <c r="C2" s="2343"/>
      <c r="D2" s="2343"/>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1" customFormat="1" ht="28.5" customHeight="1" thickBot="1">
      <c r="A3" s="579" t="s">
        <v>345</v>
      </c>
      <c r="B3" s="951" t="e">
        <f>ROUND(IF(D3="",B2*10000/'数据-汇总表'!E3,B2*10000/D3),0)</f>
        <v>#DIV/0!</v>
      </c>
      <c r="C3" s="579" t="s">
        <v>2883</v>
      </c>
      <c r="D3" s="3052"/>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4" t="s">
        <v>389</v>
      </c>
      <c r="B4" s="745"/>
      <c r="C4" s="3730" t="s">
        <v>390</v>
      </c>
      <c r="D4" s="3731"/>
      <c r="E4" s="3732" t="s">
        <v>391</v>
      </c>
      <c r="F4" s="3733"/>
      <c r="G4" s="3730" t="s">
        <v>392</v>
      </c>
      <c r="H4" s="3731"/>
      <c r="I4" s="3730" t="s">
        <v>393</v>
      </c>
      <c r="J4" s="3731"/>
      <c r="K4" s="952" t="s">
        <v>394</v>
      </c>
      <c r="L4" s="2348"/>
      <c r="M4" s="2349"/>
      <c r="N4" s="2349"/>
      <c r="O4" s="2349"/>
      <c r="P4" s="3734" t="s">
        <v>395</v>
      </c>
      <c r="Q4" s="3735"/>
      <c r="R4" s="3717" t="s">
        <v>391</v>
      </c>
      <c r="S4" s="3718"/>
      <c r="T4" s="3717" t="s">
        <v>392</v>
      </c>
      <c r="U4" s="3718"/>
      <c r="V4" s="3742" t="s">
        <v>393</v>
      </c>
      <c r="W4" s="3742"/>
      <c r="X4" s="1317"/>
      <c r="Y4" s="3717" t="s">
        <v>395</v>
      </c>
      <c r="Z4" s="3718"/>
      <c r="AA4" s="3712" t="s">
        <v>391</v>
      </c>
      <c r="AB4" s="3713" t="s">
        <v>392</v>
      </c>
      <c r="AC4" s="3712" t="s">
        <v>393</v>
      </c>
    </row>
    <row r="5" spans="1:29" ht="15">
      <c r="A5" s="747"/>
      <c r="B5" s="748"/>
      <c r="C5" s="3661" t="s">
        <v>1127</v>
      </c>
      <c r="D5" s="3662"/>
      <c r="E5" s="3659" t="s">
        <v>1128</v>
      </c>
      <c r="F5" s="3660"/>
      <c r="G5" s="3661" t="s">
        <v>1131</v>
      </c>
      <c r="H5" s="3662"/>
      <c r="I5" s="3661" t="s">
        <v>1129</v>
      </c>
      <c r="J5" s="3662"/>
      <c r="K5" s="952"/>
      <c r="L5" s="2348"/>
      <c r="M5" s="2349"/>
      <c r="N5" s="2349"/>
      <c r="O5" s="2349"/>
      <c r="P5" s="3736"/>
      <c r="Q5" s="3737"/>
      <c r="R5" s="3719"/>
      <c r="S5" s="3720"/>
      <c r="T5" s="3719"/>
      <c r="U5" s="3720"/>
      <c r="V5" s="3742"/>
      <c r="W5" s="3742"/>
      <c r="X5" s="1317"/>
      <c r="Y5" s="3719"/>
      <c r="Z5" s="3720"/>
      <c r="AA5" s="3713"/>
      <c r="AB5" s="3713"/>
      <c r="AC5" s="3713"/>
    </row>
    <row r="6" spans="1:29" ht="15.75" thickBot="1">
      <c r="A6" s="749"/>
      <c r="B6" s="750"/>
      <c r="C6" s="3759" t="s">
        <v>1130</v>
      </c>
      <c r="D6" s="3760"/>
      <c r="E6" s="3761" t="s">
        <v>1130</v>
      </c>
      <c r="F6" s="3762"/>
      <c r="G6" s="3759" t="s">
        <v>1130</v>
      </c>
      <c r="H6" s="3760"/>
      <c r="I6" s="3759" t="s">
        <v>1130</v>
      </c>
      <c r="J6" s="3760"/>
      <c r="K6" s="952" t="s">
        <v>396</v>
      </c>
      <c r="L6" s="2348"/>
      <c r="M6" s="2349"/>
      <c r="N6" s="2349"/>
      <c r="O6" s="2349"/>
      <c r="P6" s="3738"/>
      <c r="Q6" s="3739"/>
      <c r="R6" s="3719"/>
      <c r="S6" s="3720"/>
      <c r="T6" s="3740"/>
      <c r="U6" s="3741"/>
      <c r="V6" s="3742"/>
      <c r="W6" s="3742"/>
      <c r="X6" s="1317"/>
      <c r="Y6" s="3740"/>
      <c r="Z6" s="3741"/>
      <c r="AA6" s="3714"/>
      <c r="AB6" s="3714"/>
      <c r="AC6" s="3714"/>
    </row>
    <row r="7" spans="1:29" s="407" customFormat="1" ht="15.75" thickBot="1">
      <c r="A7" s="751" t="s">
        <v>397</v>
      </c>
      <c r="B7" s="752"/>
      <c r="C7" s="753">
        <f>'数据-取费表'!B2</f>
        <v>42986</v>
      </c>
      <c r="D7" s="754">
        <v>100</v>
      </c>
      <c r="E7" s="1016"/>
      <c r="F7" s="756">
        <f>SUMIF(65:65,YEAR(E7)&amp;"-"&amp;INT((MONTH(E7)+2)/3),66:66)</f>
        <v>0</v>
      </c>
      <c r="G7" s="1017"/>
      <c r="H7" s="754">
        <f>SUMIF(65:65,YEAR(G7)&amp;"-"&amp;INT((MONTH(G7)+2)/3),66:66)</f>
        <v>0</v>
      </c>
      <c r="I7" s="1017"/>
      <c r="J7" s="754">
        <f>SUMIF(65:65,YEAR(I7)&amp;"-"&amp;INT((MONTH(I7)+2)/3),66:66)</f>
        <v>0</v>
      </c>
      <c r="K7" s="953"/>
      <c r="L7" s="2350"/>
      <c r="M7" s="2351"/>
      <c r="N7" s="2351"/>
      <c r="O7" s="2351"/>
      <c r="P7" s="3715" t="s">
        <v>398</v>
      </c>
      <c r="Q7" s="3743"/>
      <c r="R7" s="1318" t="s">
        <v>65</v>
      </c>
      <c r="S7" s="1319">
        <f t="shared" ref="S7:S15" si="0">F7</f>
        <v>0</v>
      </c>
      <c r="T7" s="1318" t="s">
        <v>65</v>
      </c>
      <c r="U7" s="1319">
        <f t="shared" ref="U7:U15" si="1">H7</f>
        <v>0</v>
      </c>
      <c r="V7" s="1318" t="s">
        <v>65</v>
      </c>
      <c r="W7" s="1319">
        <f t="shared" ref="W7:W15" si="2">J7</f>
        <v>0</v>
      </c>
      <c r="X7" s="1320"/>
      <c r="Y7" s="3715" t="s">
        <v>398</v>
      </c>
      <c r="Z7" s="3716"/>
      <c r="AA7" s="1321" t="e">
        <f>D7/F7</f>
        <v>#DIV/0!</v>
      </c>
      <c r="AB7" s="1321" t="e">
        <f>D7/H7</f>
        <v>#DIV/0!</v>
      </c>
      <c r="AC7" s="1321" t="e">
        <f>D7/J7</f>
        <v>#DIV/0!</v>
      </c>
    </row>
    <row r="8" spans="1:29" s="407" customFormat="1" ht="15.75" thickBot="1">
      <c r="A8" s="751" t="s">
        <v>399</v>
      </c>
      <c r="B8" s="752"/>
      <c r="C8" s="1019" t="s">
        <v>155</v>
      </c>
      <c r="D8" s="754">
        <v>100</v>
      </c>
      <c r="E8" s="1019"/>
      <c r="F8" s="756">
        <f>SUMIF(68:68,E8,69:69)-SUMIF(68:68,C8,69:69)+100</f>
        <v>0</v>
      </c>
      <c r="G8" s="1019"/>
      <c r="H8" s="754">
        <f>SUMIF(68:68,G8,69:69)-SUMIF(68:68,C8,69:69)+100</f>
        <v>0</v>
      </c>
      <c r="I8" s="1019"/>
      <c r="J8" s="754">
        <f>SUMIF(68:68,I8,69:69)-SUMIF(68:68,C8,69:69)+100</f>
        <v>0</v>
      </c>
      <c r="K8" s="953"/>
      <c r="L8" s="2350"/>
      <c r="M8" s="2351"/>
      <c r="N8" s="2351"/>
      <c r="O8" s="2351"/>
      <c r="P8" s="3715" t="s">
        <v>434</v>
      </c>
      <c r="Q8" s="3716"/>
      <c r="R8" s="1318" t="s">
        <v>65</v>
      </c>
      <c r="S8" s="1319">
        <f t="shared" si="0"/>
        <v>0</v>
      </c>
      <c r="T8" s="1318" t="s">
        <v>65</v>
      </c>
      <c r="U8" s="1319">
        <f t="shared" si="1"/>
        <v>0</v>
      </c>
      <c r="V8" s="1318" t="s">
        <v>65</v>
      </c>
      <c r="W8" s="1319">
        <f t="shared" si="2"/>
        <v>0</v>
      </c>
      <c r="X8" s="1320"/>
      <c r="Y8" s="3715" t="s">
        <v>434</v>
      </c>
      <c r="Z8" s="3716"/>
      <c r="AA8" s="1321" t="e">
        <f t="shared" ref="AA8:AA40" si="3">D8/F8</f>
        <v>#DIV/0!</v>
      </c>
      <c r="AB8" s="1321" t="e">
        <f t="shared" ref="AB8:AB40" si="4">D8/H8</f>
        <v>#DIV/0!</v>
      </c>
      <c r="AC8" s="1321" t="e">
        <f t="shared" ref="AC8:AC40" si="5">D8/J8</f>
        <v>#DIV/0!</v>
      </c>
    </row>
    <row r="9" spans="1:29" s="407" customFormat="1">
      <c r="A9" s="758" t="s">
        <v>400</v>
      </c>
      <c r="B9" s="361" t="s">
        <v>418</v>
      </c>
      <c r="C9" s="1021"/>
      <c r="D9" s="425">
        <v>100</v>
      </c>
      <c r="E9" s="1021"/>
      <c r="F9" s="425">
        <f>SUMIF(70:70,E9,71:71)-SUMIF(70:70,C9,71:71)+100</f>
        <v>100</v>
      </c>
      <c r="G9" s="1021"/>
      <c r="H9" s="425">
        <f>SUMIF(70:70,G9,71:71)-SUMIF(70:70,C9,71:71)+100</f>
        <v>100</v>
      </c>
      <c r="I9" s="1021"/>
      <c r="J9" s="425">
        <f>SUMIF(70:70,I9,71:71)-SUMIF(70:70,C9,71:71)+100</f>
        <v>100</v>
      </c>
      <c r="K9" s="953"/>
      <c r="L9" s="2350"/>
      <c r="M9" s="2351"/>
      <c r="N9" s="2351"/>
      <c r="O9" s="2352"/>
      <c r="P9" s="3729" t="s">
        <v>401</v>
      </c>
      <c r="Q9" s="296" t="str">
        <f t="shared" ref="Q9:Q15" si="6">B9</f>
        <v>用途</v>
      </c>
      <c r="R9" s="1318" t="s">
        <v>65</v>
      </c>
      <c r="S9" s="1319">
        <f t="shared" si="0"/>
        <v>100</v>
      </c>
      <c r="T9" s="1318" t="s">
        <v>65</v>
      </c>
      <c r="U9" s="1319">
        <f t="shared" si="1"/>
        <v>100</v>
      </c>
      <c r="V9" s="1318" t="s">
        <v>65</v>
      </c>
      <c r="W9" s="1319">
        <f t="shared" si="2"/>
        <v>100</v>
      </c>
      <c r="X9" s="1320"/>
      <c r="Y9" s="3597" t="s">
        <v>402</v>
      </c>
      <c r="Z9" s="344" t="str">
        <f t="shared" ref="Z9:Z15" si="7">Q9</f>
        <v>用途</v>
      </c>
      <c r="AA9" s="1321">
        <f t="shared" si="3"/>
        <v>1</v>
      </c>
      <c r="AB9" s="1321">
        <f t="shared" si="4"/>
        <v>1</v>
      </c>
      <c r="AC9" s="1321">
        <f t="shared" si="5"/>
        <v>1</v>
      </c>
    </row>
    <row r="10" spans="1:29" s="770" customFormat="1" ht="27">
      <c r="A10" s="764"/>
      <c r="B10" s="765" t="s">
        <v>403</v>
      </c>
      <c r="C10" s="1023"/>
      <c r="D10" s="426">
        <v>100</v>
      </c>
      <c r="E10" s="1023"/>
      <c r="F10" s="426">
        <f>ROUND(100/'数据-取费表'!G16,0)</f>
        <v>114</v>
      </c>
      <c r="G10" s="1023"/>
      <c r="H10" s="426">
        <f>ROUND(100/'数据-取费表'!G16,0)</f>
        <v>114</v>
      </c>
      <c r="I10" s="1023"/>
      <c r="J10" s="426">
        <f>ROUND(100/'数据-取费表'!G16,0)</f>
        <v>114</v>
      </c>
      <c r="K10" s="1080"/>
      <c r="L10" s="2353"/>
      <c r="M10" s="2354"/>
      <c r="N10" s="2354"/>
      <c r="O10" s="2355"/>
      <c r="P10" s="3729"/>
      <c r="Q10" s="296" t="str">
        <f t="shared" si="6"/>
        <v>土地使用年限（年）</v>
      </c>
      <c r="R10" s="1318" t="s">
        <v>65</v>
      </c>
      <c r="S10" s="1319">
        <f t="shared" si="0"/>
        <v>114</v>
      </c>
      <c r="T10" s="1318" t="s">
        <v>65</v>
      </c>
      <c r="U10" s="1319">
        <f t="shared" si="1"/>
        <v>114</v>
      </c>
      <c r="V10" s="1318" t="s">
        <v>65</v>
      </c>
      <c r="W10" s="1319">
        <f t="shared" si="2"/>
        <v>114</v>
      </c>
      <c r="X10" s="1320"/>
      <c r="Y10" s="3597"/>
      <c r="Z10" s="344" t="str">
        <f t="shared" si="7"/>
        <v>土地使用年限（年）</v>
      </c>
      <c r="AA10" s="1321">
        <f t="shared" si="3"/>
        <v>0.8771929824561403</v>
      </c>
      <c r="AB10" s="1321">
        <f t="shared" si="4"/>
        <v>0.8771929824561403</v>
      </c>
      <c r="AC10" s="1321">
        <f t="shared" si="5"/>
        <v>0.8771929824561403</v>
      </c>
    </row>
    <row r="11" spans="1:29" ht="15">
      <c r="A11" s="771"/>
      <c r="B11" s="765" t="s">
        <v>404</v>
      </c>
      <c r="C11" s="772"/>
      <c r="D11" s="426">
        <v>100</v>
      </c>
      <c r="E11" s="772"/>
      <c r="F11" s="426" t="e">
        <f>LOOKUP(E11,75:75,76:76)-LOOKUP(C11,75:75,76:76)+100</f>
        <v>#N/A</v>
      </c>
      <c r="G11" s="773"/>
      <c r="H11" s="426" t="e">
        <f>LOOKUP(G11,75:75,76:76)-LOOKUP(C11,75:75,76:76)+100</f>
        <v>#N/A</v>
      </c>
      <c r="I11" s="772"/>
      <c r="J11" s="426" t="e">
        <f>LOOKUP(I11,75:75,76:76)-LOOKUP(C11,75:75,76:76)+100</f>
        <v>#N/A</v>
      </c>
      <c r="K11" s="1081"/>
      <c r="L11" s="2356"/>
      <c r="M11" s="2349"/>
      <c r="N11" s="2349"/>
      <c r="O11" s="2357"/>
      <c r="P11" s="3729"/>
      <c r="Q11" s="296" t="str">
        <f t="shared" si="6"/>
        <v>容积率</v>
      </c>
      <c r="R11" s="1318" t="s">
        <v>65</v>
      </c>
      <c r="S11" s="1319" t="e">
        <f t="shared" si="0"/>
        <v>#N/A</v>
      </c>
      <c r="T11" s="1318" t="s">
        <v>65</v>
      </c>
      <c r="U11" s="1319" t="e">
        <f t="shared" si="1"/>
        <v>#N/A</v>
      </c>
      <c r="V11" s="1318" t="s">
        <v>65</v>
      </c>
      <c r="W11" s="1319" t="e">
        <f t="shared" si="2"/>
        <v>#N/A</v>
      </c>
      <c r="X11" s="1320"/>
      <c r="Y11" s="3597"/>
      <c r="Z11" s="344" t="str">
        <f t="shared" si="7"/>
        <v>容积率</v>
      </c>
      <c r="AA11" s="1321" t="e">
        <f t="shared" si="3"/>
        <v>#N/A</v>
      </c>
      <c r="AB11" s="1321" t="e">
        <f t="shared" si="4"/>
        <v>#N/A</v>
      </c>
      <c r="AC11" s="1321" t="e">
        <f t="shared" si="5"/>
        <v>#N/A</v>
      </c>
    </row>
    <row r="12" spans="1:29" s="407" customFormat="1" ht="15">
      <c r="A12" s="774"/>
      <c r="B12" s="1030">
        <v>111</v>
      </c>
      <c r="C12" s="1023"/>
      <c r="D12" s="776">
        <v>100</v>
      </c>
      <c r="E12" s="126"/>
      <c r="F12" s="426">
        <f>SUMIF(77:77,E12,78:78)-SUMIF(77:77,C12,78:78)+100</f>
        <v>100</v>
      </c>
      <c r="G12" s="203"/>
      <c r="H12" s="426">
        <f>SUMIF(77:77,G12,78:78)-SUMIF(77:77,C12,78:78)+100</f>
        <v>100</v>
      </c>
      <c r="I12" s="126"/>
      <c r="J12" s="426">
        <f>SUMIF(77:77,I12,78:78)-SUMIF(77:77,C12,78:78)+100</f>
        <v>100</v>
      </c>
      <c r="K12" s="1080"/>
      <c r="L12" s="2350"/>
      <c r="M12" s="2351"/>
      <c r="N12" s="2351"/>
      <c r="O12" s="2352"/>
      <c r="P12" s="3729"/>
      <c r="Q12" s="296">
        <f t="shared" si="6"/>
        <v>111</v>
      </c>
      <c r="R12" s="1318" t="s">
        <v>65</v>
      </c>
      <c r="S12" s="1319">
        <f t="shared" si="0"/>
        <v>100</v>
      </c>
      <c r="T12" s="1318" t="s">
        <v>65</v>
      </c>
      <c r="U12" s="1319">
        <f t="shared" si="1"/>
        <v>100</v>
      </c>
      <c r="V12" s="1318" t="s">
        <v>65</v>
      </c>
      <c r="W12" s="1319">
        <f t="shared" si="2"/>
        <v>100</v>
      </c>
      <c r="X12" s="1320"/>
      <c r="Y12" s="3597"/>
      <c r="Z12" s="344">
        <f t="shared" si="7"/>
        <v>111</v>
      </c>
      <c r="AA12" s="1321">
        <f>D12/F12</f>
        <v>1</v>
      </c>
      <c r="AB12" s="1321">
        <f>D12/H12</f>
        <v>1</v>
      </c>
      <c r="AC12" s="1321">
        <f>D12/J12</f>
        <v>1</v>
      </c>
    </row>
    <row r="13" spans="1:29" ht="15">
      <c r="A13" s="771"/>
      <c r="B13" s="1030">
        <v>111</v>
      </c>
      <c r="C13" s="93"/>
      <c r="D13" s="778">
        <v>100</v>
      </c>
      <c r="E13" s="126"/>
      <c r="F13" s="426">
        <f>SUMIF(79:79,E13,80:80)-SUMIF(79:79,C13,80:80)+100</f>
        <v>100</v>
      </c>
      <c r="G13" s="203"/>
      <c r="H13" s="778">
        <f>SUMIF(79:79,G13,80:80)-SUMIF(79:79,C13,80:80)+100</f>
        <v>100</v>
      </c>
      <c r="I13" s="126"/>
      <c r="J13" s="778">
        <f>SUMIF(79:79,I13,80:80)-SUMIF(79:79,C13,80:80)+100</f>
        <v>100</v>
      </c>
      <c r="K13" s="1080"/>
      <c r="L13" s="2358"/>
      <c r="M13" s="2349"/>
      <c r="N13" s="2349"/>
      <c r="O13" s="2357"/>
      <c r="P13" s="3729"/>
      <c r="Q13" s="296">
        <f t="shared" si="6"/>
        <v>111</v>
      </c>
      <c r="R13" s="1318" t="s">
        <v>65</v>
      </c>
      <c r="S13" s="1319">
        <f t="shared" si="0"/>
        <v>100</v>
      </c>
      <c r="T13" s="1318" t="s">
        <v>65</v>
      </c>
      <c r="U13" s="1319">
        <f t="shared" si="1"/>
        <v>100</v>
      </c>
      <c r="V13" s="1318" t="s">
        <v>65</v>
      </c>
      <c r="W13" s="1319">
        <f t="shared" si="2"/>
        <v>100</v>
      </c>
      <c r="X13" s="1320"/>
      <c r="Y13" s="3597"/>
      <c r="Z13" s="344">
        <f t="shared" si="7"/>
        <v>111</v>
      </c>
      <c r="AA13" s="1321">
        <f t="shared" si="3"/>
        <v>1</v>
      </c>
      <c r="AB13" s="1321">
        <f t="shared" si="4"/>
        <v>1</v>
      </c>
      <c r="AC13" s="1321">
        <f t="shared" si="5"/>
        <v>1</v>
      </c>
    </row>
    <row r="14" spans="1:29" ht="15.75" thickBot="1">
      <c r="A14" s="779"/>
      <c r="B14" s="1031">
        <v>111</v>
      </c>
      <c r="C14" s="94"/>
      <c r="D14" s="781">
        <v>100</v>
      </c>
      <c r="E14" s="126"/>
      <c r="F14" s="781">
        <f>SUMIF(81:81,E14,82:82)-SUMIF(81:81,C14,82:82)+100</f>
        <v>100</v>
      </c>
      <c r="G14" s="203"/>
      <c r="H14" s="781">
        <f>SUMIF(81:81,G14,82:82)-SUMIF(81:81,C14,82:82)+100</f>
        <v>100</v>
      </c>
      <c r="I14" s="126"/>
      <c r="J14" s="781">
        <f>SUMIF(81:81,I14,82:82)-SUMIF(81:81,C14,82:82)+100</f>
        <v>100</v>
      </c>
      <c r="K14" s="1080"/>
      <c r="L14" s="2358"/>
      <c r="M14" s="2349"/>
      <c r="N14" s="2349"/>
      <c r="O14" s="2357"/>
      <c r="P14" s="3729"/>
      <c r="Q14" s="296">
        <f t="shared" si="6"/>
        <v>111</v>
      </c>
      <c r="R14" s="1318" t="s">
        <v>65</v>
      </c>
      <c r="S14" s="1319">
        <f t="shared" si="0"/>
        <v>100</v>
      </c>
      <c r="T14" s="1318" t="s">
        <v>65</v>
      </c>
      <c r="U14" s="1319">
        <f t="shared" si="1"/>
        <v>100</v>
      </c>
      <c r="V14" s="1318" t="s">
        <v>65</v>
      </c>
      <c r="W14" s="1319">
        <f t="shared" si="2"/>
        <v>100</v>
      </c>
      <c r="X14" s="1320"/>
      <c r="Y14" s="3597"/>
      <c r="Z14" s="344">
        <f t="shared" si="7"/>
        <v>111</v>
      </c>
      <c r="AA14" s="1321">
        <f t="shared" si="3"/>
        <v>1</v>
      </c>
      <c r="AB14" s="1321">
        <f t="shared" si="4"/>
        <v>1</v>
      </c>
      <c r="AC14" s="1321">
        <f t="shared" si="5"/>
        <v>1</v>
      </c>
    </row>
    <row r="15" spans="1:29" ht="67.5">
      <c r="A15" s="783" t="s">
        <v>405</v>
      </c>
      <c r="B15" s="971" t="s">
        <v>517</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1"/>
      <c r="L15" s="2358"/>
      <c r="M15" s="2349"/>
      <c r="N15" s="2349"/>
      <c r="O15" s="2357"/>
      <c r="P15" s="3744" t="s">
        <v>406</v>
      </c>
      <c r="Q15" s="1322" t="str">
        <f t="shared" si="6"/>
        <v>产业集聚程度</v>
      </c>
      <c r="R15" s="1323" t="s">
        <v>65</v>
      </c>
      <c r="S15" s="1324">
        <f t="shared" si="0"/>
        <v>100</v>
      </c>
      <c r="T15" s="1323" t="s">
        <v>65</v>
      </c>
      <c r="U15" s="1324">
        <f t="shared" si="1"/>
        <v>100</v>
      </c>
      <c r="V15" s="1323" t="s">
        <v>65</v>
      </c>
      <c r="W15" s="1324">
        <f t="shared" si="2"/>
        <v>100</v>
      </c>
      <c r="X15" s="1317"/>
      <c r="Y15" s="3744" t="s">
        <v>406</v>
      </c>
      <c r="Z15" s="1325" t="str">
        <f t="shared" si="7"/>
        <v>产业集聚程度</v>
      </c>
      <c r="AA15" s="1326">
        <f t="shared" si="3"/>
        <v>1</v>
      </c>
      <c r="AB15" s="1326">
        <f t="shared" si="4"/>
        <v>1</v>
      </c>
      <c r="AC15" s="1326">
        <f t="shared" si="5"/>
        <v>1</v>
      </c>
    </row>
    <row r="16" spans="1:29" ht="15">
      <c r="A16" s="771"/>
      <c r="B16" s="972"/>
      <c r="C16" s="97"/>
      <c r="D16" s="791"/>
      <c r="E16" s="192"/>
      <c r="F16" s="791"/>
      <c r="G16" s="192"/>
      <c r="H16" s="793"/>
      <c r="I16" s="192"/>
      <c r="J16" s="791"/>
      <c r="K16" s="1080"/>
      <c r="L16" s="2358"/>
      <c r="M16" s="2349"/>
      <c r="N16" s="2349"/>
      <c r="O16" s="2357"/>
      <c r="P16" s="3745"/>
      <c r="Q16" s="1322"/>
      <c r="R16" s="1323"/>
      <c r="S16" s="1324"/>
      <c r="T16" s="1323"/>
      <c r="U16" s="1324"/>
      <c r="V16" s="1323"/>
      <c r="W16" s="1324"/>
      <c r="X16" s="1317"/>
      <c r="Y16" s="3745"/>
      <c r="Z16" s="1325"/>
      <c r="AA16" s="1326">
        <v>1</v>
      </c>
      <c r="AB16" s="1326">
        <v>1</v>
      </c>
      <c r="AC16" s="1326">
        <v>1</v>
      </c>
    </row>
    <row r="17" spans="1:29" ht="94.5">
      <c r="A17" s="771"/>
      <c r="B17" s="973" t="s">
        <v>455</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1"/>
      <c r="L17" s="2358"/>
      <c r="M17" s="2349"/>
      <c r="N17" s="2349"/>
      <c r="O17" s="2357"/>
      <c r="P17" s="3745"/>
      <c r="Q17" s="1322" t="str">
        <f>B17</f>
        <v>交通便捷度</v>
      </c>
      <c r="R17" s="1323" t="s">
        <v>65</v>
      </c>
      <c r="S17" s="1324">
        <f>F17</f>
        <v>100</v>
      </c>
      <c r="T17" s="1323" t="s">
        <v>65</v>
      </c>
      <c r="U17" s="1324">
        <f>H17</f>
        <v>100</v>
      </c>
      <c r="V17" s="1323" t="s">
        <v>65</v>
      </c>
      <c r="W17" s="1324">
        <f>J17</f>
        <v>100</v>
      </c>
      <c r="X17" s="1317"/>
      <c r="Y17" s="3745"/>
      <c r="Z17" s="1325" t="str">
        <f>Q17</f>
        <v>交通便捷度</v>
      </c>
      <c r="AA17" s="1326">
        <f t="shared" si="3"/>
        <v>1</v>
      </c>
      <c r="AB17" s="1326">
        <f t="shared" si="4"/>
        <v>1</v>
      </c>
      <c r="AC17" s="1326">
        <f t="shared" si="5"/>
        <v>1</v>
      </c>
    </row>
    <row r="18" spans="1:29" ht="15">
      <c r="A18" s="771"/>
      <c r="B18" s="974"/>
      <c r="C18" s="97"/>
      <c r="D18" s="791"/>
      <c r="E18" s="98"/>
      <c r="F18" s="791"/>
      <c r="G18" s="98"/>
      <c r="H18" s="791"/>
      <c r="I18" s="99"/>
      <c r="J18" s="791"/>
      <c r="K18" s="1080"/>
      <c r="L18" s="2358"/>
      <c r="M18" s="2349"/>
      <c r="N18" s="2349"/>
      <c r="O18" s="2357"/>
      <c r="P18" s="3745"/>
      <c r="Q18" s="1322"/>
      <c r="R18" s="1323"/>
      <c r="S18" s="1324"/>
      <c r="T18" s="1323"/>
      <c r="U18" s="1324"/>
      <c r="V18" s="1323"/>
      <c r="W18" s="1324"/>
      <c r="X18" s="1317"/>
      <c r="Y18" s="3745"/>
      <c r="Z18" s="1325"/>
      <c r="AA18" s="1326">
        <v>1</v>
      </c>
      <c r="AB18" s="1326">
        <v>1</v>
      </c>
      <c r="AC18" s="1326">
        <v>1</v>
      </c>
    </row>
    <row r="19" spans="1:29" ht="27">
      <c r="A19" s="771"/>
      <c r="B19" s="973" t="s">
        <v>1849</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1"/>
      <c r="L19" s="2358"/>
      <c r="M19" s="2349"/>
      <c r="N19" s="2349"/>
      <c r="O19" s="2357"/>
      <c r="P19" s="3745"/>
      <c r="Q19" s="1322" t="str">
        <f t="shared" ref="Q19:Q33" si="8">B19</f>
        <v>区域土地利用方向</v>
      </c>
      <c r="R19" s="1323" t="s">
        <v>65</v>
      </c>
      <c r="S19" s="1324">
        <f>F19</f>
        <v>100</v>
      </c>
      <c r="T19" s="1323" t="s">
        <v>65</v>
      </c>
      <c r="U19" s="1324">
        <f>H19</f>
        <v>100</v>
      </c>
      <c r="V19" s="1323" t="s">
        <v>65</v>
      </c>
      <c r="W19" s="1324">
        <f>J19</f>
        <v>100</v>
      </c>
      <c r="X19" s="1317"/>
      <c r="Y19" s="3745"/>
      <c r="Z19" s="1325" t="str">
        <f>Q19</f>
        <v>区域土地利用方向</v>
      </c>
      <c r="AA19" s="1326">
        <f t="shared" si="3"/>
        <v>1</v>
      </c>
      <c r="AB19" s="1326">
        <f t="shared" si="4"/>
        <v>1</v>
      </c>
      <c r="AC19" s="1326">
        <f t="shared" si="5"/>
        <v>1</v>
      </c>
    </row>
    <row r="20" spans="1:29" ht="15">
      <c r="A20" s="747"/>
      <c r="B20" s="974"/>
      <c r="C20" s="97"/>
      <c r="D20" s="791"/>
      <c r="E20" s="98"/>
      <c r="F20" s="791"/>
      <c r="G20" s="98"/>
      <c r="H20" s="791"/>
      <c r="I20" s="98"/>
      <c r="J20" s="791"/>
      <c r="K20" s="1485"/>
      <c r="L20" s="2358"/>
      <c r="M20" s="2349"/>
      <c r="N20" s="2349"/>
      <c r="O20" s="2357"/>
      <c r="P20" s="3745"/>
      <c r="Q20" s="1469"/>
      <c r="R20" s="1323"/>
      <c r="S20" s="1324"/>
      <c r="T20" s="1323"/>
      <c r="U20" s="1324"/>
      <c r="V20" s="1323"/>
      <c r="W20" s="1324"/>
      <c r="X20" s="1468"/>
      <c r="Y20" s="3745"/>
      <c r="Z20" s="1470"/>
      <c r="AA20" s="1326"/>
      <c r="AB20" s="1326"/>
      <c r="AC20" s="1326"/>
    </row>
    <row r="21" spans="1:29" ht="81">
      <c r="A21" s="747"/>
      <c r="B21" s="973" t="s">
        <v>518</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1"/>
      <c r="L21" s="2358"/>
      <c r="M21" s="2349"/>
      <c r="N21" s="2349"/>
      <c r="O21" s="2357"/>
      <c r="P21" s="3745"/>
      <c r="Q21" s="1322" t="str">
        <f t="shared" si="8"/>
        <v>环境状况</v>
      </c>
      <c r="R21" s="1323" t="s">
        <v>65</v>
      </c>
      <c r="S21" s="1324">
        <f>F21</f>
        <v>100</v>
      </c>
      <c r="T21" s="1323" t="s">
        <v>65</v>
      </c>
      <c r="U21" s="1324">
        <f>H21</f>
        <v>100</v>
      </c>
      <c r="V21" s="1323" t="s">
        <v>65</v>
      </c>
      <c r="W21" s="1324">
        <f>J21</f>
        <v>100</v>
      </c>
      <c r="X21" s="1317"/>
      <c r="Y21" s="3745"/>
      <c r="Z21" s="1325" t="str">
        <f>Q21</f>
        <v>环境状况</v>
      </c>
      <c r="AA21" s="1326">
        <f t="shared" si="3"/>
        <v>1</v>
      </c>
      <c r="AB21" s="1326">
        <f t="shared" si="4"/>
        <v>1</v>
      </c>
      <c r="AC21" s="1326">
        <f t="shared" si="5"/>
        <v>1</v>
      </c>
    </row>
    <row r="22" spans="1:29" ht="15">
      <c r="A22" s="747"/>
      <c r="B22" s="974"/>
      <c r="C22" s="97"/>
      <c r="D22" s="791"/>
      <c r="E22" s="192"/>
      <c r="F22" s="791"/>
      <c r="G22" s="192"/>
      <c r="H22" s="791"/>
      <c r="I22" s="97"/>
      <c r="J22" s="791"/>
      <c r="K22" s="1080"/>
      <c r="L22" s="2358"/>
      <c r="M22" s="2349"/>
      <c r="N22" s="2349"/>
      <c r="O22" s="2357"/>
      <c r="P22" s="3745"/>
      <c r="Q22" s="1322"/>
      <c r="R22" s="1323"/>
      <c r="S22" s="1324"/>
      <c r="T22" s="1323"/>
      <c r="U22" s="1324"/>
      <c r="V22" s="1323"/>
      <c r="W22" s="1324"/>
      <c r="X22" s="1317"/>
      <c r="Y22" s="3745"/>
      <c r="Z22" s="1325"/>
      <c r="AA22" s="1326">
        <v>1</v>
      </c>
      <c r="AB22" s="1326">
        <v>1</v>
      </c>
      <c r="AC22" s="1326">
        <v>1</v>
      </c>
    </row>
    <row r="23" spans="1:29" s="407" customFormat="1" ht="40.5">
      <c r="A23" s="991"/>
      <c r="B23" s="1035" t="s">
        <v>2665</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1"/>
      <c r="L23" s="2350"/>
      <c r="M23" s="2351"/>
      <c r="N23" s="2351"/>
      <c r="O23" s="2352"/>
      <c r="P23" s="3745"/>
      <c r="Q23" s="296" t="str">
        <f t="shared" si="8"/>
        <v>公共配套设施</v>
      </c>
      <c r="R23" s="1318" t="s">
        <v>65</v>
      </c>
      <c r="S23" s="1319">
        <f>F23</f>
        <v>100</v>
      </c>
      <c r="T23" s="1318" t="s">
        <v>65</v>
      </c>
      <c r="U23" s="1319">
        <f>H23</f>
        <v>100</v>
      </c>
      <c r="V23" s="1318" t="s">
        <v>65</v>
      </c>
      <c r="W23" s="1319">
        <f>J23</f>
        <v>100</v>
      </c>
      <c r="X23" s="1320"/>
      <c r="Y23" s="3745"/>
      <c r="Z23" s="344" t="str">
        <f>Q23</f>
        <v>公共配套设施</v>
      </c>
      <c r="AA23" s="1326">
        <f>D23/F23</f>
        <v>1</v>
      </c>
      <c r="AB23" s="1326">
        <f>D23/H23</f>
        <v>1</v>
      </c>
      <c r="AC23" s="1326">
        <f>D23/J23</f>
        <v>1</v>
      </c>
    </row>
    <row r="24" spans="1:29" s="407" customFormat="1" ht="15">
      <c r="A24" s="991"/>
      <c r="B24" s="974"/>
      <c r="C24" s="2775"/>
      <c r="D24" s="791"/>
      <c r="E24" s="192"/>
      <c r="F24" s="791"/>
      <c r="G24" s="192"/>
      <c r="H24" s="791"/>
      <c r="I24" s="97"/>
      <c r="J24" s="791"/>
      <c r="K24" s="1080"/>
      <c r="L24" s="2350"/>
      <c r="M24" s="2351"/>
      <c r="N24" s="2351"/>
      <c r="O24" s="2352"/>
      <c r="P24" s="3745"/>
      <c r="Q24" s="296"/>
      <c r="R24" s="1318"/>
      <c r="S24" s="1319"/>
      <c r="T24" s="1318"/>
      <c r="U24" s="1319"/>
      <c r="V24" s="1318"/>
      <c r="W24" s="1319"/>
      <c r="X24" s="1320"/>
      <c r="Y24" s="3745"/>
      <c r="Z24" s="344"/>
      <c r="AA24" s="1321">
        <v>1</v>
      </c>
      <c r="AB24" s="1321">
        <v>1</v>
      </c>
      <c r="AC24" s="1321">
        <v>1</v>
      </c>
    </row>
    <row r="25" spans="1:29" s="407" customFormat="1" ht="40.5">
      <c r="A25" s="991"/>
      <c r="B25" s="1035" t="s">
        <v>2666</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1"/>
      <c r="L25" s="2350"/>
      <c r="M25" s="2351"/>
      <c r="N25" s="2351"/>
      <c r="O25" s="2352"/>
      <c r="P25" s="3745"/>
      <c r="Q25" s="2744" t="str">
        <f t="shared" ref="Q25" si="9">B25</f>
        <v>基础设施水平</v>
      </c>
      <c r="R25" s="1318" t="s">
        <v>65</v>
      </c>
      <c r="S25" s="1319">
        <f>F25</f>
        <v>100</v>
      </c>
      <c r="T25" s="1318" t="s">
        <v>65</v>
      </c>
      <c r="U25" s="1319">
        <f>H25</f>
        <v>100</v>
      </c>
      <c r="V25" s="1318" t="s">
        <v>65</v>
      </c>
      <c r="W25" s="1319">
        <f>J25</f>
        <v>100</v>
      </c>
      <c r="X25" s="1320"/>
      <c r="Y25" s="3745"/>
      <c r="Z25" s="344" t="str">
        <f>Q25</f>
        <v>基础设施水平</v>
      </c>
      <c r="AA25" s="1326">
        <f>D25/F25</f>
        <v>1</v>
      </c>
      <c r="AB25" s="1326">
        <f>D25/H25</f>
        <v>1</v>
      </c>
      <c r="AC25" s="1326">
        <f>D25/J25</f>
        <v>1</v>
      </c>
    </row>
    <row r="26" spans="1:29" s="407" customFormat="1" ht="15">
      <c r="A26" s="991"/>
      <c r="B26" s="974"/>
      <c r="C26" s="2775"/>
      <c r="D26" s="791"/>
      <c r="E26" s="1036"/>
      <c r="F26" s="791"/>
      <c r="G26" s="1036"/>
      <c r="H26" s="791"/>
      <c r="I26" s="1036"/>
      <c r="J26" s="791"/>
      <c r="K26" s="1080"/>
      <c r="L26" s="2350"/>
      <c r="M26" s="2351"/>
      <c r="N26" s="2351"/>
      <c r="O26" s="2352"/>
      <c r="P26" s="3745"/>
      <c r="Q26" s="2744"/>
      <c r="R26" s="1318"/>
      <c r="S26" s="1319"/>
      <c r="T26" s="1318"/>
      <c r="U26" s="1319"/>
      <c r="V26" s="1318"/>
      <c r="W26" s="1319"/>
      <c r="X26" s="1320"/>
      <c r="Y26" s="3745"/>
      <c r="Z26" s="344"/>
      <c r="AA26" s="1321">
        <v>1</v>
      </c>
      <c r="AB26" s="1321">
        <v>1</v>
      </c>
      <c r="AC26" s="1321">
        <v>1</v>
      </c>
    </row>
    <row r="27" spans="1:29" ht="15">
      <c r="A27" s="771"/>
      <c r="B27" s="974" t="s">
        <v>436</v>
      </c>
      <c r="C27" s="182"/>
      <c r="D27" s="778">
        <v>100</v>
      </c>
      <c r="E27" s="195"/>
      <c r="F27" s="778">
        <f>SUMIF(95:95,E27,96:96)-SUMIF(95:95,C27,96:96)+100</f>
        <v>100</v>
      </c>
      <c r="G27" s="195"/>
      <c r="H27" s="778">
        <f>SUMIF(95:95,G27,96:96)-SUMIF(95:95,C27,96:96)+100</f>
        <v>100</v>
      </c>
      <c r="I27" s="195"/>
      <c r="J27" s="778">
        <f>SUMIF(95:95,I27,96:96)-SUMIF(95:95,C27,96:96)+100</f>
        <v>100</v>
      </c>
      <c r="K27" s="1081"/>
      <c r="L27" s="2358"/>
      <c r="M27" s="2349"/>
      <c r="N27" s="2349"/>
      <c r="O27" s="2357"/>
      <c r="P27" s="3745"/>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745"/>
      <c r="Z27" s="1325" t="str">
        <f t="shared" ref="Z27:Z40" si="13">Q27</f>
        <v>临街状况</v>
      </c>
      <c r="AA27" s="1326">
        <f t="shared" si="3"/>
        <v>1</v>
      </c>
      <c r="AB27" s="1326">
        <f t="shared" si="4"/>
        <v>1</v>
      </c>
      <c r="AC27" s="1326">
        <f t="shared" si="5"/>
        <v>1</v>
      </c>
    </row>
    <row r="28" spans="1:29" ht="27">
      <c r="A28" s="771"/>
      <c r="B28" s="975" t="s">
        <v>441</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1"/>
      <c r="L28" s="2358"/>
      <c r="M28" s="2349"/>
      <c r="N28" s="2349"/>
      <c r="O28" s="2357"/>
      <c r="P28" s="3745"/>
      <c r="Q28" s="1322" t="str">
        <f t="shared" si="8"/>
        <v>毗邻道路的类型与等级</v>
      </c>
      <c r="R28" s="1323" t="s">
        <v>65</v>
      </c>
      <c r="S28" s="1324">
        <f t="shared" si="10"/>
        <v>100</v>
      </c>
      <c r="T28" s="1323" t="s">
        <v>65</v>
      </c>
      <c r="U28" s="1324">
        <f t="shared" si="11"/>
        <v>100</v>
      </c>
      <c r="V28" s="1323" t="s">
        <v>65</v>
      </c>
      <c r="W28" s="1324">
        <f t="shared" si="12"/>
        <v>100</v>
      </c>
      <c r="X28" s="1317"/>
      <c r="Y28" s="3745"/>
      <c r="Z28" s="1325" t="str">
        <f t="shared" si="13"/>
        <v>毗邻道路的类型与等级</v>
      </c>
      <c r="AA28" s="1326">
        <f t="shared" si="3"/>
        <v>1</v>
      </c>
      <c r="AB28" s="1326">
        <f t="shared" si="4"/>
        <v>1</v>
      </c>
      <c r="AC28" s="1326">
        <f t="shared" si="5"/>
        <v>1</v>
      </c>
    </row>
    <row r="29" spans="1:29" ht="15">
      <c r="A29" s="771"/>
      <c r="B29" s="974"/>
      <c r="C29" s="97"/>
      <c r="D29" s="791"/>
      <c r="E29" s="192"/>
      <c r="F29" s="791"/>
      <c r="G29" s="192"/>
      <c r="H29" s="791"/>
      <c r="I29" s="192"/>
      <c r="J29" s="791"/>
      <c r="K29" s="955"/>
      <c r="L29" s="2358"/>
      <c r="M29" s="2349"/>
      <c r="N29" s="2349"/>
      <c r="O29" s="2357"/>
      <c r="P29" s="3745"/>
      <c r="Q29" s="1322"/>
      <c r="R29" s="1323"/>
      <c r="S29" s="1324"/>
      <c r="T29" s="1323"/>
      <c r="U29" s="1324"/>
      <c r="V29" s="1323"/>
      <c r="W29" s="1324"/>
      <c r="X29" s="1317"/>
      <c r="Y29" s="3745"/>
      <c r="Z29" s="1325"/>
      <c r="AA29" s="1326">
        <v>1</v>
      </c>
      <c r="AB29" s="1326">
        <v>1</v>
      </c>
      <c r="AC29" s="1326">
        <v>1</v>
      </c>
    </row>
    <row r="30" spans="1:29" ht="15">
      <c r="A30" s="771"/>
      <c r="B30" s="996" t="s">
        <v>484</v>
      </c>
      <c r="C30" s="2777">
        <f>估价对象房地状况!G23</f>
        <v>0</v>
      </c>
      <c r="D30" s="778">
        <v>100</v>
      </c>
      <c r="E30" s="976"/>
      <c r="F30" s="778">
        <f>SUMIF(99:99,E30,100:100)-SUMIF(99:99,C30,100:100)+100</f>
        <v>100</v>
      </c>
      <c r="G30" s="976"/>
      <c r="H30" s="778">
        <f>SUMIF(99:99,G30,100:100)-SUMIF(99:99,C30,100:100)+100</f>
        <v>100</v>
      </c>
      <c r="I30" s="976"/>
      <c r="J30" s="778">
        <f>SUMIF(99:99,I30,100:100)-SUMIF(99:99,C30,100:100)+100</f>
        <v>100</v>
      </c>
      <c r="K30" s="954"/>
      <c r="L30" s="2358"/>
      <c r="M30" s="2349"/>
      <c r="N30" s="2349"/>
      <c r="O30" s="2357"/>
      <c r="P30" s="3745"/>
      <c r="Q30" s="1322" t="str">
        <f t="shared" si="8"/>
        <v>土地级别</v>
      </c>
      <c r="R30" s="1323" t="s">
        <v>65</v>
      </c>
      <c r="S30" s="1324">
        <f t="shared" si="10"/>
        <v>100</v>
      </c>
      <c r="T30" s="1323" t="s">
        <v>65</v>
      </c>
      <c r="U30" s="1324">
        <f t="shared" si="11"/>
        <v>100</v>
      </c>
      <c r="V30" s="1323" t="s">
        <v>65</v>
      </c>
      <c r="W30" s="1324">
        <f t="shared" si="12"/>
        <v>100</v>
      </c>
      <c r="X30" s="1317"/>
      <c r="Y30" s="3745"/>
      <c r="Z30" s="1325" t="str">
        <f t="shared" si="13"/>
        <v>土地级别</v>
      </c>
      <c r="AA30" s="1326">
        <f t="shared" si="3"/>
        <v>1</v>
      </c>
      <c r="AB30" s="1326">
        <f t="shared" si="4"/>
        <v>1</v>
      </c>
      <c r="AC30" s="1326">
        <f t="shared" si="5"/>
        <v>1</v>
      </c>
    </row>
    <row r="31" spans="1:29" ht="15">
      <c r="A31" s="747"/>
      <c r="B31" s="1037">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5"/>
      <c r="L31" s="2358"/>
      <c r="M31" s="2349"/>
      <c r="N31" s="2349"/>
      <c r="O31" s="2357"/>
      <c r="P31" s="3745"/>
      <c r="Q31" s="1322">
        <f t="shared" si="8"/>
        <v>111</v>
      </c>
      <c r="R31" s="1323" t="s">
        <v>65</v>
      </c>
      <c r="S31" s="1324">
        <f t="shared" si="10"/>
        <v>100</v>
      </c>
      <c r="T31" s="1323" t="s">
        <v>65</v>
      </c>
      <c r="U31" s="1324">
        <f t="shared" si="11"/>
        <v>100</v>
      </c>
      <c r="V31" s="1323" t="s">
        <v>65</v>
      </c>
      <c r="W31" s="1324">
        <f t="shared" si="12"/>
        <v>100</v>
      </c>
      <c r="X31" s="1317"/>
      <c r="Y31" s="3745"/>
      <c r="Z31" s="1325">
        <f t="shared" si="13"/>
        <v>111</v>
      </c>
      <c r="AA31" s="1326">
        <f t="shared" si="3"/>
        <v>1</v>
      </c>
      <c r="AB31" s="1326">
        <f t="shared" si="4"/>
        <v>1</v>
      </c>
      <c r="AC31" s="1326">
        <f t="shared" si="5"/>
        <v>1</v>
      </c>
    </row>
    <row r="32" spans="1:29" ht="15">
      <c r="A32" s="1083"/>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5"/>
      <c r="L32" s="2358"/>
      <c r="M32" s="2349"/>
      <c r="N32" s="2349"/>
      <c r="O32" s="2357"/>
      <c r="P32" s="3746" t="s">
        <v>408</v>
      </c>
      <c r="Q32" s="1322">
        <f t="shared" si="8"/>
        <v>111</v>
      </c>
      <c r="R32" s="1323" t="s">
        <v>65</v>
      </c>
      <c r="S32" s="1324">
        <f t="shared" si="10"/>
        <v>100</v>
      </c>
      <c r="T32" s="1323" t="s">
        <v>65</v>
      </c>
      <c r="U32" s="1324">
        <f t="shared" si="11"/>
        <v>100</v>
      </c>
      <c r="V32" s="1323" t="s">
        <v>65</v>
      </c>
      <c r="W32" s="1324">
        <f t="shared" si="12"/>
        <v>100</v>
      </c>
      <c r="X32" s="1317"/>
      <c r="Y32" s="3747" t="s">
        <v>408</v>
      </c>
      <c r="Z32" s="1325">
        <f t="shared" si="13"/>
        <v>111</v>
      </c>
      <c r="AA32" s="1326">
        <f t="shared" si="3"/>
        <v>1</v>
      </c>
      <c r="AB32" s="1326">
        <f t="shared" si="4"/>
        <v>1</v>
      </c>
      <c r="AC32" s="1326">
        <f t="shared" si="5"/>
        <v>1</v>
      </c>
    </row>
    <row r="33" spans="1:29" s="813" customFormat="1" ht="15.75" thickBot="1">
      <c r="A33" s="1084"/>
      <c r="B33" s="3298">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5"/>
      <c r="L33" s="2356"/>
      <c r="M33" s="2359"/>
      <c r="N33" s="2359"/>
      <c r="O33" s="2360"/>
      <c r="P33" s="3747"/>
      <c r="Q33" s="1322">
        <f t="shared" si="8"/>
        <v>111</v>
      </c>
      <c r="R33" s="1328" t="s">
        <v>65</v>
      </c>
      <c r="S33" s="1329">
        <f t="shared" si="10"/>
        <v>100</v>
      </c>
      <c r="T33" s="1328" t="s">
        <v>65</v>
      </c>
      <c r="U33" s="1329">
        <f t="shared" si="11"/>
        <v>100</v>
      </c>
      <c r="V33" s="1328" t="s">
        <v>65</v>
      </c>
      <c r="W33" s="1329">
        <f t="shared" si="12"/>
        <v>100</v>
      </c>
      <c r="X33" s="1330"/>
      <c r="Y33" s="3747"/>
      <c r="Z33" s="1331">
        <f t="shared" si="13"/>
        <v>111</v>
      </c>
      <c r="AA33" s="1326">
        <f t="shared" si="3"/>
        <v>1</v>
      </c>
      <c r="AB33" s="1326">
        <f t="shared" si="4"/>
        <v>1</v>
      </c>
      <c r="AC33" s="1326">
        <f t="shared" si="5"/>
        <v>1</v>
      </c>
    </row>
    <row r="34" spans="1:29" ht="15">
      <c r="A34" s="783" t="s">
        <v>2791</v>
      </c>
      <c r="B34" s="799" t="s">
        <v>485</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8"/>
      <c r="M34" s="2349"/>
      <c r="N34" s="2349"/>
      <c r="O34" s="2357"/>
      <c r="P34" s="3747"/>
      <c r="Q34" s="1322" t="str">
        <f>B34</f>
        <v>宗地面积</v>
      </c>
      <c r="R34" s="1323" t="s">
        <v>65</v>
      </c>
      <c r="S34" s="1324" t="e">
        <f t="shared" si="10"/>
        <v>#N/A</v>
      </c>
      <c r="T34" s="1323" t="s">
        <v>65</v>
      </c>
      <c r="U34" s="1324" t="e">
        <f t="shared" si="11"/>
        <v>#N/A</v>
      </c>
      <c r="V34" s="1323" t="s">
        <v>65</v>
      </c>
      <c r="W34" s="1324" t="e">
        <f t="shared" si="12"/>
        <v>#N/A</v>
      </c>
      <c r="X34" s="1317"/>
      <c r="Y34" s="3747"/>
      <c r="Z34" s="1325" t="str">
        <f t="shared" si="13"/>
        <v>宗地面积</v>
      </c>
      <c r="AA34" s="1326" t="e">
        <f t="shared" si="3"/>
        <v>#N/A</v>
      </c>
      <c r="AB34" s="1326" t="e">
        <f t="shared" si="4"/>
        <v>#N/A</v>
      </c>
      <c r="AC34" s="1326" t="e">
        <f t="shared" si="5"/>
        <v>#N/A</v>
      </c>
    </row>
    <row r="35" spans="1:29" ht="15">
      <c r="A35" s="814"/>
      <c r="B35" s="765" t="s">
        <v>486</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4"/>
      <c r="L35" s="2358"/>
      <c r="M35" s="2349"/>
      <c r="N35" s="2349"/>
      <c r="O35" s="2357"/>
      <c r="P35" s="3747"/>
      <c r="Q35" s="1322" t="str">
        <f t="shared" ref="Q35:Q40" si="14">B35</f>
        <v>宗地形状</v>
      </c>
      <c r="R35" s="1323" t="s">
        <v>65</v>
      </c>
      <c r="S35" s="1324">
        <f t="shared" si="10"/>
        <v>100</v>
      </c>
      <c r="T35" s="1323" t="s">
        <v>65</v>
      </c>
      <c r="U35" s="1324">
        <f t="shared" si="11"/>
        <v>100</v>
      </c>
      <c r="V35" s="1323" t="s">
        <v>65</v>
      </c>
      <c r="W35" s="1324">
        <f t="shared" si="12"/>
        <v>100</v>
      </c>
      <c r="X35" s="1317"/>
      <c r="Y35" s="3747"/>
      <c r="Z35" s="1325" t="str">
        <f t="shared" si="13"/>
        <v>宗地形状</v>
      </c>
      <c r="AA35" s="1326">
        <f t="shared" si="3"/>
        <v>1</v>
      </c>
      <c r="AB35" s="1326">
        <f t="shared" si="4"/>
        <v>1</v>
      </c>
      <c r="AC35" s="1326">
        <f t="shared" si="5"/>
        <v>1</v>
      </c>
    </row>
    <row r="36" spans="1:29" s="407" customFormat="1" ht="15">
      <c r="A36" s="815"/>
      <c r="B36" s="2610" t="s">
        <v>2498</v>
      </c>
      <c r="C36" s="1041"/>
      <c r="D36" s="426">
        <v>100</v>
      </c>
      <c r="E36" s="1041"/>
      <c r="F36" s="778">
        <f>SUMIF(112:112,E36,113:113)-SUMIF(112:112,C36,113:113)+100</f>
        <v>100</v>
      </c>
      <c r="G36" s="1041"/>
      <c r="H36" s="778">
        <f>SUMIF(112:112,G36,113:113)-SUMIF(112:112,C36,113:113)+100</f>
        <v>100</v>
      </c>
      <c r="I36" s="1041"/>
      <c r="J36" s="778">
        <f>SUMIF(112:112,I36,113:113)-SUMIF(112:112,C36,113:113)+100</f>
        <v>100</v>
      </c>
      <c r="K36" s="954"/>
      <c r="L36" s="2350"/>
      <c r="M36" s="2351"/>
      <c r="N36" s="2351"/>
      <c r="O36" s="2352"/>
      <c r="P36" s="3747"/>
      <c r="Q36" s="1322" t="str">
        <f t="shared" si="14"/>
        <v>宗地开发程度</v>
      </c>
      <c r="R36" s="1318" t="s">
        <v>65</v>
      </c>
      <c r="S36" s="1319">
        <f t="shared" si="10"/>
        <v>100</v>
      </c>
      <c r="T36" s="1318" t="s">
        <v>65</v>
      </c>
      <c r="U36" s="1319">
        <f t="shared" si="11"/>
        <v>100</v>
      </c>
      <c r="V36" s="1318" t="s">
        <v>65</v>
      </c>
      <c r="W36" s="1319">
        <f t="shared" si="12"/>
        <v>100</v>
      </c>
      <c r="X36" s="1320"/>
      <c r="Y36" s="3747"/>
      <c r="Z36" s="344" t="str">
        <f t="shared" si="13"/>
        <v>宗地开发程度</v>
      </c>
      <c r="AA36" s="1321">
        <f t="shared" si="3"/>
        <v>1</v>
      </c>
      <c r="AB36" s="1321">
        <f t="shared" si="4"/>
        <v>1</v>
      </c>
      <c r="AC36" s="1321">
        <f t="shared" si="5"/>
        <v>1</v>
      </c>
    </row>
    <row r="37" spans="1:29" ht="15">
      <c r="A37" s="814"/>
      <c r="B37" s="765" t="s">
        <v>488</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4"/>
      <c r="L37" s="2358"/>
      <c r="M37" s="2349"/>
      <c r="N37" s="2349"/>
      <c r="O37" s="2357"/>
      <c r="P37" s="3747" t="s">
        <v>519</v>
      </c>
      <c r="Q37" s="1322" t="str">
        <f t="shared" si="14"/>
        <v>工程地质条件</v>
      </c>
      <c r="R37" s="1323" t="s">
        <v>65</v>
      </c>
      <c r="S37" s="1324">
        <f t="shared" si="10"/>
        <v>100</v>
      </c>
      <c r="T37" s="1323" t="s">
        <v>65</v>
      </c>
      <c r="U37" s="1324">
        <f t="shared" si="11"/>
        <v>100</v>
      </c>
      <c r="V37" s="1323" t="s">
        <v>65</v>
      </c>
      <c r="W37" s="1324">
        <f t="shared" si="12"/>
        <v>100</v>
      </c>
      <c r="X37" s="1317"/>
      <c r="Y37" s="3747" t="s">
        <v>519</v>
      </c>
      <c r="Z37" s="1325" t="str">
        <f t="shared" si="13"/>
        <v>工程地质条件</v>
      </c>
      <c r="AA37" s="1326">
        <f t="shared" si="3"/>
        <v>1</v>
      </c>
      <c r="AB37" s="1326">
        <f t="shared" si="4"/>
        <v>1</v>
      </c>
      <c r="AC37" s="1326">
        <f t="shared" si="5"/>
        <v>1</v>
      </c>
    </row>
    <row r="38" spans="1:29" ht="15">
      <c r="A38" s="814"/>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5"/>
      <c r="L38" s="2358"/>
      <c r="M38" s="2349"/>
      <c r="N38" s="2349"/>
      <c r="O38" s="2357"/>
      <c r="P38" s="3747"/>
      <c r="Q38" s="1322">
        <f t="shared" si="14"/>
        <v>111</v>
      </c>
      <c r="R38" s="1323" t="s">
        <v>65</v>
      </c>
      <c r="S38" s="1324">
        <f t="shared" si="10"/>
        <v>100</v>
      </c>
      <c r="T38" s="1323" t="s">
        <v>65</v>
      </c>
      <c r="U38" s="1324">
        <f t="shared" si="11"/>
        <v>100</v>
      </c>
      <c r="V38" s="1323" t="s">
        <v>65</v>
      </c>
      <c r="W38" s="1324">
        <f t="shared" si="12"/>
        <v>100</v>
      </c>
      <c r="X38" s="1317"/>
      <c r="Y38" s="3747"/>
      <c r="Z38" s="1325">
        <f t="shared" si="13"/>
        <v>111</v>
      </c>
      <c r="AA38" s="1326">
        <f t="shared" si="3"/>
        <v>1</v>
      </c>
      <c r="AB38" s="1326">
        <f t="shared" si="4"/>
        <v>1</v>
      </c>
      <c r="AC38" s="1326">
        <f t="shared" si="5"/>
        <v>1</v>
      </c>
    </row>
    <row r="39" spans="1:29" ht="15">
      <c r="A39" s="814"/>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5"/>
      <c r="L39" s="2358"/>
      <c r="M39" s="2349"/>
      <c r="N39" s="2349"/>
      <c r="O39" s="2357"/>
      <c r="P39" s="3747"/>
      <c r="Q39" s="1322">
        <f t="shared" si="14"/>
        <v>111</v>
      </c>
      <c r="R39" s="1323" t="s">
        <v>65</v>
      </c>
      <c r="S39" s="1324">
        <f t="shared" si="10"/>
        <v>100</v>
      </c>
      <c r="T39" s="1323" t="s">
        <v>65</v>
      </c>
      <c r="U39" s="1324">
        <f t="shared" si="11"/>
        <v>100</v>
      </c>
      <c r="V39" s="1323" t="s">
        <v>65</v>
      </c>
      <c r="W39" s="1324">
        <f t="shared" si="12"/>
        <v>100</v>
      </c>
      <c r="X39" s="1317"/>
      <c r="Y39" s="3747"/>
      <c r="Z39" s="1325">
        <f t="shared" si="13"/>
        <v>111</v>
      </c>
      <c r="AA39" s="1326">
        <f t="shared" si="3"/>
        <v>1</v>
      </c>
      <c r="AB39" s="1326">
        <f t="shared" si="4"/>
        <v>1</v>
      </c>
      <c r="AC39" s="1326">
        <f t="shared" si="5"/>
        <v>1</v>
      </c>
    </row>
    <row r="40" spans="1:29" s="813" customFormat="1" ht="15.75" thickBot="1">
      <c r="A40" s="810"/>
      <c r="B40" s="206">
        <v>111</v>
      </c>
      <c r="C40" s="1043"/>
      <c r="D40" s="427">
        <v>100</v>
      </c>
      <c r="E40" s="203"/>
      <c r="F40" s="781">
        <f>SUMIF(120:120,E40,121:121)-SUMIF(120:120,C40,121:121)+100</f>
        <v>100</v>
      </c>
      <c r="G40" s="203"/>
      <c r="H40" s="781">
        <f>SUMIF(120:120,G40,121:121)-SUMIF(120:120,C40,121:121)+100</f>
        <v>100</v>
      </c>
      <c r="I40" s="126"/>
      <c r="J40" s="781">
        <f>SUMIF(120:120,I40,121:121)-SUMIF(120:120,C40,121:121)+100</f>
        <v>100</v>
      </c>
      <c r="K40" s="1089"/>
      <c r="L40" s="2356"/>
      <c r="M40" s="2359"/>
      <c r="N40" s="2359"/>
      <c r="O40" s="2360"/>
      <c r="P40" s="3747"/>
      <c r="Q40" s="1322">
        <f t="shared" si="14"/>
        <v>111</v>
      </c>
      <c r="R40" s="1328" t="s">
        <v>65</v>
      </c>
      <c r="S40" s="1329">
        <f t="shared" si="10"/>
        <v>100</v>
      </c>
      <c r="T40" s="1328" t="s">
        <v>65</v>
      </c>
      <c r="U40" s="1329">
        <f t="shared" si="11"/>
        <v>100</v>
      </c>
      <c r="V40" s="1328" t="s">
        <v>65</v>
      </c>
      <c r="W40" s="1329">
        <f t="shared" si="12"/>
        <v>100</v>
      </c>
      <c r="X40" s="1330"/>
      <c r="Y40" s="3747"/>
      <c r="Z40" s="1331">
        <f t="shared" si="13"/>
        <v>111</v>
      </c>
      <c r="AA40" s="1326">
        <f t="shared" si="3"/>
        <v>1</v>
      </c>
      <c r="AB40" s="1326">
        <f t="shared" si="4"/>
        <v>1</v>
      </c>
      <c r="AC40" s="1326">
        <f t="shared" si="5"/>
        <v>1</v>
      </c>
    </row>
    <row r="41" spans="1:29" ht="15">
      <c r="A41" s="821" t="s">
        <v>489</v>
      </c>
      <c r="B41" s="207" t="s">
        <v>3020</v>
      </c>
      <c r="C41" s="1090" t="s">
        <v>23</v>
      </c>
      <c r="D41" s="823"/>
      <c r="E41" s="824"/>
      <c r="F41" s="825"/>
      <c r="G41" s="826"/>
      <c r="H41" s="827"/>
      <c r="I41" s="824"/>
      <c r="J41" s="827"/>
      <c r="K41" s="1399"/>
      <c r="L41" s="2361"/>
      <c r="M41" s="2349"/>
      <c r="N41" s="2349"/>
      <c r="O41" s="2362"/>
      <c r="P41" s="3729" t="str">
        <f>A41</f>
        <v>成交单价</v>
      </c>
      <c r="Q41" s="3729"/>
      <c r="R41" s="3742">
        <f>E41</f>
        <v>0</v>
      </c>
      <c r="S41" s="3742"/>
      <c r="T41" s="3742">
        <f>G41</f>
        <v>0</v>
      </c>
      <c r="U41" s="3742"/>
      <c r="V41" s="3742">
        <f>I41</f>
        <v>0</v>
      </c>
      <c r="W41" s="3742"/>
      <c r="X41" s="1306"/>
      <c r="Y41" s="1332"/>
      <c r="Z41" s="1306"/>
      <c r="AA41" s="1306"/>
      <c r="AB41" s="1306"/>
      <c r="AC41" s="1306"/>
    </row>
    <row r="42" spans="1:29" ht="15.75" thickBot="1">
      <c r="A42" s="828" t="s">
        <v>410</v>
      </c>
      <c r="B42" s="1091"/>
      <c r="C42" s="832" t="e">
        <f>R43</f>
        <v>#DIV/0!</v>
      </c>
      <c r="D42" s="831"/>
      <c r="E42" s="832" t="e">
        <f>R42</f>
        <v>#DIV/0!</v>
      </c>
      <c r="F42" s="833"/>
      <c r="G42" s="830" t="e">
        <f>T42</f>
        <v>#DIV/0!</v>
      </c>
      <c r="H42" s="831"/>
      <c r="I42" s="832" t="e">
        <f>V42</f>
        <v>#DIV/0!</v>
      </c>
      <c r="J42" s="831"/>
      <c r="K42" s="1400"/>
      <c r="L42" s="2361"/>
      <c r="M42" s="2349"/>
      <c r="N42" s="2349"/>
      <c r="O42" s="2362"/>
      <c r="P42" s="3729" t="str">
        <f>A42</f>
        <v>比较价值（元/平方米）</v>
      </c>
      <c r="Q42" s="3729"/>
      <c r="R42" s="3752" t="e">
        <f>ROUND(PRODUCT(R41,AA7:AA40),0)</f>
        <v>#DIV/0!</v>
      </c>
      <c r="S42" s="3752"/>
      <c r="T42" s="3752" t="e">
        <f>ROUND(PRODUCT(T41,AB7:AB40),0)</f>
        <v>#DIV/0!</v>
      </c>
      <c r="U42" s="3752"/>
      <c r="V42" s="3752" t="e">
        <f>ROUND(PRODUCT(V41,AC7:AC40),0)</f>
        <v>#DIV/0!</v>
      </c>
      <c r="W42" s="3752"/>
      <c r="X42" s="1306"/>
      <c r="Y42" s="1306"/>
      <c r="Z42" s="1306"/>
      <c r="AA42" s="1306"/>
      <c r="AB42" s="1306"/>
      <c r="AC42" s="1306"/>
    </row>
    <row r="43" spans="1:29" ht="15.75" thickBot="1">
      <c r="A43" s="115" t="s">
        <v>3013</v>
      </c>
      <c r="B43" s="835"/>
      <c r="C43" s="836" t="e">
        <f>R43</f>
        <v>#DIV/0!</v>
      </c>
      <c r="D43" s="836"/>
      <c r="E43" s="836"/>
      <c r="F43" s="836"/>
      <c r="G43" s="836"/>
      <c r="H43" s="836"/>
      <c r="I43" s="836"/>
      <c r="J43" s="836"/>
      <c r="K43" s="1401"/>
      <c r="L43" s="2361"/>
      <c r="M43" s="2349"/>
      <c r="N43" s="2349"/>
      <c r="O43" s="2362"/>
      <c r="P43" s="3749" t="str">
        <f>A43</f>
        <v>估价对象XX用房的比较价值（楼面单价，元/平方米）</v>
      </c>
      <c r="Q43" s="3750"/>
      <c r="R43" s="3753" t="e">
        <f>ROUND(AVERAGE(R42:V42),0)</f>
        <v>#DIV/0!</v>
      </c>
      <c r="S43" s="3753"/>
      <c r="T43" s="3753"/>
      <c r="U43" s="3753"/>
      <c r="V43" s="3753"/>
      <c r="W43" s="3753"/>
      <c r="X43" s="1306"/>
      <c r="Y43" s="1306"/>
      <c r="Z43" s="1306"/>
      <c r="AA43" s="1306"/>
      <c r="AB43" s="1306"/>
      <c r="AC43" s="1306"/>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39" t="s">
        <v>411</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8"/>
      <c r="L46" s="2189"/>
      <c r="M46" s="2349"/>
      <c r="N46" s="2349"/>
      <c r="O46" s="2362"/>
    </row>
    <row r="47" spans="1:29" ht="13.5" customHeight="1">
      <c r="A47" s="2362"/>
      <c r="B47" s="2362"/>
      <c r="C47" s="839" t="s">
        <v>412</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8"/>
      <c r="L47" s="2189"/>
      <c r="M47" s="2362"/>
      <c r="N47" s="2362"/>
      <c r="O47" s="2362"/>
    </row>
    <row r="48" spans="1:29" s="844" customFormat="1" ht="13.5" customHeight="1">
      <c r="A48" s="2363"/>
      <c r="B48" s="2363"/>
      <c r="C48" s="839" t="s">
        <v>413</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6"/>
      <c r="L48" s="2367"/>
      <c r="M48" s="2363"/>
      <c r="N48" s="2363"/>
      <c r="O48" s="2363"/>
    </row>
    <row r="49" spans="1:17" s="844" customFormat="1" ht="15" thickBot="1">
      <c r="A49" s="2363"/>
      <c r="B49" s="2364"/>
      <c r="C49" s="1309"/>
      <c r="D49" s="1307"/>
      <c r="E49" s="1307"/>
      <c r="F49" s="1307"/>
      <c r="G49" s="1307"/>
      <c r="H49" s="1307"/>
      <c r="I49" s="1307"/>
      <c r="J49" s="1307"/>
      <c r="K49" s="2366"/>
      <c r="L49" s="2367"/>
      <c r="M49" s="2363"/>
      <c r="N49" s="2363"/>
      <c r="O49" s="2363"/>
    </row>
    <row r="50" spans="1:17" ht="27">
      <c r="A50" s="1092" t="s">
        <v>490</v>
      </c>
      <c r="B50" s="1093" t="s">
        <v>491</v>
      </c>
      <c r="C50" s="1776" t="s">
        <v>1888</v>
      </c>
      <c r="D50" s="2393" t="s">
        <v>2322</v>
      </c>
      <c r="E50" s="1094" t="s">
        <v>492</v>
      </c>
      <c r="F50" s="1095" t="s">
        <v>493</v>
      </c>
      <c r="G50" s="3754" t="s">
        <v>2315</v>
      </c>
      <c r="H50" s="3755"/>
      <c r="I50" s="2183" t="s">
        <v>1887</v>
      </c>
      <c r="J50" s="1766" t="str">
        <f>项目基本情况!F35</f>
        <v>怀柔区</v>
      </c>
      <c r="K50" s="2376" t="s">
        <v>1889</v>
      </c>
      <c r="L50" s="2189"/>
      <c r="M50" s="2362"/>
      <c r="N50" s="2362"/>
      <c r="O50" s="2362"/>
    </row>
    <row r="51" spans="1:17" s="1100" customFormat="1">
      <c r="A51" s="1096" t="s">
        <v>494</v>
      </c>
      <c r="B51" s="1097" t="e">
        <f>C43</f>
        <v>#DIV/0!</v>
      </c>
      <c r="C51" s="1098">
        <v>1</v>
      </c>
      <c r="D51" s="2394">
        <v>1</v>
      </c>
      <c r="E51" s="1098">
        <f>'数据-汇总表'!E8+'数据-汇总表'!E9</f>
        <v>12736.12000000001</v>
      </c>
      <c r="F51" s="1099" t="e">
        <f t="shared" ref="F51:F60" si="15">ROUND(B51*E51/10000,0)</f>
        <v>#DIV/0!</v>
      </c>
      <c r="G51" s="3756"/>
      <c r="H51" s="3757"/>
      <c r="I51" s="1774">
        <v>1</v>
      </c>
      <c r="J51" s="1774">
        <v>1</v>
      </c>
      <c r="K51" s="2363"/>
      <c r="L51" s="1773"/>
      <c r="M51" s="1773"/>
      <c r="N51" s="1773"/>
      <c r="O51" s="1773"/>
    </row>
    <row r="52" spans="1:17" s="1100" customFormat="1">
      <c r="A52" s="1101" t="s">
        <v>495</v>
      </c>
      <c r="B52" s="594" t="e">
        <f>ROUND($C$43*C52*D52,0)</f>
        <v>#DIV/0!</v>
      </c>
      <c r="C52" s="532">
        <f t="shared" ref="C52:C60" si="16">IF($C$50="北京市系数",I52,J52)</f>
        <v>0.6</v>
      </c>
      <c r="D52" s="2395">
        <v>0.25</v>
      </c>
      <c r="E52" s="1102"/>
      <c r="F52" s="1099" t="e">
        <f t="shared" si="15"/>
        <v>#DIV/0!</v>
      </c>
      <c r="G52" s="3758" t="s">
        <v>2316</v>
      </c>
      <c r="H52" s="2187" t="str">
        <f>项目基本情况!B37</f>
        <v>八级</v>
      </c>
      <c r="I52" s="1774">
        <f>SUMIF(修正!A45:A56,H52,修正!B45:B56)</f>
        <v>0.6</v>
      </c>
      <c r="J52" s="1775"/>
      <c r="K52" s="2362"/>
      <c r="L52" s="1773"/>
      <c r="M52" s="1773"/>
      <c r="N52" s="1773"/>
      <c r="O52" s="1773"/>
    </row>
    <row r="53" spans="1:17" s="1100" customFormat="1">
      <c r="A53" s="1101" t="s">
        <v>496</v>
      </c>
      <c r="B53" s="594" t="e">
        <f t="shared" ref="B53:B60" si="17">ROUND($C$43*C53*D53,0)</f>
        <v>#DIV/0!</v>
      </c>
      <c r="C53" s="532">
        <f t="shared" si="16"/>
        <v>0.3</v>
      </c>
      <c r="D53" s="2395">
        <v>0.25</v>
      </c>
      <c r="E53" s="1102"/>
      <c r="F53" s="1099" t="e">
        <f t="shared" si="15"/>
        <v>#DIV/0!</v>
      </c>
      <c r="G53" s="3758"/>
      <c r="H53" s="2187" t="str">
        <f>项目基本情况!B37</f>
        <v>八级</v>
      </c>
      <c r="I53" s="1774">
        <f>SUMIF(修正!A45:A56,H53,修正!C45:C56)</f>
        <v>0.3</v>
      </c>
      <c r="J53" s="1775"/>
      <c r="K53" s="2363"/>
      <c r="L53" s="1773"/>
      <c r="M53" s="1773"/>
      <c r="N53" s="1773"/>
      <c r="O53" s="1773"/>
    </row>
    <row r="54" spans="1:17" s="1100" customFormat="1">
      <c r="A54" s="1101" t="s">
        <v>497</v>
      </c>
      <c r="B54" s="594" t="e">
        <f t="shared" si="17"/>
        <v>#DIV/0!</v>
      </c>
      <c r="C54" s="532">
        <f t="shared" si="16"/>
        <v>0.2</v>
      </c>
      <c r="D54" s="2395">
        <v>0.25</v>
      </c>
      <c r="E54" s="1102"/>
      <c r="F54" s="1099" t="e">
        <f t="shared" si="15"/>
        <v>#DIV/0!</v>
      </c>
      <c r="G54" s="3758"/>
      <c r="H54" s="2187" t="str">
        <f>项目基本情况!B37</f>
        <v>八级</v>
      </c>
      <c r="I54" s="1774">
        <f>SUMIF(修正!A45:A56,H54,修正!D45:D56)</f>
        <v>0.2</v>
      </c>
      <c r="J54" s="1775"/>
      <c r="K54" s="2362"/>
      <c r="L54" s="1773"/>
      <c r="M54" s="1773"/>
      <c r="N54" s="1773"/>
      <c r="O54" s="1773"/>
    </row>
    <row r="55" spans="1:17" s="1100" customFormat="1">
      <c r="A55" s="1101" t="s">
        <v>498</v>
      </c>
      <c r="B55" s="594" t="e">
        <f t="shared" si="17"/>
        <v>#DIV/0!</v>
      </c>
      <c r="C55" s="532">
        <f t="shared" si="16"/>
        <v>0.2</v>
      </c>
      <c r="D55" s="2395">
        <v>0.25</v>
      </c>
      <c r="E55" s="1102"/>
      <c r="F55" s="1099" t="e">
        <f t="shared" si="15"/>
        <v>#DIV/0!</v>
      </c>
      <c r="G55" s="3758"/>
      <c r="H55" s="2187" t="str">
        <f>项目基本情况!B37</f>
        <v>八级</v>
      </c>
      <c r="I55" s="1774">
        <f>SUMIF(修正!A45:A56,H55,修正!E45:E56)</f>
        <v>0.2</v>
      </c>
      <c r="J55" s="1775"/>
      <c r="K55" s="2363"/>
      <c r="L55" s="1773"/>
      <c r="M55" s="1773"/>
      <c r="N55" s="1773"/>
      <c r="O55" s="1773"/>
    </row>
    <row r="56" spans="1:17" s="1100" customFormat="1">
      <c r="A56" s="2515" t="s">
        <v>2398</v>
      </c>
      <c r="B56" s="594" t="e">
        <f t="shared" si="17"/>
        <v>#DIV/0!</v>
      </c>
      <c r="C56" s="532">
        <f t="shared" si="16"/>
        <v>0.2</v>
      </c>
      <c r="D56" s="2395">
        <v>0.25</v>
      </c>
      <c r="E56" s="593">
        <f>'数据-汇总表'!E11</f>
        <v>0</v>
      </c>
      <c r="F56" s="1099" t="e">
        <f t="shared" si="15"/>
        <v>#DIV/0!</v>
      </c>
      <c r="G56" s="2199" t="s">
        <v>2317</v>
      </c>
      <c r="H56" s="2187" t="str">
        <f>项目基本情况!C37</f>
        <v>八级</v>
      </c>
      <c r="I56" s="1774">
        <f>SUMIF(修正!A45:A56,H56,修正!F45:F56)</f>
        <v>0.2</v>
      </c>
      <c r="J56" s="1775"/>
      <c r="K56" s="2362"/>
      <c r="L56" s="1773"/>
      <c r="M56" s="1773"/>
      <c r="N56" s="1773"/>
      <c r="O56" s="1773"/>
    </row>
    <row r="57" spans="1:17" s="1100" customFormat="1">
      <c r="A57" s="1101" t="s">
        <v>499</v>
      </c>
      <c r="B57" s="594" t="e">
        <f t="shared" si="17"/>
        <v>#DIV/0!</v>
      </c>
      <c r="C57" s="532">
        <f t="shared" si="16"/>
        <v>0.2</v>
      </c>
      <c r="D57" s="2395">
        <v>0.25</v>
      </c>
      <c r="E57" s="593">
        <f>'数据-汇总表'!E12</f>
        <v>0</v>
      </c>
      <c r="F57" s="1099" t="e">
        <f t="shared" si="15"/>
        <v>#DIV/0!</v>
      </c>
      <c r="G57" s="2193" t="s">
        <v>141</v>
      </c>
      <c r="H57" s="2187" t="str">
        <f>IF(G57="商业",项目基本情况!B37,IF(G57="办公",项目基本情况!C37,IF(G57="住宅",项目基本情况!D37,项目基本情况!E37)))</f>
        <v>八级</v>
      </c>
      <c r="I57" s="1774">
        <f>SUMIF(修正!A45:A56,H57,修正!G45:G56)</f>
        <v>0.2</v>
      </c>
      <c r="J57" s="1775"/>
      <c r="K57" s="2363"/>
      <c r="L57" s="1773"/>
      <c r="M57" s="1773"/>
      <c r="N57" s="1773"/>
      <c r="O57" s="1773"/>
    </row>
    <row r="58" spans="1:17" s="1100" customFormat="1">
      <c r="A58" s="1101" t="s">
        <v>500</v>
      </c>
      <c r="B58" s="594" t="e">
        <f t="shared" si="17"/>
        <v>#DIV/0!</v>
      </c>
      <c r="C58" s="532">
        <f t="shared" si="16"/>
        <v>0</v>
      </c>
      <c r="D58" s="2395">
        <v>0.25</v>
      </c>
      <c r="E58" s="593">
        <f>'数据-汇总表'!E13</f>
        <v>0</v>
      </c>
      <c r="F58" s="1099" t="e">
        <f t="shared" si="15"/>
        <v>#DIV/0!</v>
      </c>
      <c r="G58" s="2193" t="s">
        <v>40</v>
      </c>
      <c r="H58" s="2187">
        <f>IF(G58="商业",项目基本情况!B37,IF(G58="办公",项目基本情况!C37,IF(G58="住宅",项目基本情况!D37,项目基本情况!E37)))</f>
        <v>0</v>
      </c>
      <c r="I58" s="1774">
        <f>SUMIF(修正!A45:A56,H58,修正!H45:H56)</f>
        <v>0</v>
      </c>
      <c r="J58" s="1775"/>
      <c r="K58" s="2362"/>
      <c r="L58" s="1773"/>
      <c r="M58" s="1773"/>
      <c r="N58" s="1773"/>
      <c r="O58" s="1773"/>
    </row>
    <row r="59" spans="1:17" s="1100" customFormat="1">
      <c r="A59" s="1101" t="s">
        <v>501</v>
      </c>
      <c r="B59" s="594" t="e">
        <f t="shared" si="17"/>
        <v>#DIV/0!</v>
      </c>
      <c r="C59" s="532">
        <f t="shared" si="16"/>
        <v>0.15</v>
      </c>
      <c r="D59" s="2395">
        <v>0.25</v>
      </c>
      <c r="E59" s="593">
        <f>'数据-汇总表'!E14</f>
        <v>0</v>
      </c>
      <c r="F59" s="1099" t="e">
        <f t="shared" si="15"/>
        <v>#DIV/0!</v>
      </c>
      <c r="G59" s="2199" t="s">
        <v>2318</v>
      </c>
      <c r="H59" s="2187" t="str">
        <f>项目基本情况!B37</f>
        <v>八级</v>
      </c>
      <c r="I59" s="1774">
        <f>SUMIF(修正!A45:A56,H59,修正!H45:H56)</f>
        <v>0.15</v>
      </c>
      <c r="J59" s="1775"/>
      <c r="K59" s="2363"/>
      <c r="L59" s="1773"/>
      <c r="M59" s="1773"/>
      <c r="N59" s="1773"/>
      <c r="O59" s="1773"/>
    </row>
    <row r="60" spans="1:17" s="1100" customFormat="1" ht="15" thickBot="1">
      <c r="A60" s="1101" t="s">
        <v>502</v>
      </c>
      <c r="B60" s="594" t="e">
        <f t="shared" si="17"/>
        <v>#DIV/0!</v>
      </c>
      <c r="C60" s="532">
        <f t="shared" si="16"/>
        <v>0.15</v>
      </c>
      <c r="D60" s="2395">
        <v>0.25</v>
      </c>
      <c r="E60" s="593">
        <f>'数据-汇总表'!E15</f>
        <v>0</v>
      </c>
      <c r="F60" s="1099" t="e">
        <f t="shared" si="15"/>
        <v>#DIV/0!</v>
      </c>
      <c r="G60" s="2200" t="s">
        <v>2317</v>
      </c>
      <c r="H60" s="2201" t="str">
        <f>项目基本情况!C37</f>
        <v>八级</v>
      </c>
      <c r="I60" s="1774">
        <f>SUMIF(修正!A45:A56,H60,修正!H45:H56)</f>
        <v>0.15</v>
      </c>
      <c r="J60" s="1775"/>
      <c r="K60" s="2362"/>
      <c r="L60" s="1773"/>
      <c r="M60" s="1773"/>
      <c r="N60" s="1773"/>
      <c r="O60" s="1773"/>
    </row>
    <row r="61" spans="1:17" s="1100" customFormat="1" ht="15" thickBot="1">
      <c r="A61" s="1103" t="s">
        <v>503</v>
      </c>
      <c r="B61" s="1104" t="s">
        <v>156</v>
      </c>
      <c r="C61" s="1104" t="s">
        <v>157</v>
      </c>
      <c r="D61" s="1104" t="s">
        <v>2323</v>
      </c>
      <c r="E61" s="1104">
        <f>IF(B41="楼面地价",SUM(E51:E60),'数据-汇总表'!D3)</f>
        <v>82323.28</v>
      </c>
      <c r="F61" s="1105" t="e">
        <f>IF(B41="楼面地价",SUM(F51:F60),ROUND(C43*E61/10000,0))</f>
        <v>#DIV/0!</v>
      </c>
      <c r="G61" s="2377"/>
      <c r="H61" s="2377"/>
      <c r="I61" s="2377"/>
      <c r="J61" s="2377"/>
      <c r="K61" s="2188"/>
      <c r="L61" s="1773"/>
      <c r="M61" s="1773"/>
      <c r="N61" s="1773"/>
      <c r="O61" s="1773"/>
    </row>
    <row r="62" spans="1:17">
      <c r="A62" s="2362"/>
      <c r="B62" s="2364"/>
      <c r="C62" s="2368"/>
      <c r="D62" s="2362"/>
      <c r="E62" s="2362"/>
      <c r="F62" s="2362"/>
      <c r="G62" s="2362"/>
      <c r="H62" s="2362"/>
      <c r="I62" s="2362"/>
      <c r="J62" s="2362"/>
      <c r="K62" s="2188"/>
      <c r="L62" s="2189"/>
      <c r="M62" s="2362"/>
      <c r="N62" s="2362"/>
      <c r="O62" s="2362"/>
    </row>
    <row r="63" spans="1:17">
      <c r="A63" s="2362"/>
      <c r="B63" s="2364"/>
      <c r="C63" s="1308" t="str">
        <f>YEAR(C7)&amp;"-"&amp;MONTH(C7)&amp;"-1"</f>
        <v>2017-9-1</v>
      </c>
      <c r="D63" s="1308">
        <f>EDATE(C63,-3)</f>
        <v>42887</v>
      </c>
      <c r="E63" s="1308">
        <f>EDATE(D63,-3)</f>
        <v>42795</v>
      </c>
      <c r="F63" s="1308">
        <f t="shared" ref="F63:O63" si="18">EDATE(E63,-3)</f>
        <v>42705</v>
      </c>
      <c r="G63" s="1308">
        <f t="shared" si="18"/>
        <v>42614</v>
      </c>
      <c r="H63" s="1308">
        <f t="shared" si="18"/>
        <v>42522</v>
      </c>
      <c r="I63" s="1308">
        <f t="shared" si="18"/>
        <v>42430</v>
      </c>
      <c r="J63" s="1308">
        <f t="shared" si="18"/>
        <v>42339</v>
      </c>
      <c r="K63" s="1308">
        <f t="shared" si="18"/>
        <v>42248</v>
      </c>
      <c r="L63" s="1308">
        <f t="shared" si="18"/>
        <v>42156</v>
      </c>
      <c r="M63" s="1308">
        <f t="shared" si="18"/>
        <v>42064</v>
      </c>
      <c r="N63" s="1308">
        <f t="shared" si="18"/>
        <v>41974</v>
      </c>
      <c r="O63" s="1308">
        <f t="shared" si="18"/>
        <v>41883</v>
      </c>
    </row>
    <row r="64" spans="1:17" ht="21.75" thickBot="1">
      <c r="A64" s="1310" t="s">
        <v>414</v>
      </c>
      <c r="B64" s="1306"/>
      <c r="C64" s="1311"/>
      <c r="D64" s="1311"/>
      <c r="E64" s="1311"/>
      <c r="F64" s="1312"/>
      <c r="G64" s="1312"/>
      <c r="H64" s="1311"/>
      <c r="I64" s="1311"/>
      <c r="J64" s="1311"/>
      <c r="K64" s="1313"/>
      <c r="L64" s="1314"/>
      <c r="M64" s="1311"/>
      <c r="N64" s="1311"/>
      <c r="O64" s="2378"/>
      <c r="P64" s="845"/>
      <c r="Q64" s="846"/>
    </row>
    <row r="65" spans="1:17" s="850" customFormat="1" ht="15">
      <c r="A65" s="2706" t="s">
        <v>2788</v>
      </c>
      <c r="B65" s="2707"/>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49"/>
    </row>
    <row r="66" spans="1:17" s="407" customFormat="1" ht="30.75" customHeight="1">
      <c r="A66" s="3032" t="s">
        <v>2787</v>
      </c>
      <c r="B66" s="664" t="str">
        <f>"北京市平均增长率"&amp;TEXT(基准地价修正!P24,"0.00%")</f>
        <v>北京市平均增长率1.37%</v>
      </c>
      <c r="C66" s="945">
        <v>100</v>
      </c>
      <c r="D66" s="937"/>
      <c r="E66" s="937"/>
      <c r="F66" s="937"/>
      <c r="G66" s="937"/>
      <c r="H66" s="937"/>
      <c r="I66" s="937"/>
      <c r="J66" s="937"/>
      <c r="K66" s="937"/>
      <c r="L66" s="937"/>
      <c r="M66" s="3031"/>
      <c r="N66" s="3031"/>
      <c r="O66" s="3033"/>
      <c r="P66" s="846"/>
    </row>
    <row r="67" spans="1:17" s="407" customFormat="1" ht="15.75" thickBot="1">
      <c r="A67" s="857" t="s">
        <v>415</v>
      </c>
      <c r="B67" s="858"/>
      <c r="C67" s="859"/>
      <c r="D67" s="860"/>
      <c r="E67" s="860"/>
      <c r="F67" s="860"/>
      <c r="G67" s="860"/>
      <c r="H67" s="860"/>
      <c r="I67" s="860"/>
      <c r="J67" s="860"/>
      <c r="K67" s="860"/>
      <c r="L67" s="860"/>
      <c r="M67" s="861"/>
      <c r="N67" s="861"/>
      <c r="O67" s="862"/>
      <c r="P67" s="846"/>
      <c r="Q67" s="846"/>
    </row>
    <row r="68" spans="1:17" s="407" customFormat="1" ht="15">
      <c r="A68" s="863" t="s">
        <v>399</v>
      </c>
      <c r="B68" s="852"/>
      <c r="C68" s="864" t="s">
        <v>416</v>
      </c>
      <c r="D68" s="140"/>
      <c r="E68" s="140"/>
      <c r="F68" s="140"/>
      <c r="G68" s="140"/>
      <c r="H68" s="140"/>
      <c r="I68" s="140"/>
      <c r="J68" s="140"/>
      <c r="K68" s="140"/>
      <c r="L68" s="141"/>
      <c r="M68" s="1050"/>
      <c r="N68" s="2369"/>
      <c r="O68" s="2369"/>
      <c r="P68" s="868"/>
      <c r="Q68" s="846"/>
    </row>
    <row r="69" spans="1:17" s="407" customFormat="1" ht="15.75" thickBot="1">
      <c r="A69" s="863"/>
      <c r="B69" s="852"/>
      <c r="C69" s="981">
        <v>100</v>
      </c>
      <c r="D69" s="854"/>
      <c r="E69" s="854"/>
      <c r="F69" s="854"/>
      <c r="G69" s="854"/>
      <c r="H69" s="854"/>
      <c r="I69" s="854"/>
      <c r="J69" s="854"/>
      <c r="K69" s="854"/>
      <c r="L69" s="854"/>
      <c r="M69" s="856"/>
      <c r="N69" s="2369"/>
      <c r="O69" s="2369"/>
      <c r="P69" s="846"/>
      <c r="Q69" s="846"/>
    </row>
    <row r="70" spans="1:17">
      <c r="A70" s="869" t="s">
        <v>417</v>
      </c>
      <c r="B70" s="870" t="s">
        <v>418</v>
      </c>
      <c r="C70" s="122"/>
      <c r="D70" s="122"/>
      <c r="E70" s="122"/>
      <c r="F70" s="122"/>
      <c r="G70" s="122"/>
      <c r="H70" s="122"/>
      <c r="I70" s="122"/>
      <c r="J70" s="122"/>
      <c r="K70" s="123"/>
      <c r="L70" s="124"/>
      <c r="M70" s="125"/>
      <c r="N70" s="2370"/>
      <c r="O70" s="2370"/>
      <c r="P70" s="334"/>
      <c r="Q70" s="846"/>
    </row>
    <row r="71" spans="1:17" ht="15.75" thickBot="1">
      <c r="A71" s="876"/>
      <c r="B71" s="877"/>
      <c r="C71" s="878"/>
      <c r="D71" s="878"/>
      <c r="E71" s="878"/>
      <c r="F71" s="878"/>
      <c r="G71" s="878"/>
      <c r="H71" s="878"/>
      <c r="I71" s="878"/>
      <c r="J71" s="878"/>
      <c r="K71" s="878"/>
      <c r="L71" s="878"/>
      <c r="M71" s="879"/>
      <c r="N71" s="2371"/>
      <c r="O71" s="2371"/>
      <c r="P71" s="334"/>
      <c r="Q71" s="846"/>
    </row>
    <row r="72" spans="1:17" ht="27.75" thickTop="1">
      <c r="A72" s="876"/>
      <c r="B72" s="880" t="s">
        <v>403</v>
      </c>
      <c r="C72" s="881"/>
      <c r="D72" s="881"/>
      <c r="E72" s="881"/>
      <c r="F72" s="881"/>
      <c r="G72" s="881"/>
      <c r="H72" s="881"/>
      <c r="I72" s="881"/>
      <c r="J72" s="881"/>
      <c r="K72" s="882"/>
      <c r="L72" s="883"/>
      <c r="M72" s="884"/>
      <c r="N72" s="2370"/>
      <c r="O72" s="2370"/>
      <c r="P72" s="334"/>
      <c r="Q72" s="846"/>
    </row>
    <row r="73" spans="1:17" ht="15.75" thickBot="1">
      <c r="A73" s="876"/>
      <c r="B73" s="885"/>
      <c r="C73" s="886"/>
      <c r="D73" s="886"/>
      <c r="E73" s="886"/>
      <c r="F73" s="886"/>
      <c r="G73" s="886"/>
      <c r="H73" s="886"/>
      <c r="I73" s="886"/>
      <c r="J73" s="886"/>
      <c r="K73" s="886"/>
      <c r="L73" s="886"/>
      <c r="M73" s="887"/>
      <c r="N73" s="2371"/>
      <c r="O73" s="2371"/>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1" t="str">
        <f>M75&amp;"（含）"&amp;"-"&amp;P75</f>
        <v>（含）-</v>
      </c>
      <c r="N74" s="2371"/>
      <c r="O74" s="2371"/>
      <c r="P74" s="334"/>
      <c r="Q74" s="846"/>
    </row>
    <row r="75" spans="1:17" ht="15">
      <c r="A75" s="876"/>
      <c r="B75" s="1056"/>
      <c r="C75" s="891"/>
      <c r="D75" s="891"/>
      <c r="E75" s="891"/>
      <c r="F75" s="891"/>
      <c r="G75" s="891"/>
      <c r="H75" s="891"/>
      <c r="I75" s="891"/>
      <c r="J75" s="891"/>
      <c r="K75" s="892"/>
      <c r="L75" s="893"/>
      <c r="M75" s="894"/>
      <c r="N75" s="2370"/>
      <c r="O75" s="2370"/>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1"/>
      <c r="O76" s="2371"/>
      <c r="P76" s="334"/>
      <c r="Q76" s="846"/>
    </row>
    <row r="77" spans="1:17" s="813" customFormat="1" ht="15.75" thickTop="1">
      <c r="A77" s="895"/>
      <c r="B77" s="1053">
        <f>B12</f>
        <v>111</v>
      </c>
      <c r="C77" s="139"/>
      <c r="D77" s="139"/>
      <c r="E77" s="139"/>
      <c r="F77" s="139"/>
      <c r="G77" s="139"/>
      <c r="H77" s="1058"/>
      <c r="I77" s="1058"/>
      <c r="J77" s="1058"/>
      <c r="K77" s="1058"/>
      <c r="L77" s="1059"/>
      <c r="M77" s="1060"/>
      <c r="N77" s="2372"/>
      <c r="O77" s="2372"/>
      <c r="P77" s="900"/>
      <c r="Q77" s="901"/>
    </row>
    <row r="78" spans="1:17" s="813" customFormat="1" ht="15.75" thickBot="1">
      <c r="A78" s="895"/>
      <c r="B78" s="1054"/>
      <c r="C78" s="902"/>
      <c r="D78" s="878"/>
      <c r="E78" s="878"/>
      <c r="F78" s="878"/>
      <c r="G78" s="878"/>
      <c r="H78" s="878"/>
      <c r="I78" s="878"/>
      <c r="J78" s="878"/>
      <c r="K78" s="878"/>
      <c r="L78" s="878"/>
      <c r="M78" s="879"/>
      <c r="N78" s="2371"/>
      <c r="O78" s="2371"/>
      <c r="P78" s="900"/>
      <c r="Q78" s="901"/>
    </row>
    <row r="79" spans="1:17" s="813" customFormat="1" ht="15.75" thickTop="1">
      <c r="A79" s="895"/>
      <c r="B79" s="1053">
        <f>B13</f>
        <v>111</v>
      </c>
      <c r="C79" s="139"/>
      <c r="D79" s="139"/>
      <c r="E79" s="139"/>
      <c r="F79" s="139"/>
      <c r="G79" s="139"/>
      <c r="H79" s="1058"/>
      <c r="I79" s="1058"/>
      <c r="J79" s="1058"/>
      <c r="K79" s="1058"/>
      <c r="L79" s="1059"/>
      <c r="M79" s="1060"/>
      <c r="N79" s="2372"/>
      <c r="O79" s="2372"/>
      <c r="P79" s="812"/>
      <c r="Q79" s="903"/>
    </row>
    <row r="80" spans="1:17" s="813" customFormat="1" ht="15.75" thickBot="1">
      <c r="A80" s="895"/>
      <c r="B80" s="1054"/>
      <c r="C80" s="902"/>
      <c r="D80" s="902"/>
      <c r="E80" s="902"/>
      <c r="F80" s="902"/>
      <c r="G80" s="902"/>
      <c r="H80" s="904"/>
      <c r="I80" s="904"/>
      <c r="J80" s="904"/>
      <c r="K80" s="904"/>
      <c r="L80" s="904"/>
      <c r="M80" s="905"/>
      <c r="N80" s="2372"/>
      <c r="O80" s="2372"/>
      <c r="P80" s="900"/>
      <c r="Q80" s="901"/>
    </row>
    <row r="81" spans="1:17" s="813" customFormat="1" ht="15.75" thickTop="1">
      <c r="A81" s="895"/>
      <c r="B81" s="1055">
        <f>B14</f>
        <v>111</v>
      </c>
      <c r="C81" s="140"/>
      <c r="D81" s="140"/>
      <c r="E81" s="140"/>
      <c r="F81" s="140"/>
      <c r="G81" s="140"/>
      <c r="H81" s="1065"/>
      <c r="I81" s="1065"/>
      <c r="J81" s="1065"/>
      <c r="K81" s="1065"/>
      <c r="L81" s="1066"/>
      <c r="M81" s="1067"/>
      <c r="N81" s="2372"/>
      <c r="O81" s="2372"/>
      <c r="P81" s="909"/>
      <c r="Q81" s="901"/>
    </row>
    <row r="82" spans="1:17" s="813" customFormat="1" ht="15.75" thickBot="1">
      <c r="A82" s="910"/>
      <c r="B82" s="1070"/>
      <c r="C82" s="912"/>
      <c r="D82" s="912"/>
      <c r="E82" s="912"/>
      <c r="F82" s="912"/>
      <c r="G82" s="912"/>
      <c r="H82" s="913"/>
      <c r="I82" s="913"/>
      <c r="J82" s="913"/>
      <c r="K82" s="913"/>
      <c r="L82" s="913"/>
      <c r="M82" s="914"/>
      <c r="N82" s="2372"/>
      <c r="O82" s="2372"/>
      <c r="P82" s="900"/>
      <c r="Q82" s="901"/>
    </row>
    <row r="83" spans="1:17">
      <c r="A83" s="869" t="s">
        <v>405</v>
      </c>
      <c r="B83" s="286" t="s">
        <v>158</v>
      </c>
      <c r="C83" s="915" t="s">
        <v>424</v>
      </c>
      <c r="D83" s="915" t="s">
        <v>425</v>
      </c>
      <c r="E83" s="915" t="s">
        <v>426</v>
      </c>
      <c r="F83" s="915" t="s">
        <v>427</v>
      </c>
      <c r="G83" s="915" t="s">
        <v>428</v>
      </c>
      <c r="H83" s="871"/>
      <c r="I83" s="871"/>
      <c r="J83" s="871"/>
      <c r="K83" s="916"/>
      <c r="L83" s="917"/>
      <c r="M83" s="918"/>
      <c r="N83" s="2370"/>
      <c r="O83" s="2370"/>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1"/>
      <c r="O84" s="2371"/>
      <c r="P84" s="334"/>
      <c r="Q84" s="846"/>
    </row>
    <row r="85" spans="1:17" ht="15.75" thickTop="1">
      <c r="A85" s="876"/>
      <c r="B85" s="1053" t="s">
        <v>92</v>
      </c>
      <c r="C85" s="920" t="s">
        <v>424</v>
      </c>
      <c r="D85" s="920" t="s">
        <v>425</v>
      </c>
      <c r="E85" s="920" t="s">
        <v>426</v>
      </c>
      <c r="F85" s="920" t="s">
        <v>427</v>
      </c>
      <c r="G85" s="920" t="s">
        <v>428</v>
      </c>
      <c r="H85" s="881"/>
      <c r="I85" s="881"/>
      <c r="J85" s="881"/>
      <c r="K85" s="882"/>
      <c r="L85" s="883"/>
      <c r="M85" s="884"/>
      <c r="N85" s="2370"/>
      <c r="O85" s="2370"/>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1"/>
      <c r="O86" s="2371"/>
      <c r="P86" s="334"/>
      <c r="Q86" s="846"/>
    </row>
    <row r="87" spans="1:17" s="407" customFormat="1" ht="27.75" thickTop="1">
      <c r="A87" s="921"/>
      <c r="B87" s="1053" t="s">
        <v>109</v>
      </c>
      <c r="C87" s="915" t="s">
        <v>424</v>
      </c>
      <c r="D87" s="915" t="s">
        <v>425</v>
      </c>
      <c r="E87" s="915" t="s">
        <v>426</v>
      </c>
      <c r="F87" s="915" t="s">
        <v>427</v>
      </c>
      <c r="G87" s="915" t="s">
        <v>428</v>
      </c>
      <c r="H87" s="920"/>
      <c r="I87" s="920"/>
      <c r="J87" s="920"/>
      <c r="K87" s="920"/>
      <c r="L87" s="1106"/>
      <c r="M87" s="964"/>
      <c r="N87" s="2369"/>
      <c r="O87" s="2369"/>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71"/>
      <c r="O88" s="2371"/>
      <c r="P88" s="334"/>
      <c r="Q88" s="846"/>
    </row>
    <row r="89" spans="1:17" s="407" customFormat="1" ht="27.75" thickTop="1">
      <c r="A89" s="921"/>
      <c r="B89" s="1053" t="s">
        <v>154</v>
      </c>
      <c r="C89" s="915" t="s">
        <v>424</v>
      </c>
      <c r="D89" s="915" t="s">
        <v>425</v>
      </c>
      <c r="E89" s="915" t="s">
        <v>426</v>
      </c>
      <c r="F89" s="915" t="s">
        <v>427</v>
      </c>
      <c r="G89" s="915" t="s">
        <v>428</v>
      </c>
      <c r="H89" s="920"/>
      <c r="I89" s="920"/>
      <c r="J89" s="920"/>
      <c r="K89" s="920"/>
      <c r="L89" s="920"/>
      <c r="M89" s="964"/>
      <c r="N89" s="2369"/>
      <c r="O89" s="2369"/>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71"/>
      <c r="O90" s="2371"/>
      <c r="P90" s="334"/>
      <c r="Q90" s="846"/>
    </row>
    <row r="91" spans="1:17" s="813" customFormat="1" ht="15.75" thickTop="1">
      <c r="A91" s="895"/>
      <c r="B91" s="1053" t="s">
        <v>2665</v>
      </c>
      <c r="C91" s="915" t="s">
        <v>424</v>
      </c>
      <c r="D91" s="915" t="s">
        <v>425</v>
      </c>
      <c r="E91" s="915" t="s">
        <v>426</v>
      </c>
      <c r="F91" s="915" t="s">
        <v>427</v>
      </c>
      <c r="G91" s="915" t="s">
        <v>428</v>
      </c>
      <c r="H91" s="942"/>
      <c r="I91" s="942"/>
      <c r="J91" s="942"/>
      <c r="K91" s="942"/>
      <c r="L91" s="943"/>
      <c r="M91" s="944"/>
      <c r="N91" s="2372"/>
      <c r="O91" s="2372"/>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2"/>
      <c r="O92" s="2372"/>
      <c r="P92" s="900"/>
      <c r="Q92" s="901"/>
    </row>
    <row r="93" spans="1:17" s="813" customFormat="1" ht="15.75" thickTop="1">
      <c r="A93" s="895"/>
      <c r="B93" s="1055" t="s">
        <v>2667</v>
      </c>
      <c r="C93" s="213" t="s">
        <v>2653</v>
      </c>
      <c r="D93" s="213" t="s">
        <v>2654</v>
      </c>
      <c r="E93" s="213" t="s">
        <v>2655</v>
      </c>
      <c r="F93" s="213" t="s">
        <v>2656</v>
      </c>
      <c r="G93" s="213" t="s">
        <v>2657</v>
      </c>
      <c r="H93" s="942"/>
      <c r="I93" s="942"/>
      <c r="J93" s="942"/>
      <c r="K93" s="942"/>
      <c r="L93" s="942"/>
      <c r="M93" s="944"/>
      <c r="N93" s="2372"/>
      <c r="O93" s="2372"/>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70"/>
      <c r="N94" s="2372"/>
      <c r="O94" s="2372"/>
      <c r="P94" s="900"/>
      <c r="Q94" s="901"/>
    </row>
    <row r="95" spans="1:17" ht="15.75" thickTop="1">
      <c r="A95" s="876"/>
      <c r="B95" s="1053" t="str">
        <f>B27</f>
        <v>临街状况</v>
      </c>
      <c r="C95" s="881" t="s">
        <v>507</v>
      </c>
      <c r="D95" s="881" t="s">
        <v>508</v>
      </c>
      <c r="E95" s="881" t="s">
        <v>509</v>
      </c>
      <c r="F95" s="881" t="s">
        <v>510</v>
      </c>
      <c r="G95" s="881"/>
      <c r="H95" s="881"/>
      <c r="I95" s="881"/>
      <c r="J95" s="881"/>
      <c r="K95" s="882"/>
      <c r="L95" s="883"/>
      <c r="M95" s="884"/>
      <c r="N95" s="2370"/>
      <c r="O95" s="2370"/>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1"/>
      <c r="O96" s="2371"/>
      <c r="P96" s="334"/>
      <c r="Q96" s="846"/>
    </row>
    <row r="97" spans="1:17" ht="27.75" thickTop="1">
      <c r="A97" s="876"/>
      <c r="B97" s="1053" t="s">
        <v>144</v>
      </c>
      <c r="C97" s="139"/>
      <c r="D97" s="139"/>
      <c r="E97" s="139"/>
      <c r="F97" s="139"/>
      <c r="G97" s="139"/>
      <c r="H97" s="131"/>
      <c r="I97" s="131"/>
      <c r="J97" s="131"/>
      <c r="K97" s="132"/>
      <c r="L97" s="133"/>
      <c r="M97" s="134"/>
      <c r="N97" s="2370"/>
      <c r="O97" s="2370"/>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1"/>
      <c r="O98" s="2371"/>
      <c r="P98" s="334"/>
      <c r="Q98" s="846"/>
    </row>
    <row r="99" spans="1:17" ht="15.75" thickTop="1">
      <c r="A99" s="876"/>
      <c r="B99" s="1053" t="s">
        <v>153</v>
      </c>
      <c r="C99" s="925"/>
      <c r="D99" s="925"/>
      <c r="E99" s="925"/>
      <c r="F99" s="925"/>
      <c r="G99" s="925"/>
      <c r="H99" s="925"/>
      <c r="I99" s="925"/>
      <c r="J99" s="925"/>
      <c r="K99" s="926"/>
      <c r="L99" s="927"/>
      <c r="M99" s="928"/>
      <c r="N99" s="2370"/>
      <c r="O99" s="2370"/>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1"/>
      <c r="O100" s="2371"/>
      <c r="P100" s="334"/>
      <c r="Q100" s="846"/>
    </row>
    <row r="101" spans="1:17" ht="15.75" thickTop="1">
      <c r="A101" s="876"/>
      <c r="B101" s="1055">
        <f>B31</f>
        <v>111</v>
      </c>
      <c r="C101" s="139"/>
      <c r="D101" s="139"/>
      <c r="E101" s="139"/>
      <c r="F101" s="139"/>
      <c r="G101" s="135"/>
      <c r="H101" s="135"/>
      <c r="I101" s="135"/>
      <c r="J101" s="135"/>
      <c r="K101" s="136"/>
      <c r="L101" s="137"/>
      <c r="M101" s="138"/>
      <c r="N101" s="2370"/>
      <c r="O101" s="2370"/>
      <c r="P101" s="334"/>
      <c r="Q101" s="846"/>
    </row>
    <row r="102" spans="1:17" ht="15.75" thickBot="1">
      <c r="A102" s="876"/>
      <c r="B102" s="1070"/>
      <c r="C102" s="902"/>
      <c r="D102" s="878"/>
      <c r="E102" s="878"/>
      <c r="F102" s="878"/>
      <c r="G102" s="933"/>
      <c r="H102" s="933"/>
      <c r="I102" s="933"/>
      <c r="J102" s="933"/>
      <c r="K102" s="933"/>
      <c r="L102" s="933"/>
      <c r="M102" s="934"/>
      <c r="N102" s="2371"/>
      <c r="O102" s="2371"/>
      <c r="P102" s="334"/>
      <c r="Q102" s="846"/>
    </row>
    <row r="103" spans="1:17" ht="15" thickTop="1">
      <c r="A103" s="1083"/>
      <c r="B103" s="1053">
        <f>B32</f>
        <v>111</v>
      </c>
      <c r="C103" s="139"/>
      <c r="D103" s="139"/>
      <c r="E103" s="139"/>
      <c r="F103" s="139"/>
      <c r="G103" s="131"/>
      <c r="H103" s="131"/>
      <c r="I103" s="131"/>
      <c r="J103" s="131"/>
      <c r="K103" s="132"/>
      <c r="L103" s="133"/>
      <c r="M103" s="134"/>
      <c r="N103" s="2370"/>
      <c r="O103" s="2370"/>
      <c r="P103" s="334"/>
      <c r="Q103" s="846"/>
    </row>
    <row r="104" spans="1:17" ht="15.75" thickBot="1">
      <c r="A104" s="876"/>
      <c r="B104" s="1054"/>
      <c r="C104" s="902"/>
      <c r="D104" s="902"/>
      <c r="E104" s="902"/>
      <c r="F104" s="902"/>
      <c r="G104" s="878"/>
      <c r="H104" s="878"/>
      <c r="I104" s="878"/>
      <c r="J104" s="878"/>
      <c r="K104" s="878"/>
      <c r="L104" s="878"/>
      <c r="M104" s="879"/>
      <c r="N104" s="2371"/>
      <c r="O104" s="2371"/>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2"/>
      <c r="O105" s="2372"/>
      <c r="P105" s="900"/>
      <c r="Q105" s="901"/>
    </row>
    <row r="106" spans="1:17" s="813" customFormat="1" ht="15.75" thickBot="1">
      <c r="A106" s="895"/>
      <c r="B106" s="1055"/>
      <c r="C106" s="912"/>
      <c r="D106" s="912"/>
      <c r="E106" s="912"/>
      <c r="F106" s="912"/>
      <c r="G106" s="1085"/>
      <c r="H106" s="1085"/>
      <c r="I106" s="1085"/>
      <c r="J106" s="1085"/>
      <c r="K106" s="1085"/>
      <c r="L106" s="1085"/>
      <c r="M106" s="1107"/>
      <c r="N106" s="2371"/>
      <c r="O106" s="2371"/>
      <c r="P106" s="900"/>
      <c r="Q106" s="901"/>
    </row>
    <row r="107" spans="1:17">
      <c r="A107" s="869" t="s">
        <v>407</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9" t="str">
        <f t="shared" si="25"/>
        <v>(含)-</v>
      </c>
      <c r="L107" s="3299" t="str">
        <f t="shared" si="25"/>
        <v>(含)-</v>
      </c>
      <c r="M107" s="3300" t="str">
        <f>M108&amp;"(含)"&amp;"-"&amp;P108</f>
        <v>(含)-</v>
      </c>
      <c r="N107" s="2370"/>
      <c r="O107" s="2370"/>
      <c r="P107" s="334"/>
      <c r="Q107" s="846"/>
    </row>
    <row r="108" spans="1:17" ht="15">
      <c r="A108" s="876"/>
      <c r="B108" s="1055"/>
      <c r="C108" s="937"/>
      <c r="D108" s="937"/>
      <c r="E108" s="937"/>
      <c r="F108" s="937"/>
      <c r="G108" s="937"/>
      <c r="H108" s="937"/>
      <c r="I108" s="937"/>
      <c r="J108" s="938"/>
      <c r="K108" s="938"/>
      <c r="L108" s="939"/>
      <c r="M108" s="940"/>
      <c r="N108" s="2370"/>
      <c r="O108" s="2370"/>
      <c r="P108" s="334"/>
      <c r="Q108" s="846"/>
    </row>
    <row r="109" spans="1:17" ht="15.75" thickBot="1">
      <c r="A109" s="876"/>
      <c r="B109" s="1054"/>
      <c r="C109" s="912"/>
      <c r="D109" s="933"/>
      <c r="E109" s="933"/>
      <c r="F109" s="933"/>
      <c r="G109" s="933"/>
      <c r="H109" s="933"/>
      <c r="I109" s="933"/>
      <c r="J109" s="933"/>
      <c r="K109" s="933"/>
      <c r="L109" s="933"/>
      <c r="M109" s="934"/>
      <c r="N109" s="2371"/>
      <c r="O109" s="2371"/>
      <c r="P109" s="334"/>
      <c r="Q109" s="846"/>
    </row>
    <row r="110" spans="1:17" ht="15" thickTop="1">
      <c r="A110" s="941"/>
      <c r="B110" s="1053" t="s">
        <v>86</v>
      </c>
      <c r="C110" s="131"/>
      <c r="D110" s="131"/>
      <c r="E110" s="131"/>
      <c r="F110" s="131"/>
      <c r="G110" s="131"/>
      <c r="H110" s="131"/>
      <c r="I110" s="131"/>
      <c r="J110" s="131"/>
      <c r="K110" s="132"/>
      <c r="L110" s="133"/>
      <c r="M110" s="134"/>
      <c r="N110" s="2370"/>
      <c r="O110" s="2370"/>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1"/>
      <c r="O111" s="2371"/>
      <c r="P111" s="334"/>
      <c r="Q111" s="846"/>
    </row>
    <row r="112" spans="1:17" s="813" customFormat="1" ht="15" thickTop="1">
      <c r="A112" s="935"/>
      <c r="B112" s="1053" t="s">
        <v>2499</v>
      </c>
      <c r="C112" s="139"/>
      <c r="D112" s="139"/>
      <c r="E112" s="139"/>
      <c r="F112" s="139"/>
      <c r="G112" s="139"/>
      <c r="H112" s="131"/>
      <c r="I112" s="131"/>
      <c r="J112" s="131"/>
      <c r="K112" s="132"/>
      <c r="L112" s="133"/>
      <c r="M112" s="134"/>
      <c r="N112" s="2372"/>
      <c r="O112" s="2372"/>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2"/>
      <c r="O113" s="2372"/>
      <c r="P113" s="900"/>
      <c r="Q113" s="901"/>
    </row>
    <row r="114" spans="1:17" ht="15" thickTop="1">
      <c r="A114" s="941"/>
      <c r="B114" s="1053" t="s">
        <v>85</v>
      </c>
      <c r="C114" s="139"/>
      <c r="D114" s="139"/>
      <c r="E114" s="131"/>
      <c r="F114" s="131"/>
      <c r="G114" s="131"/>
      <c r="H114" s="131"/>
      <c r="I114" s="131"/>
      <c r="J114" s="131"/>
      <c r="K114" s="132"/>
      <c r="L114" s="133"/>
      <c r="M114" s="134"/>
      <c r="N114" s="2370"/>
      <c r="O114" s="2370"/>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1"/>
      <c r="O115" s="2371"/>
      <c r="P115" s="334"/>
      <c r="Q115" s="846"/>
    </row>
    <row r="116" spans="1:17" ht="15" thickTop="1">
      <c r="A116" s="941"/>
      <c r="B116" s="1053">
        <f>B38</f>
        <v>111</v>
      </c>
      <c r="C116" s="139"/>
      <c r="D116" s="139"/>
      <c r="E116" s="139"/>
      <c r="F116" s="139"/>
      <c r="G116" s="139"/>
      <c r="H116" s="131"/>
      <c r="I116" s="131"/>
      <c r="J116" s="131"/>
      <c r="K116" s="132"/>
      <c r="L116" s="133"/>
      <c r="M116" s="134"/>
      <c r="N116" s="2370"/>
      <c r="O116" s="2370"/>
      <c r="P116" s="334"/>
      <c r="Q116" s="846"/>
    </row>
    <row r="117" spans="1:17" ht="15.75" thickBot="1">
      <c r="A117" s="876"/>
      <c r="B117" s="1054"/>
      <c r="C117" s="902"/>
      <c r="D117" s="878"/>
      <c r="E117" s="878"/>
      <c r="F117" s="878"/>
      <c r="G117" s="878"/>
      <c r="H117" s="878"/>
      <c r="I117" s="878"/>
      <c r="J117" s="878"/>
      <c r="K117" s="878"/>
      <c r="L117" s="878"/>
      <c r="M117" s="879"/>
      <c r="N117" s="2371"/>
      <c r="O117" s="2371"/>
      <c r="P117" s="334"/>
      <c r="Q117" s="846"/>
    </row>
    <row r="118" spans="1:17" ht="15" thickTop="1">
      <c r="A118" s="941"/>
      <c r="B118" s="1053">
        <f>B39</f>
        <v>111</v>
      </c>
      <c r="C118" s="139"/>
      <c r="D118" s="139"/>
      <c r="E118" s="139"/>
      <c r="F118" s="139"/>
      <c r="G118" s="131"/>
      <c r="H118" s="131"/>
      <c r="I118" s="131"/>
      <c r="J118" s="131"/>
      <c r="K118" s="132"/>
      <c r="L118" s="133"/>
      <c r="M118" s="134"/>
      <c r="N118" s="2370"/>
      <c r="O118" s="2370"/>
      <c r="P118" s="334"/>
      <c r="Q118" s="846"/>
    </row>
    <row r="119" spans="1:17" ht="15.75" thickBot="1">
      <c r="A119" s="876"/>
      <c r="B119" s="1054"/>
      <c r="C119" s="902"/>
      <c r="D119" s="902"/>
      <c r="E119" s="902"/>
      <c r="F119" s="902"/>
      <c r="G119" s="878"/>
      <c r="H119" s="878"/>
      <c r="I119" s="878"/>
      <c r="J119" s="878"/>
      <c r="K119" s="878"/>
      <c r="L119" s="878"/>
      <c r="M119" s="879"/>
      <c r="N119" s="2371"/>
      <c r="O119" s="2371"/>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2"/>
      <c r="O120" s="2372"/>
      <c r="P120" s="900"/>
      <c r="Q120" s="901"/>
    </row>
    <row r="121" spans="1:17" s="813" customFormat="1" ht="15.75" thickBot="1">
      <c r="A121" s="910"/>
      <c r="B121" s="1078"/>
      <c r="C121" s="912"/>
      <c r="D121" s="912"/>
      <c r="E121" s="912"/>
      <c r="F121" s="912"/>
      <c r="G121" s="933"/>
      <c r="H121" s="933"/>
      <c r="I121" s="933"/>
      <c r="J121" s="933"/>
      <c r="K121" s="933"/>
      <c r="L121" s="933"/>
      <c r="M121" s="934"/>
      <c r="N121" s="2372"/>
      <c r="O121" s="2372"/>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topLeftCell="A7" zoomScaleSheetLayoutView="96" workbookViewId="0">
      <selection activeCell="C29" sqref="C29"/>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1794</v>
      </c>
      <c r="B1" s="1473"/>
      <c r="C1" s="86" t="s">
        <v>2500</v>
      </c>
      <c r="D1" s="1738">
        <f>SUM(D29:D30,D33:D39)</f>
        <v>12736.12000000001</v>
      </c>
      <c r="E1" s="1623"/>
      <c r="F1" s="1623"/>
      <c r="G1" s="1623"/>
      <c r="H1" s="1623"/>
      <c r="I1" s="1623"/>
      <c r="J1" s="1623"/>
      <c r="K1" s="2382"/>
      <c r="L1" s="1884" t="s">
        <v>1226</v>
      </c>
      <c r="M1" s="2137">
        <f>SUMPRODUCT((区片价!B5:B9=I2)*(区片价!C3:F3=E2)*(区片价!C5:F9))</f>
        <v>0</v>
      </c>
      <c r="N1" s="2140">
        <f>SUMPRODUCT((因素修正幅度!B5:B9=I2)*(因素修正幅度!C3:F3=E2)*(因素修正幅度!C5:F9))</f>
        <v>0</v>
      </c>
      <c r="O1" s="2386"/>
      <c r="P1" s="2386"/>
      <c r="Q1" s="2382"/>
      <c r="R1" s="3071" t="s">
        <v>2887</v>
      </c>
      <c r="S1" s="3071" t="s">
        <v>2888</v>
      </c>
      <c r="T1" s="3071" t="s">
        <v>2889</v>
      </c>
      <c r="U1" s="3071" t="s">
        <v>2890</v>
      </c>
      <c r="V1" s="3071" t="s">
        <v>2891</v>
      </c>
      <c r="W1" s="3072"/>
      <c r="X1" s="3072"/>
      <c r="Y1" s="3072"/>
      <c r="Z1" s="3072"/>
      <c r="AA1" s="3072"/>
      <c r="AB1" s="3072"/>
      <c r="AC1" s="3073"/>
      <c r="AD1" s="3074"/>
      <c r="AE1" s="3074"/>
      <c r="AF1" s="3074"/>
      <c r="AG1" s="3074"/>
      <c r="AH1" s="3074"/>
      <c r="AI1" s="3074"/>
      <c r="AJ1" s="3075"/>
    </row>
    <row r="2" spans="1:36" ht="15.75">
      <c r="A2" s="86" t="s">
        <v>1795</v>
      </c>
      <c r="B2" s="580">
        <f ca="1">C26</f>
        <v>58885</v>
      </c>
      <c r="C2" s="1471" t="s">
        <v>1136</v>
      </c>
      <c r="D2" s="1628" t="s">
        <v>1796</v>
      </c>
      <c r="E2" s="1782" t="s">
        <v>141</v>
      </c>
      <c r="F2" s="1628" t="s">
        <v>1797</v>
      </c>
      <c r="G2" s="1605" t="str">
        <f>IF(E2="商业",项目基本情况!B37,IF(E2="办公",项目基本情况!C37,IF(E2="住宅",项目基本情况!D37,项目基本情况!E37)))</f>
        <v>八级</v>
      </c>
      <c r="H2" s="1628" t="s">
        <v>1798</v>
      </c>
      <c r="I2" s="1605" t="str">
        <f>IF(E2="商业",项目基本情况!B38,IF(E2="办公",项目基本情况!C38,IF(E2="住宅",项目基本情况!D38,项目基本情况!E38)))</f>
        <v>Ⅷ-怀1</v>
      </c>
      <c r="J2" s="1629"/>
      <c r="K2" s="2382"/>
      <c r="L2" s="1885" t="s">
        <v>1283</v>
      </c>
      <c r="M2" s="2138">
        <f>SUMPRODUCT((区片价!B10:B28=I2)*(区片价!C3:F3=E2)*(区片价!C10:F28))</f>
        <v>0</v>
      </c>
      <c r="N2" s="2140">
        <f>SUMPRODUCT((因素修正幅度!B10:B28=I2)*(因素修正幅度!C3:F3=E2)*(因素修正幅度!C10:F28))</f>
        <v>0</v>
      </c>
      <c r="O2" s="2382"/>
      <c r="P2" s="2382"/>
      <c r="Q2" s="2382"/>
      <c r="R2" s="3076">
        <v>1</v>
      </c>
      <c r="S2" s="3076">
        <f>ROUND(IF(G3&gt;1,IF(R2&lt;7,SUMPRODUCT((B93:B98=R2)*(C92:N92=G2)*(C93:N98)),SUMIF(C92:N92,G2,C100:N100)),IF(R2&lt;7,SUMPRODUCT((B102:B107=R2)*(C92:N92=G2)*(C102:N107)),SUMIF(C92:N92,G2,C109:N109))),4)</f>
        <v>12.9467</v>
      </c>
      <c r="T2" s="3076">
        <f ca="1">ROUND($C$5*$C$18*$C$19*$C$20*S2*$C$24,0)</f>
        <v>64447</v>
      </c>
      <c r="U2" s="3077"/>
      <c r="V2" s="3076">
        <f ca="1">ROUND(T2*U2/10000,0)</f>
        <v>0</v>
      </c>
      <c r="W2" s="3072"/>
      <c r="X2" s="3072"/>
      <c r="Y2" s="3072"/>
      <c r="Z2" s="3072"/>
      <c r="AA2" s="3072"/>
      <c r="AB2" s="3072"/>
      <c r="AC2" s="3073"/>
      <c r="AD2" s="3074"/>
      <c r="AE2" s="3074"/>
      <c r="AF2" s="3074"/>
      <c r="AG2" s="3074"/>
      <c r="AH2" s="3074"/>
      <c r="AI2" s="3074"/>
      <c r="AJ2" s="3075"/>
    </row>
    <row r="3" spans="1:36" ht="15.75">
      <c r="A3" s="87" t="s">
        <v>1799</v>
      </c>
      <c r="B3" s="580">
        <f ca="1">ROUND(B2*10000/D1,0)</f>
        <v>46235</v>
      </c>
      <c r="C3" s="1471" t="s">
        <v>1800</v>
      </c>
      <c r="D3" s="1628" t="s">
        <v>1139</v>
      </c>
      <c r="E3" s="1783" t="s">
        <v>3174</v>
      </c>
      <c r="F3" s="1784" t="s">
        <v>3021</v>
      </c>
      <c r="G3" s="1630">
        <f>IF(F3="宗地容积率",'数据-汇总表'!I4,IF(F3="估价对象容积率",'数据-汇总表'!I6,'数据-汇总表'!I7))</f>
        <v>0.15</v>
      </c>
      <c r="H3" s="1631" t="s">
        <v>1140</v>
      </c>
      <c r="I3" s="1785"/>
      <c r="J3" s="1629" t="s">
        <v>1141</v>
      </c>
      <c r="K3" s="2382"/>
      <c r="L3" s="1885" t="s">
        <v>1456</v>
      </c>
      <c r="M3" s="2138">
        <f>SUMPRODUCT((区片价!B29:B48=I2)*(区片价!C3:F3=E2)*(区片价!C29:F48))</f>
        <v>0</v>
      </c>
      <c r="N3" s="2140">
        <f>SUMPRODUCT((因素修正幅度!B29:B48=I2)*(因素修正幅度!C3:F3=E2)*(因素修正幅度!C29:F48))</f>
        <v>0</v>
      </c>
      <c r="O3" s="2382"/>
      <c r="P3" s="2382"/>
      <c r="Q3" s="2382"/>
      <c r="R3" s="3076">
        <v>2</v>
      </c>
      <c r="S3" s="3076">
        <f>ROUND(IF(G3&gt;1,IF(R3&lt;7,SUMPRODUCT((B93:B98=R3)*(C92:N92=G2)*(C93:N98)),SUMIF(C92:N92,G2,C100:N100)),IF(R3&lt;7,SUMPRODUCT((B102:B107=R3)*(C92:N92=G2)*(C102:N107)),SUMIF(C92:N92,G2,C109:N109))),4)</f>
        <v>8.5327000000000002</v>
      </c>
      <c r="T3" s="3076">
        <f t="shared" ref="T3:T16" ca="1" si="0">ROUND($C$5*$C$18*$C$19*$C$20*S3*$C$24,0)</f>
        <v>42475</v>
      </c>
      <c r="U3" s="3077"/>
      <c r="V3" s="3076">
        <f t="shared" ref="V3:V16" ca="1" si="1">ROUND(T3*U3/10000,0)</f>
        <v>0</v>
      </c>
      <c r="W3" s="3072"/>
      <c r="X3" s="3072"/>
      <c r="Y3" s="3072"/>
      <c r="Z3" s="3072"/>
      <c r="AA3" s="3072"/>
      <c r="AB3" s="3072"/>
      <c r="AC3" s="3073"/>
      <c r="AD3" s="3074"/>
      <c r="AE3" s="3074"/>
      <c r="AF3" s="3074"/>
      <c r="AG3" s="3074"/>
      <c r="AH3" s="3074"/>
      <c r="AI3" s="3074"/>
      <c r="AJ3" s="3075"/>
    </row>
    <row r="4" spans="1:36" ht="15">
      <c r="A4" s="3779"/>
      <c r="B4" s="3780"/>
      <c r="C4" s="3780"/>
      <c r="D4" s="3781"/>
      <c r="E4" s="3781"/>
      <c r="F4" s="3781"/>
      <c r="G4" s="3781"/>
      <c r="H4" s="3781"/>
      <c r="I4" s="3781"/>
      <c r="J4" s="3782"/>
      <c r="K4" s="2382"/>
      <c r="L4" s="1885" t="s">
        <v>1137</v>
      </c>
      <c r="M4" s="2138">
        <f>SUMPRODUCT((区片价!B49:B75=I2)*(区片价!C3:F3=E2)*(区片价!C49:F75))</f>
        <v>0</v>
      </c>
      <c r="N4" s="2140">
        <f>SUMPRODUCT((因素修正幅度!B49:B75=I2)*(因素修正幅度!C3:F3=E2)*(因素修正幅度!C49:F75))</f>
        <v>0</v>
      </c>
      <c r="O4" s="2382"/>
      <c r="P4" s="2382"/>
      <c r="Q4" s="2382"/>
      <c r="R4" s="3076">
        <v>3</v>
      </c>
      <c r="S4" s="3076">
        <f>ROUND(IF(G3&gt;1,IF(R4&lt;7,SUMPRODUCT((B93:B98=R4)*(C92:N92=G2)*(C93:N98)),SUMIF(C92:N92,G2,C100:N100)),IF(R4&lt;7,SUMPRODUCT((B102:B107=R4)*(C92:N92=G2)*(C102:N107)),SUMIF(C92:N92,G2,C109:N109))),4)</f>
        <v>6.7146999999999997</v>
      </c>
      <c r="T4" s="3076">
        <f t="shared" ca="1" si="0"/>
        <v>33425</v>
      </c>
      <c r="U4" s="3077"/>
      <c r="V4" s="3076">
        <f t="shared" ca="1" si="1"/>
        <v>0</v>
      </c>
      <c r="W4" s="3072"/>
      <c r="X4" s="3072"/>
      <c r="Y4" s="3072"/>
      <c r="Z4" s="3072"/>
      <c r="AA4" s="3072"/>
      <c r="AB4" s="3072"/>
      <c r="AC4" s="3073"/>
      <c r="AD4" s="3074"/>
      <c r="AE4" s="3074"/>
      <c r="AF4" s="3074"/>
      <c r="AG4" s="3074"/>
      <c r="AH4" s="3074"/>
      <c r="AI4" s="3074"/>
      <c r="AJ4" s="3075"/>
    </row>
    <row r="5" spans="1:36" s="1638" customFormat="1" ht="15.75" thickBot="1">
      <c r="A5" s="1878" t="s">
        <v>1937</v>
      </c>
      <c r="B5" s="1632" t="s">
        <v>1801</v>
      </c>
      <c r="C5" s="1633">
        <f>ROUND(IF(E2="商业",IF(F16="增加",C6*C7+C16,C6*C7-C16),IF(E2="住宅",IF(F16="增加",C6*C12+C16,C6*C12-C16),IF(F16="增加",C6+C16,C6-C16))),0)</f>
        <v>5615</v>
      </c>
      <c r="D5" s="3346">
        <f>ROUND(IF(E2="商业",IF(F16="增加",C6+C16,C6-C16)),0)</f>
        <v>0</v>
      </c>
      <c r="E5" s="1634"/>
      <c r="F5" s="1634"/>
      <c r="G5" s="1635"/>
      <c r="H5" s="1635"/>
      <c r="I5" s="1635"/>
      <c r="J5" s="1636"/>
      <c r="K5" s="2387"/>
      <c r="L5" s="1885" t="s">
        <v>1537</v>
      </c>
      <c r="M5" s="2138">
        <f>SUMPRODUCT((区片价!B76:B109=I2)*(区片价!C3:F3=E2)*(区片价!C76:F109))</f>
        <v>0</v>
      </c>
      <c r="N5" s="2140">
        <f>SUMPRODUCT((因素修正幅度!B76:B109=I2)*(因素修正幅度!C3:F3=E2)*(因素修正幅度!C76:F109))</f>
        <v>0</v>
      </c>
      <c r="O5" s="2382"/>
      <c r="P5" s="2382"/>
      <c r="Q5" s="2382"/>
      <c r="R5" s="3076">
        <v>4</v>
      </c>
      <c r="S5" s="3076">
        <f>ROUND(IF(G3&gt;1,IF(R5&lt;7,SUMPRODUCT((B93:B98=R5)*(C92:N92=G2)*(C93:N98)),SUMIF(C92:N92,G2,C100:N100)),IF(R5&lt;7,SUMPRODUCT((B102:B107=R5)*(C92:N92=G2)*(C102:N107)),SUMIF(C92:N92,G2,C109:N109))),4)</f>
        <v>5.0167000000000002</v>
      </c>
      <c r="T5" s="3076">
        <f t="shared" ca="1" si="0"/>
        <v>24973</v>
      </c>
      <c r="U5" s="3077"/>
      <c r="V5" s="3076">
        <f t="shared" ca="1" si="1"/>
        <v>0</v>
      </c>
      <c r="W5" s="3072"/>
      <c r="X5" s="3072"/>
      <c r="Y5" s="3072"/>
      <c r="Z5" s="3072"/>
      <c r="AA5" s="3072"/>
      <c r="AB5" s="3072"/>
      <c r="AC5" s="3078"/>
      <c r="AD5" s="3079"/>
      <c r="AE5" s="3079"/>
      <c r="AF5" s="3079"/>
      <c r="AG5" s="3079"/>
      <c r="AH5" s="3079"/>
      <c r="AI5" s="3079"/>
      <c r="AJ5" s="3080"/>
    </row>
    <row r="6" spans="1:36" ht="15.75" thickBot="1">
      <c r="A6" s="1882" t="s">
        <v>1944</v>
      </c>
      <c r="B6" s="1639" t="s">
        <v>1801</v>
      </c>
      <c r="C6" s="1640">
        <f>SUMIF(L1:L12,G2,M1:M12)</f>
        <v>5600</v>
      </c>
      <c r="D6" s="1641" t="s">
        <v>1802</v>
      </c>
      <c r="E6" s="1642"/>
      <c r="F6" s="1642"/>
      <c r="G6" s="1643"/>
      <c r="H6" s="1643"/>
      <c r="I6" s="1643"/>
      <c r="J6" s="1644"/>
      <c r="K6" s="2388"/>
      <c r="L6" s="1885" t="s">
        <v>202</v>
      </c>
      <c r="M6" s="2138">
        <f>SUMPRODUCT((区片价!B110:B157=I2)*(区片价!C3:F3=E2)*(区片价!C110:F157))</f>
        <v>0</v>
      </c>
      <c r="N6" s="2140">
        <f>SUMPRODUCT((因素修正幅度!B110:B157=I2)*(因素修正幅度!C3:F3=E2)*(因素修正幅度!C110:F157))</f>
        <v>0</v>
      </c>
      <c r="O6" s="2382"/>
      <c r="P6" s="2382"/>
      <c r="Q6" s="2382"/>
      <c r="R6" s="3076">
        <v>5</v>
      </c>
      <c r="S6" s="3076">
        <f>ROUND(IF(G3&gt;1,IF(R6&lt;7,SUMPRODUCT((B93:B98=R6)*(C92:N92=G2)*(C93:N98)),SUMIF(C92:N92,G2,C100:N100)),IF(R6&lt;7,SUMPRODUCT((B102:B107=R6)*(C92:N92=G2)*(C102:N107)),SUMIF(C92:N92,G2,C109:N109))),4)</f>
        <v>3.7726999999999999</v>
      </c>
      <c r="T6" s="3076">
        <f t="shared" ca="1" si="0"/>
        <v>18780</v>
      </c>
      <c r="U6" s="3077"/>
      <c r="V6" s="3076">
        <f t="shared" ca="1" si="1"/>
        <v>0</v>
      </c>
      <c r="W6" s="3072"/>
      <c r="X6" s="3072"/>
      <c r="Y6" s="3072"/>
      <c r="Z6" s="3072"/>
      <c r="AA6" s="3072"/>
      <c r="AB6" s="3072"/>
      <c r="AC6" s="3078"/>
      <c r="AD6" s="3079"/>
      <c r="AE6" s="3079"/>
      <c r="AF6" s="3079"/>
      <c r="AG6" s="3079"/>
      <c r="AH6" s="3079"/>
      <c r="AI6" s="3079"/>
      <c r="AJ6" s="3080"/>
    </row>
    <row r="7" spans="1:36" ht="24">
      <c r="A7" s="3763" t="str">
        <f>IF(E2="商业",IF(C8="不临58条商业街","",2),"")</f>
        <v/>
      </c>
      <c r="B7" s="1645" t="s">
        <v>1803</v>
      </c>
      <c r="C7" s="1646">
        <f>IF(C8="不临58条商业街",1,ROUND(1+(1.6*E8+1.2*E9+0.8*E10+0.4*E11)*C9,4))</f>
        <v>1</v>
      </c>
      <c r="D7" s="1647" t="s">
        <v>1804</v>
      </c>
      <c r="E7" s="1786"/>
      <c r="F7" s="1648"/>
      <c r="G7" s="1649"/>
      <c r="H7" s="1649"/>
      <c r="I7" s="1649"/>
      <c r="J7" s="1650"/>
      <c r="K7" s="2388"/>
      <c r="L7" s="1885" t="s">
        <v>1540</v>
      </c>
      <c r="M7" s="2138">
        <f>SUMPRODUCT((区片价!B158:B205=I2)*(区片价!C3:F3=E2)*(区片价!C158:F205))</f>
        <v>0</v>
      </c>
      <c r="N7" s="2140">
        <f>SUMPRODUCT((因素修正幅度!B158:B205=I2)*(因素修正幅度!C3:F3=E2)*(因素修正幅度!C158:F205))</f>
        <v>0</v>
      </c>
      <c r="O7" s="2382"/>
      <c r="P7" s="2382"/>
      <c r="Q7" s="2382"/>
      <c r="R7" s="3076">
        <v>6</v>
      </c>
      <c r="S7" s="3076">
        <f>ROUND(IF(G3&gt;1,IF(R7&lt;7,SUMPRODUCT((B93:B98=R7)*(C92:N92=G2)*(C93:N98)),SUMIF(C92:N92,G2,C100:N100)),IF(R7&lt;7,SUMPRODUCT((B102:B107=R7)*(C92:N92=G2)*(C102:N107)),SUMIF(C92:N92,G2,C109:N109))),4)</f>
        <v>3.0167000000000002</v>
      </c>
      <c r="T7" s="3076">
        <f t="shared" ca="1" si="0"/>
        <v>15017</v>
      </c>
      <c r="U7" s="3077"/>
      <c r="V7" s="3076">
        <f t="shared" ca="1" si="1"/>
        <v>0</v>
      </c>
      <c r="W7" s="3081" t="s">
        <v>2892</v>
      </c>
      <c r="X7" s="3082" t="str">
        <f>G2</f>
        <v>八级</v>
      </c>
      <c r="Y7" s="3082" t="s">
        <v>2893</v>
      </c>
      <c r="Z7" s="3083">
        <f>G3</f>
        <v>0.15</v>
      </c>
      <c r="AA7" s="3084"/>
      <c r="AB7" s="3084"/>
      <c r="AC7" s="3085"/>
      <c r="AD7" s="3086"/>
      <c r="AE7" s="3086"/>
      <c r="AF7" s="3086"/>
      <c r="AG7" s="3086"/>
      <c r="AH7" s="3086"/>
      <c r="AI7" s="3086"/>
      <c r="AJ7" s="3087"/>
    </row>
    <row r="8" spans="1:36" ht="24">
      <c r="A8" s="3764"/>
      <c r="B8" s="1631" t="s">
        <v>1805</v>
      </c>
      <c r="C8" s="1787" t="s">
        <v>3125</v>
      </c>
      <c r="D8" s="1651" t="s">
        <v>1142</v>
      </c>
      <c r="E8" s="1652" t="e">
        <f>ROUND(C11/E7,4)</f>
        <v>#DIV/0!</v>
      </c>
      <c r="F8" s="1653" t="s">
        <v>1806</v>
      </c>
      <c r="G8" s="1654"/>
      <c r="H8" s="1654"/>
      <c r="I8" s="1654"/>
      <c r="J8" s="1655"/>
      <c r="K8" s="2382"/>
      <c r="L8" s="1885" t="s">
        <v>1542</v>
      </c>
      <c r="M8" s="2138">
        <f>SUMPRODUCT((区片价!B206:B244=I2)*(区片价!C3:F3=E2)*(区片价!C206:F244))</f>
        <v>5600</v>
      </c>
      <c r="N8" s="2140">
        <f>SUMPRODUCT((因素修正幅度!B206:B244=I2)*(因素修正幅度!C3:F3=E2)*(因素修正幅度!C206:F244))</f>
        <v>0.14399999999999999</v>
      </c>
      <c r="O8" s="2382"/>
      <c r="P8" s="2382"/>
      <c r="Q8" s="2382"/>
      <c r="R8" s="3076">
        <v>7</v>
      </c>
      <c r="S8" s="3077"/>
      <c r="T8" s="3076">
        <f t="shared" ca="1" si="0"/>
        <v>0</v>
      </c>
      <c r="U8" s="3077"/>
      <c r="V8" s="3076">
        <f t="shared" ca="1" si="1"/>
        <v>0</v>
      </c>
      <c r="W8" s="3776" t="s">
        <v>2894</v>
      </c>
      <c r="X8" s="3777"/>
      <c r="Y8" s="3088" t="s">
        <v>164</v>
      </c>
      <c r="Z8" s="3088" t="s">
        <v>165</v>
      </c>
      <c r="AA8" s="3088" t="s">
        <v>160</v>
      </c>
      <c r="AB8" s="3088" t="s">
        <v>161</v>
      </c>
      <c r="AC8" s="3088" t="s">
        <v>162</v>
      </c>
      <c r="AD8" s="3088" t="s">
        <v>163</v>
      </c>
      <c r="AE8" s="3088" t="s">
        <v>1177</v>
      </c>
      <c r="AF8" s="3088" t="s">
        <v>1178</v>
      </c>
      <c r="AG8" s="3088" t="s">
        <v>1179</v>
      </c>
      <c r="AH8" s="3088" t="s">
        <v>1180</v>
      </c>
      <c r="AI8" s="3088" t="s">
        <v>1181</v>
      </c>
      <c r="AJ8" s="3088" t="s">
        <v>1182</v>
      </c>
    </row>
    <row r="9" spans="1:36" ht="15">
      <c r="A9" s="3764"/>
      <c r="B9" s="1631" t="s">
        <v>1807</v>
      </c>
      <c r="C9" s="1656">
        <f>SUMIF(修正!C59:C119,C8,修正!E59:E119)</f>
        <v>0</v>
      </c>
      <c r="D9" s="532" t="s">
        <v>1143</v>
      </c>
      <c r="E9" s="532" t="e">
        <f>ROUND(C11/E7,4)</f>
        <v>#DIV/0!</v>
      </c>
      <c r="F9" s="1653" t="s">
        <v>1808</v>
      </c>
      <c r="G9" s="1654"/>
      <c r="H9" s="1654"/>
      <c r="I9" s="1654"/>
      <c r="J9" s="1655"/>
      <c r="K9" s="2382"/>
      <c r="L9" s="1885" t="s">
        <v>1544</v>
      </c>
      <c r="M9" s="2138">
        <f>SUMPRODUCT((区片价!B245:B289=I2)*(区片价!C3:F3=E2)*(区片价!C245:F289))</f>
        <v>0</v>
      </c>
      <c r="N9" s="2140">
        <f>SUMPRODUCT((因素修正幅度!B245:B289=I2)*(因素修正幅度!C3:F3=E2)*(因素修正幅度!C245:F289))</f>
        <v>0</v>
      </c>
      <c r="O9" s="2382"/>
      <c r="P9" s="2382"/>
      <c r="Q9" s="2382"/>
      <c r="R9" s="3076">
        <v>8</v>
      </c>
      <c r="S9" s="3077"/>
      <c r="T9" s="3076">
        <f t="shared" ca="1" si="0"/>
        <v>0</v>
      </c>
      <c r="U9" s="3077"/>
      <c r="V9" s="3076">
        <f t="shared" ca="1" si="1"/>
        <v>0</v>
      </c>
      <c r="W9" s="3778" t="s">
        <v>2895</v>
      </c>
      <c r="X9" s="3089" t="s">
        <v>1764</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64"/>
      <c r="B10" s="1631" t="s">
        <v>1809</v>
      </c>
      <c r="C10" s="532">
        <f>SUMIF(修正!C59:C119,C8,修正!F59:F119)</f>
        <v>0</v>
      </c>
      <c r="D10" s="532" t="s">
        <v>1144</v>
      </c>
      <c r="E10" s="532" t="e">
        <f>ROUND(C11/E7,4)</f>
        <v>#DIV/0!</v>
      </c>
      <c r="F10" s="1653" t="s">
        <v>1810</v>
      </c>
      <c r="G10" s="1654"/>
      <c r="H10" s="1654"/>
      <c r="I10" s="1654"/>
      <c r="J10" s="1655"/>
      <c r="K10" s="2382"/>
      <c r="L10" s="1885" t="s">
        <v>1548</v>
      </c>
      <c r="M10" s="2138">
        <f>SUMPRODUCT((区片价!B290:B316=I2)*(区片价!C3:F3=E2)*(区片价!C290:F316))</f>
        <v>0</v>
      </c>
      <c r="N10" s="2140">
        <f>SUMPRODUCT((因素修正幅度!B290:B316=I2)*(因素修正幅度!C3:F3=E2)*(因素修正幅度!C290:F316))</f>
        <v>0</v>
      </c>
      <c r="O10" s="2382"/>
      <c r="P10" s="2382"/>
      <c r="Q10" s="2382"/>
      <c r="R10" s="3076">
        <v>9</v>
      </c>
      <c r="S10" s="3077"/>
      <c r="T10" s="3076">
        <f t="shared" ca="1" si="0"/>
        <v>0</v>
      </c>
      <c r="U10" s="3077"/>
      <c r="V10" s="3076">
        <f t="shared" ca="1" si="1"/>
        <v>0</v>
      </c>
      <c r="W10" s="3778"/>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64"/>
      <c r="B11" s="1657" t="s">
        <v>1811</v>
      </c>
      <c r="C11" s="1658">
        <f>C10/4</f>
        <v>0</v>
      </c>
      <c r="D11" s="1658" t="s">
        <v>1145</v>
      </c>
      <c r="E11" s="1658" t="e">
        <f>ROUND(C11/E7,4)</f>
        <v>#DIV/0!</v>
      </c>
      <c r="F11" s="1659" t="s">
        <v>1812</v>
      </c>
      <c r="G11" s="1660"/>
      <c r="H11" s="1660"/>
      <c r="I11" s="1660"/>
      <c r="J11" s="1661"/>
      <c r="K11" s="2382"/>
      <c r="L11" s="1885" t="s">
        <v>1947</v>
      </c>
      <c r="M11" s="2138">
        <f>SUMPRODUCT((区片价!B317:B337=I2)*(区片价!C3:F3=E2)*(区片价!C317:F337))</f>
        <v>0</v>
      </c>
      <c r="N11" s="2140">
        <f>SUMPRODUCT((因素修正幅度!B317:B337=I2)*(因素修正幅度!C3:F3=E2)*(因素修正幅度!C317:F337))</f>
        <v>0</v>
      </c>
      <c r="O11" s="2382"/>
      <c r="P11" s="2382"/>
      <c r="Q11" s="2382"/>
      <c r="R11" s="3076">
        <v>10</v>
      </c>
      <c r="S11" s="3077"/>
      <c r="T11" s="3076">
        <f t="shared" ca="1" si="0"/>
        <v>0</v>
      </c>
      <c r="U11" s="3077"/>
      <c r="V11" s="3076">
        <f t="shared" ca="1" si="1"/>
        <v>0</v>
      </c>
      <c r="W11" s="3778" t="s">
        <v>2896</v>
      </c>
      <c r="X11" s="3092" t="s">
        <v>2893</v>
      </c>
      <c r="Y11" s="3093">
        <f>$G$3</f>
        <v>0.15</v>
      </c>
      <c r="Z11" s="3093">
        <f t="shared" ref="Z11:AJ11" si="3">$G$3</f>
        <v>0.15</v>
      </c>
      <c r="AA11" s="3093">
        <f t="shared" si="3"/>
        <v>0.15</v>
      </c>
      <c r="AB11" s="3093">
        <f t="shared" si="3"/>
        <v>0.15</v>
      </c>
      <c r="AC11" s="3093">
        <f t="shared" si="3"/>
        <v>0.15</v>
      </c>
      <c r="AD11" s="3093">
        <f t="shared" si="3"/>
        <v>0.15</v>
      </c>
      <c r="AE11" s="3093">
        <f t="shared" si="3"/>
        <v>0.15</v>
      </c>
      <c r="AF11" s="3093">
        <f t="shared" si="3"/>
        <v>0.15</v>
      </c>
      <c r="AG11" s="3093">
        <f t="shared" si="3"/>
        <v>0.15</v>
      </c>
      <c r="AH11" s="3093">
        <f t="shared" si="3"/>
        <v>0.15</v>
      </c>
      <c r="AI11" s="3093">
        <f t="shared" si="3"/>
        <v>0.15</v>
      </c>
      <c r="AJ11" s="3093">
        <f t="shared" si="3"/>
        <v>0.15</v>
      </c>
    </row>
    <row r="12" spans="1:36" ht="26.25" thickBot="1">
      <c r="A12" s="3763" t="s">
        <v>1945</v>
      </c>
      <c r="B12" s="1662" t="s">
        <v>1813</v>
      </c>
      <c r="C12" s="1646">
        <f>ROUND(C15*D15*E15*F15*G15*H15*I15*J15,4)</f>
        <v>1</v>
      </c>
      <c r="D12" s="1663" t="s">
        <v>1814</v>
      </c>
      <c r="E12" s="1664"/>
      <c r="F12" s="1664"/>
      <c r="G12" s="1665"/>
      <c r="H12" s="1665"/>
      <c r="I12" s="1665"/>
      <c r="J12" s="1666"/>
      <c r="K12" s="2382"/>
      <c r="L12" s="1886" t="s">
        <v>1948</v>
      </c>
      <c r="M12" s="2139">
        <f>SUMPRODUCT((区片价!B338:B344=I2)*(区片价!C3:F3=E2)*(区片价!C338:F344))</f>
        <v>0</v>
      </c>
      <c r="N12" s="2140">
        <f>SUMPRODUCT((因素修正幅度!B338:B344=I2)*(因素修正幅度!C3:F3=E2)*(因素修正幅度!C338:F344))</f>
        <v>0</v>
      </c>
      <c r="O12" s="2382"/>
      <c r="P12" s="2382"/>
      <c r="Q12" s="2382"/>
      <c r="R12" s="3076">
        <v>11</v>
      </c>
      <c r="S12" s="3077"/>
      <c r="T12" s="3076">
        <f t="shared" ca="1" si="0"/>
        <v>0</v>
      </c>
      <c r="U12" s="3077"/>
      <c r="V12" s="3076">
        <f t="shared" ca="1" si="1"/>
        <v>0</v>
      </c>
      <c r="W12" s="3778"/>
      <c r="X12" s="3094" t="s">
        <v>1767</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83"/>
      <c r="B13" s="1667" t="s">
        <v>1815</v>
      </c>
      <c r="C13" s="1668" t="s">
        <v>1816</v>
      </c>
      <c r="D13" s="1669" t="s">
        <v>1817</v>
      </c>
      <c r="E13" s="1669" t="s">
        <v>1818</v>
      </c>
      <c r="F13" s="81" t="s">
        <v>1146</v>
      </c>
      <c r="G13" s="1788" t="s">
        <v>1869</v>
      </c>
      <c r="H13" s="1788" t="s">
        <v>1869</v>
      </c>
      <c r="I13" s="1788" t="s">
        <v>1869</v>
      </c>
      <c r="J13" s="1789" t="s">
        <v>1869</v>
      </c>
      <c r="K13" s="2382"/>
      <c r="L13" s="2382"/>
      <c r="M13" s="2382"/>
      <c r="N13" s="2382"/>
      <c r="O13" s="2382"/>
      <c r="P13" s="2382"/>
      <c r="Q13" s="2382"/>
      <c r="R13" s="3076">
        <v>12</v>
      </c>
      <c r="S13" s="3077"/>
      <c r="T13" s="3076">
        <f t="shared" ca="1" si="0"/>
        <v>0</v>
      </c>
      <c r="U13" s="3077"/>
      <c r="V13" s="3076">
        <f t="shared" ca="1" si="1"/>
        <v>0</v>
      </c>
      <c r="W13" s="3778"/>
      <c r="X13" s="3094"/>
      <c r="Y13" s="3091">
        <f>(-0.163*(Y12^2)-0.59*Y12+7617)*(10^(-4))/Y11</f>
        <v>5.0780000000000003</v>
      </c>
      <c r="Z13" s="3091">
        <f t="shared" ref="Z13:AJ13" si="5">(-0.163*(Z12^2)-0.59*Z12+7617)*(10^(-4))/Z11</f>
        <v>5.0780000000000003</v>
      </c>
      <c r="AA13" s="3091">
        <f t="shared" si="5"/>
        <v>5.0780000000000003</v>
      </c>
      <c r="AB13" s="3091">
        <f t="shared" si="5"/>
        <v>5.0780000000000003</v>
      </c>
      <c r="AC13" s="3091">
        <f t="shared" si="5"/>
        <v>5.0780000000000003</v>
      </c>
      <c r="AD13" s="3091">
        <f t="shared" si="5"/>
        <v>5.0780000000000003</v>
      </c>
      <c r="AE13" s="3091">
        <f t="shared" si="5"/>
        <v>5.0780000000000003</v>
      </c>
      <c r="AF13" s="3091">
        <f t="shared" si="5"/>
        <v>5.0780000000000003</v>
      </c>
      <c r="AG13" s="3091">
        <f t="shared" si="5"/>
        <v>5.0780000000000003</v>
      </c>
      <c r="AH13" s="3091">
        <f t="shared" si="5"/>
        <v>5.0780000000000003</v>
      </c>
      <c r="AI13" s="3091">
        <f t="shared" si="5"/>
        <v>5.0780000000000003</v>
      </c>
      <c r="AJ13" s="3091">
        <f t="shared" si="5"/>
        <v>5.0780000000000003</v>
      </c>
    </row>
    <row r="14" spans="1:36" ht="15">
      <c r="A14" s="3783"/>
      <c r="B14" s="1670"/>
      <c r="C14" s="1790"/>
      <c r="D14" s="1487"/>
      <c r="E14" s="1487"/>
      <c r="F14" s="1791"/>
      <c r="G14" s="1671" t="s">
        <v>1846</v>
      </c>
      <c r="H14" s="1672"/>
      <c r="I14" s="1673"/>
      <c r="J14" s="1674"/>
      <c r="K14" s="2382"/>
      <c r="L14" s="2382"/>
      <c r="M14" s="2382"/>
      <c r="N14" s="2382"/>
      <c r="O14" s="2382"/>
      <c r="P14" s="2382"/>
      <c r="Q14" s="2382"/>
      <c r="R14" s="3076">
        <v>13</v>
      </c>
      <c r="S14" s="3077"/>
      <c r="T14" s="3076">
        <f t="shared" ca="1" si="0"/>
        <v>0</v>
      </c>
      <c r="U14" s="3077"/>
      <c r="V14" s="3076">
        <f t="shared" ca="1" si="1"/>
        <v>0</v>
      </c>
      <c r="W14" s="3072"/>
      <c r="X14" s="3072"/>
      <c r="Y14" s="3072"/>
      <c r="Z14" s="3072"/>
      <c r="AA14" s="3072"/>
      <c r="AB14" s="3072"/>
      <c r="AC14" s="3073"/>
      <c r="AD14" s="3074"/>
      <c r="AE14" s="3074"/>
      <c r="AF14" s="3074"/>
      <c r="AG14" s="3074"/>
      <c r="AH14" s="3074"/>
      <c r="AI14" s="3074"/>
      <c r="AJ14" s="3075"/>
    </row>
    <row r="15" spans="1:36" ht="15.75" thickBot="1">
      <c r="A15" s="3784"/>
      <c r="B15" s="1675" t="s">
        <v>1819</v>
      </c>
      <c r="C15" s="561">
        <f>IF(C14="有",1.1,1)</f>
        <v>1</v>
      </c>
      <c r="D15" s="561">
        <f>IF(D14="有",1.1,1)</f>
        <v>1</v>
      </c>
      <c r="E15" s="561">
        <f>IF(E14="有",1.1,1)</f>
        <v>1</v>
      </c>
      <c r="F15" s="561">
        <f>IF(F14="500米范围内",1.2,IF(F14="500-1000米",1.1,1))</f>
        <v>1</v>
      </c>
      <c r="G15" s="1792">
        <v>1</v>
      </c>
      <c r="H15" s="1792">
        <v>1</v>
      </c>
      <c r="I15" s="1792">
        <v>1</v>
      </c>
      <c r="J15" s="1793">
        <v>1</v>
      </c>
      <c r="K15" s="2382"/>
      <c r="L15" s="1706" t="s">
        <v>1835</v>
      </c>
      <c r="M15" s="1707" t="s">
        <v>1836</v>
      </c>
      <c r="N15" s="1707" t="s">
        <v>1837</v>
      </c>
      <c r="O15" s="1707" t="s">
        <v>977</v>
      </c>
      <c r="P15" s="1708" t="s">
        <v>1838</v>
      </c>
      <c r="Q15" s="2382"/>
      <c r="R15" s="3076">
        <v>14</v>
      </c>
      <c r="S15" s="3077"/>
      <c r="T15" s="3076">
        <f t="shared" ca="1" si="0"/>
        <v>0</v>
      </c>
      <c r="U15" s="3077"/>
      <c r="V15" s="3076">
        <f t="shared" ca="1" si="1"/>
        <v>0</v>
      </c>
      <c r="W15" s="3072"/>
      <c r="X15" s="3072"/>
      <c r="Y15" s="3072"/>
      <c r="Z15" s="3072"/>
      <c r="AA15" s="3072"/>
      <c r="AB15" s="3072"/>
      <c r="AC15" s="3073"/>
      <c r="AD15" s="3074"/>
      <c r="AE15" s="3074"/>
      <c r="AF15" s="3074"/>
      <c r="AG15" s="3074"/>
      <c r="AH15" s="3074"/>
      <c r="AI15" s="3074"/>
      <c r="AJ15" s="3075"/>
    </row>
    <row r="16" spans="1:36" ht="24">
      <c r="A16" s="3763" t="s">
        <v>1946</v>
      </c>
      <c r="B16" s="1645" t="s">
        <v>1820</v>
      </c>
      <c r="C16" s="1778">
        <f>ROUND(SUM(G17:J17)/C17,0)</f>
        <v>15</v>
      </c>
      <c r="D16" s="1676" t="s">
        <v>1821</v>
      </c>
      <c r="E16" s="1794" t="s">
        <v>3126</v>
      </c>
      <c r="F16" s="1795" t="s">
        <v>3127</v>
      </c>
      <c r="G16" s="1796" t="s">
        <v>3128</v>
      </c>
      <c r="H16" s="1796"/>
      <c r="I16" s="1796"/>
      <c r="J16" s="1797"/>
      <c r="K16" s="2382"/>
      <c r="L16" s="1712" t="s">
        <v>1840</v>
      </c>
      <c r="M16" s="1656">
        <v>0.25</v>
      </c>
      <c r="N16" s="1656">
        <v>0.2</v>
      </c>
      <c r="O16" s="1656">
        <v>0.15</v>
      </c>
      <c r="P16" s="2732">
        <v>0.1</v>
      </c>
      <c r="Q16" s="2733"/>
      <c r="R16" s="3076">
        <v>15</v>
      </c>
      <c r="S16" s="3077"/>
      <c r="T16" s="3076">
        <f t="shared" ca="1" si="0"/>
        <v>0</v>
      </c>
      <c r="U16" s="3077"/>
      <c r="V16" s="3076">
        <f t="shared" ca="1" si="1"/>
        <v>0</v>
      </c>
      <c r="W16" s="3084"/>
      <c r="X16" s="3084"/>
      <c r="Y16" s="3084"/>
      <c r="Z16" s="3084"/>
      <c r="AA16" s="3084"/>
      <c r="AB16" s="3084"/>
      <c r="AC16" s="3085"/>
      <c r="AD16" s="3074"/>
      <c r="AE16" s="3074"/>
      <c r="AF16" s="3074"/>
      <c r="AG16" s="3074"/>
      <c r="AH16" s="3074"/>
      <c r="AI16" s="3074"/>
      <c r="AJ16" s="3075"/>
    </row>
    <row r="17" spans="1:37" ht="13.5" thickBot="1">
      <c r="A17" s="3764"/>
      <c r="B17" s="1677" t="s">
        <v>1822</v>
      </c>
      <c r="C17" s="1678">
        <f>SUMPRODUCT((修正!A2:A5=E2)*(修正!B1:M1=G2)*(修正!B2:M5))</f>
        <v>2</v>
      </c>
      <c r="D17" s="1679" t="s">
        <v>1823</v>
      </c>
      <c r="E17" s="1749" t="str">
        <f>IF(OR(G2="八级",G2="九级",G2="十级",G2="十一级",G2="十二级"),"五通一平","七通一平")</f>
        <v>五通一平</v>
      </c>
      <c r="F17" s="1680" t="s">
        <v>1824</v>
      </c>
      <c r="G17" s="1678">
        <f>SUMPRODUCT((七通一平=G16)*(修正!B1:M1=G2)*(修正!B6:M14))</f>
        <v>30</v>
      </c>
      <c r="H17" s="1678">
        <f>SUMPRODUCT((七通一平=H16)*(修正!B1:M1=G2)*(修正!B6:M14))</f>
        <v>0</v>
      </c>
      <c r="I17" s="1678">
        <f>SUMPRODUCT((七通一平=I16)*(修正!B1:M1=G2)*(修正!B6:M14))</f>
        <v>0</v>
      </c>
      <c r="J17" s="1681">
        <f>SUMPRODUCT((七通一平=J16)*(修正!B1:M1=G2)*(修正!B6:M14))</f>
        <v>0</v>
      </c>
      <c r="K17" s="2382"/>
      <c r="L17" s="1719" t="s">
        <v>1829</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4"/>
      <c r="AF17" s="1624"/>
      <c r="AG17" s="1627"/>
      <c r="AH17" s="1627"/>
      <c r="AI17" s="1627"/>
      <c r="AJ17" s="1627"/>
    </row>
    <row r="18" spans="1:37" s="1638" customFormat="1" ht="15.75" thickBot="1">
      <c r="A18" s="1879" t="s">
        <v>1938</v>
      </c>
      <c r="B18" s="1682" t="s">
        <v>1825</v>
      </c>
      <c r="C18" s="1683">
        <f>SUMIF(修正!C18:C39,E3,修正!E18:E39)</f>
        <v>0.8</v>
      </c>
      <c r="D18" s="1684"/>
      <c r="E18" s="1685"/>
      <c r="F18" s="1686"/>
      <c r="G18" s="1687"/>
      <c r="H18" s="1687"/>
      <c r="I18" s="1687"/>
      <c r="J18" s="1688"/>
      <c r="K18" s="2389"/>
      <c r="O18" s="2738"/>
      <c r="P18" s="2738"/>
      <c r="Q18" s="2739"/>
      <c r="R18" s="2739"/>
      <c r="S18" s="2739"/>
      <c r="T18" s="2734"/>
      <c r="U18" s="2734"/>
      <c r="V18" s="2734"/>
      <c r="W18" s="2733"/>
      <c r="X18" s="2733"/>
      <c r="Y18" s="2733"/>
      <c r="Z18" s="2740"/>
      <c r="AA18" s="2741"/>
      <c r="AB18" s="2741"/>
      <c r="AC18" s="2741"/>
      <c r="AD18" s="2741"/>
      <c r="AE18" s="1625"/>
      <c r="AF18" s="1625"/>
      <c r="AG18" s="1626"/>
      <c r="AH18" s="1626"/>
      <c r="AI18" s="1626"/>
    </row>
    <row r="19" spans="1:37" s="1638" customFormat="1" ht="27.75" thickBot="1">
      <c r="A19" s="1879" t="s">
        <v>1939</v>
      </c>
      <c r="B19" s="1682" t="s">
        <v>1826</v>
      </c>
      <c r="C19" s="1691">
        <f>ROUND(IF(H19="按公示增长率计算",SUMPRODUCT((地价!A3:A19=YEAR(G19)&amp;"-"&amp;ROUNDUP(MONTH(G19)/3,0))*(地价!X2:AB2=E2)*(地价!X3:AB19)),IF(H19="地价指数",M20/M19,(1+I19)^O19)),4)</f>
        <v>1.2363999999999999</v>
      </c>
      <c r="D19" s="1692" t="s">
        <v>1147</v>
      </c>
      <c r="E19" s="1693">
        <v>41640</v>
      </c>
      <c r="F19" s="1692" t="s">
        <v>1148</v>
      </c>
      <c r="G19" s="1694">
        <f>'数据-取费表'!B2</f>
        <v>42986</v>
      </c>
      <c r="H19" s="3019" t="s">
        <v>2955</v>
      </c>
      <c r="I19" s="1695" t="str">
        <f>IF(H19="季度增幅（自定义）",SUMIF(N21:N24,E2,O21:O24),"")</f>
        <v/>
      </c>
      <c r="J19" s="1688"/>
      <c r="K19" s="2389"/>
      <c r="L19" s="3244" t="s">
        <v>2953</v>
      </c>
      <c r="M19" s="3246">
        <f>ROUND(SUMIF(地价!B2:F2,E2,地价!B19:F19),0)</f>
        <v>258</v>
      </c>
      <c r="N19" s="3242" t="s">
        <v>1871</v>
      </c>
      <c r="O19" s="1696">
        <f>ROUNDDOWN(DATEDIF(E19,G19,"M")/3,0)</f>
        <v>14</v>
      </c>
      <c r="P19" s="2737"/>
      <c r="Q19" s="2739"/>
      <c r="R19" s="2739"/>
      <c r="S19" s="2739"/>
      <c r="T19" s="2734"/>
      <c r="U19" s="2734"/>
      <c r="V19" s="2734"/>
      <c r="W19" s="2733"/>
      <c r="X19" s="2733"/>
      <c r="Y19" s="2733"/>
      <c r="Z19" s="2740"/>
      <c r="AA19" s="2741"/>
      <c r="AB19" s="2741"/>
      <c r="AC19" s="2741"/>
      <c r="AD19" s="2741"/>
      <c r="AE19" s="1689"/>
      <c r="AF19" s="1690"/>
      <c r="AG19" s="1697"/>
      <c r="AH19" s="1626"/>
      <c r="AI19" s="1637"/>
      <c r="AJ19" s="1637"/>
      <c r="AK19" s="1637"/>
    </row>
    <row r="20" spans="1:37" s="1638" customFormat="1" ht="27.75" thickBot="1">
      <c r="A20" s="1880" t="s">
        <v>1940</v>
      </c>
      <c r="B20" s="1751" t="s">
        <v>1827</v>
      </c>
      <c r="C20" s="1698">
        <f ca="1">ROUND(POWER(1+G20,J20-I20)*(POWER(1+G20,I20)-1)/(POWER(1+G20,J20)-1),4)</f>
        <v>0.89529999999999998</v>
      </c>
      <c r="D20" s="1752" t="s">
        <v>1828</v>
      </c>
      <c r="E20" s="3301">
        <f ca="1">存贷款利率!D4/100</f>
        <v>4.3499999999999997E-2</v>
      </c>
      <c r="F20" s="1752" t="s">
        <v>1829</v>
      </c>
      <c r="G20" s="1753">
        <f ca="1">SUMIF(M15:P15,E2,M17:P17)</f>
        <v>5.1999999999999998E-2</v>
      </c>
      <c r="H20" s="1752" t="s">
        <v>1830</v>
      </c>
      <c r="I20" s="1754">
        <f>SUMIF('数据-取费表'!C6:C15,E2,'数据-取费表'!F6:F15)/COUNTIF('数据-取费表'!C6:C15,E2)</f>
        <v>34.31</v>
      </c>
      <c r="J20" s="1755">
        <f>IF(E2="住宅",70,IF(E2="商业",40,50))</f>
        <v>50</v>
      </c>
      <c r="K20" s="2389"/>
      <c r="L20" s="3245" t="s">
        <v>2954</v>
      </c>
      <c r="M20" s="3247">
        <f>ROUND(SUMPRODUCT((地价!A4:A19=YEAR(G19)&amp;"-"&amp;ROUNDUP(MONTH(G19)/3,0))*(地价!B2:F2=E2)*(地价!B4:F19)),0)</f>
        <v>319</v>
      </c>
      <c r="N20" s="3243" t="s">
        <v>2782</v>
      </c>
      <c r="O20" s="3020" t="s">
        <v>2783</v>
      </c>
      <c r="P20" s="3021" t="s">
        <v>2792</v>
      </c>
      <c r="R20" s="2739"/>
      <c r="S20" s="2739"/>
      <c r="T20" s="2734"/>
      <c r="U20" s="2734"/>
      <c r="V20" s="2734"/>
      <c r="W20" s="2733"/>
      <c r="X20" s="2733"/>
      <c r="Y20" s="2733"/>
      <c r="Z20" s="2740"/>
      <c r="AA20" s="2741"/>
      <c r="AB20" s="2741"/>
      <c r="AC20" s="2741"/>
      <c r="AD20" s="2741"/>
      <c r="AE20" s="1689"/>
      <c r="AF20" s="1689"/>
    </row>
    <row r="21" spans="1:37" s="1638" customFormat="1" ht="14.25">
      <c r="A21" s="1881" t="s">
        <v>1941</v>
      </c>
      <c r="B21" s="1798" t="s">
        <v>3129</v>
      </c>
      <c r="C21" s="1756">
        <f>IF(B21="容积率修正",IF(G3&lt;=10,D22,J22),C23)</f>
        <v>9.2880000000000003</v>
      </c>
      <c r="D21" s="1757"/>
      <c r="E21" s="1757"/>
      <c r="F21" s="1757"/>
      <c r="G21" s="1757"/>
      <c r="H21" s="1757"/>
      <c r="I21" s="1757"/>
      <c r="J21" s="1758"/>
      <c r="K21" s="2389"/>
      <c r="N21" s="3022" t="s">
        <v>2784</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89"/>
      <c r="AF21" s="1689"/>
    </row>
    <row r="22" spans="1:37" s="1638" customFormat="1" ht="14.25">
      <c r="A22" s="190" t="s">
        <v>1944</v>
      </c>
      <c r="B22" s="1700" t="s">
        <v>1831</v>
      </c>
      <c r="C22" s="1779" t="s">
        <v>1844</v>
      </c>
      <c r="D22" s="1779">
        <f>IF(E22=G22,F22,IF(G3&lt;=10,ROUND(F22+(H22-F22)*(G3-E22)/(G22-E22),4),"——"))</f>
        <v>9.2880000000000003</v>
      </c>
      <c r="E22" s="1630">
        <f>ROUNDDOWN(G3,1)</f>
        <v>0.1</v>
      </c>
      <c r="F22" s="17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12.384</v>
      </c>
      <c r="G22" s="1630">
        <f>ROUNDUP(G3,1)</f>
        <v>0.2</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6.1920000000000002</v>
      </c>
      <c r="I22" s="1779" t="s">
        <v>1161</v>
      </c>
      <c r="J22" s="1759" t="str">
        <f>IF(G3&gt;10,D113,"——")</f>
        <v>——</v>
      </c>
      <c r="K22" s="2389"/>
      <c r="N22" s="3022" t="s">
        <v>2785</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89"/>
      <c r="AF22" s="1689"/>
    </row>
    <row r="23" spans="1:37" ht="27.75" thickBot="1">
      <c r="A23" s="190" t="s">
        <v>1945</v>
      </c>
      <c r="B23" s="1871" t="s">
        <v>1832</v>
      </c>
      <c r="C23" s="1872">
        <f>ROUND(IF(G3&gt;1,IF(I3&lt;7,SUMPRODUCT((B93:B98=I3)*(C92:N92=G2)*(C93:N98)),SUMIF(C92:N92,G2,C100:N100)),IF(I3&lt;7,SUMPRODUCT((B102:B107=I3)*(C92:N92=G2)*(C102:N107)),SUMIF(C92:N92,G2,C109:N109))),4)</f>
        <v>0</v>
      </c>
      <c r="D23" s="1672"/>
      <c r="E23" s="1672"/>
      <c r="F23" s="1701"/>
      <c r="G23" s="1702"/>
      <c r="H23" s="1873"/>
      <c r="I23" s="1874"/>
      <c r="J23" s="1875"/>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6"/>
    </row>
    <row r="24" spans="1:37" s="1638" customFormat="1" ht="15.75" thickBot="1">
      <c r="A24" s="1880" t="s">
        <v>1942</v>
      </c>
      <c r="B24" s="1682" t="s">
        <v>1833</v>
      </c>
      <c r="C24" s="1691">
        <f>SUMIF(A45:A88,E2,B45:B88)</f>
        <v>1.0011000000000001</v>
      </c>
      <c r="D24" s="1686"/>
      <c r="E24" s="1876"/>
      <c r="F24" s="1876"/>
      <c r="G24" s="1876"/>
      <c r="H24" s="1876"/>
      <c r="I24" s="1876"/>
      <c r="J24" s="1877"/>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89"/>
      <c r="AF24" s="1689"/>
    </row>
    <row r="25" spans="1:37" ht="15" thickBot="1">
      <c r="A25" s="1880" t="s">
        <v>1943</v>
      </c>
      <c r="B25" s="1703" t="s">
        <v>1834</v>
      </c>
      <c r="C25" s="1704"/>
      <c r="D25" s="1649"/>
      <c r="E25" s="1649"/>
      <c r="F25" s="1705"/>
      <c r="G25" s="1649"/>
      <c r="H25" s="1649"/>
      <c r="I25" s="1649"/>
      <c r="J25" s="1650"/>
      <c r="K25" s="2382"/>
      <c r="N25" s="3029" t="s">
        <v>2786</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3"/>
      <c r="B26" s="1700" t="s">
        <v>1865</v>
      </c>
      <c r="C26" s="538">
        <f ca="1">E29+SUM(E33:E39)</f>
        <v>58885</v>
      </c>
      <c r="D26" s="1709"/>
      <c r="E26" s="1672"/>
      <c r="F26" s="1710"/>
      <c r="G26" s="1672"/>
      <c r="H26" s="1672"/>
      <c r="I26" s="1672"/>
      <c r="J26" s="1711"/>
      <c r="K26" s="2382"/>
      <c r="R26" s="2739"/>
      <c r="S26" s="2739"/>
      <c r="T26" s="2734"/>
      <c r="U26" s="2734"/>
      <c r="V26" s="2734"/>
      <c r="W26" s="2733"/>
      <c r="X26" s="2733"/>
      <c r="Y26" s="2733"/>
      <c r="Z26" s="2740"/>
      <c r="AA26" s="2741"/>
      <c r="AB26" s="2741"/>
      <c r="AC26" s="2741"/>
      <c r="AD26" s="2741"/>
    </row>
    <row r="27" spans="1:37" ht="15" thickBot="1">
      <c r="A27" s="1883"/>
      <c r="B27" s="1713" t="s">
        <v>1866</v>
      </c>
      <c r="C27" s="1714" t="e">
        <f ca="1">E30+SUM(I33:I39)</f>
        <v>#DIV/0!</v>
      </c>
      <c r="D27" s="1715"/>
      <c r="E27" s="1716"/>
      <c r="F27" s="1717"/>
      <c r="G27" s="1716"/>
      <c r="H27" s="1716"/>
      <c r="I27" s="1716"/>
      <c r="J27" s="1718"/>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0" t="s">
        <v>1864</v>
      </c>
      <c r="C28" s="1721" t="s">
        <v>1839</v>
      </c>
      <c r="D28" s="1721" t="s">
        <v>1855</v>
      </c>
      <c r="E28" s="1722" t="s">
        <v>1856</v>
      </c>
      <c r="F28" s="1723"/>
      <c r="G28" s="1665"/>
      <c r="H28" s="1665"/>
      <c r="I28" s="1665"/>
      <c r="J28" s="1666"/>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0"/>
      <c r="B29" s="1724" t="s">
        <v>1859</v>
      </c>
      <c r="C29" s="538">
        <f ca="1">ROUND(C5*C18*C19*C20*C21*C24,0)</f>
        <v>46235</v>
      </c>
      <c r="D29" s="3400">
        <f>'数据-汇总表'!F19</f>
        <v>12736.12000000001</v>
      </c>
      <c r="E29" s="1781">
        <f ca="1">ROUND(C29*D29/10000,0)</f>
        <v>58885</v>
      </c>
      <c r="F29" s="1725" t="s">
        <v>1841</v>
      </c>
      <c r="G29" s="1726"/>
      <c r="H29" s="1726"/>
      <c r="I29" s="1726"/>
      <c r="J29" s="1727"/>
      <c r="K29" s="2382"/>
      <c r="L29" s="2382"/>
      <c r="M29" s="2382"/>
      <c r="N29" s="2382"/>
      <c r="O29" s="2738"/>
      <c r="P29" s="2738"/>
      <c r="Q29" s="2739"/>
      <c r="R29" s="2739"/>
      <c r="S29" s="2739"/>
      <c r="T29" s="2734"/>
      <c r="U29" s="2734"/>
      <c r="V29" s="2734"/>
      <c r="W29" s="2733"/>
      <c r="X29" s="2733"/>
      <c r="Y29" s="2733"/>
      <c r="Z29" s="2740"/>
      <c r="AA29" s="2741"/>
      <c r="AB29" s="2741"/>
      <c r="AC29" s="2741"/>
      <c r="AD29" s="2741"/>
      <c r="AE29" s="1624"/>
      <c r="AF29" s="1624"/>
      <c r="AG29" s="1627"/>
      <c r="AH29" s="1627"/>
      <c r="AI29" s="1627"/>
      <c r="AJ29" s="1627"/>
    </row>
    <row r="30" spans="1:37" ht="24.75" thickBot="1">
      <c r="A30" s="1728"/>
      <c r="B30" s="1729" t="s">
        <v>1860</v>
      </c>
      <c r="C30" s="561">
        <f ca="1">ROUND(IF(E2="工业",C29*M39,C29*M38),0)</f>
        <v>11559</v>
      </c>
      <c r="D30" s="1748"/>
      <c r="E30" s="1781">
        <f ca="1">ROUND(C30*D30/10000,0)</f>
        <v>0</v>
      </c>
      <c r="F30" s="1730" t="s">
        <v>1857</v>
      </c>
      <c r="G30" s="1731"/>
      <c r="H30" s="1731"/>
      <c r="I30" s="1731"/>
      <c r="J30" s="1732"/>
      <c r="K30" s="2382"/>
      <c r="L30" s="2382"/>
      <c r="M30" s="2382"/>
      <c r="N30" s="2382"/>
      <c r="O30" s="2738"/>
      <c r="P30" s="2738"/>
      <c r="Q30" s="2739"/>
      <c r="R30" s="2739"/>
      <c r="S30" s="2739"/>
      <c r="T30" s="2734"/>
      <c r="U30" s="2734"/>
      <c r="V30" s="2734"/>
      <c r="W30" s="2733"/>
      <c r="X30" s="2733"/>
      <c r="Y30" s="2733"/>
      <c r="Z30" s="2740"/>
      <c r="AA30" s="2741"/>
      <c r="AB30" s="2741"/>
      <c r="AC30" s="2741"/>
      <c r="AD30" s="2741"/>
      <c r="AE30" s="1624"/>
      <c r="AF30" s="1624"/>
      <c r="AG30" s="1627"/>
      <c r="AH30" s="1627"/>
      <c r="AI30" s="1627"/>
      <c r="AJ30" s="1627"/>
    </row>
    <row r="31" spans="1:37" ht="14.25">
      <c r="A31" s="1733"/>
      <c r="B31" s="1734" t="s">
        <v>1861</v>
      </c>
      <c r="C31" s="1735" t="s">
        <v>1862</v>
      </c>
      <c r="D31" s="1665"/>
      <c r="E31" s="1735"/>
      <c r="F31" s="1735"/>
      <c r="G31" s="1663" t="s">
        <v>1863</v>
      </c>
      <c r="H31" s="1665"/>
      <c r="I31" s="1736"/>
      <c r="J31" s="1666"/>
      <c r="K31" s="2382"/>
      <c r="L31" s="2382"/>
      <c r="M31" s="2382"/>
      <c r="N31" s="2382"/>
      <c r="O31" s="2738"/>
      <c r="P31" s="2738"/>
      <c r="Q31" s="2739"/>
      <c r="R31" s="2739"/>
      <c r="S31" s="2739"/>
      <c r="T31" s="2734"/>
      <c r="U31" s="2734"/>
      <c r="V31" s="2734"/>
      <c r="W31" s="2733"/>
      <c r="X31" s="2733"/>
      <c r="Y31" s="2733"/>
      <c r="Z31" s="2740"/>
      <c r="AA31" s="2741"/>
      <c r="AB31" s="2741"/>
      <c r="AC31" s="2741"/>
      <c r="AD31" s="2741"/>
      <c r="AE31" s="1624"/>
      <c r="AF31" s="1624"/>
      <c r="AG31" s="1627"/>
      <c r="AH31" s="1627"/>
      <c r="AI31" s="1627"/>
      <c r="AJ31" s="1627"/>
    </row>
    <row r="32" spans="1:37" ht="24">
      <c r="A32" s="1780"/>
      <c r="B32" s="1737"/>
      <c r="C32" s="171" t="s">
        <v>1839</v>
      </c>
      <c r="D32" s="168" t="s">
        <v>1855</v>
      </c>
      <c r="E32" s="168" t="s">
        <v>1856</v>
      </c>
      <c r="F32" s="1738" t="s">
        <v>1843</v>
      </c>
      <c r="G32" s="1699" t="s">
        <v>1839</v>
      </c>
      <c r="H32" s="1699" t="s">
        <v>1855</v>
      </c>
      <c r="I32" s="1699" t="s">
        <v>1856</v>
      </c>
      <c r="J32" s="1739"/>
      <c r="K32" s="2382"/>
      <c r="L32" s="2382"/>
      <c r="M32" s="2382"/>
      <c r="N32" s="2382"/>
      <c r="O32" s="2738"/>
      <c r="P32" s="2738"/>
      <c r="Q32" s="2739"/>
      <c r="R32" s="2739"/>
      <c r="S32" s="2739"/>
      <c r="T32" s="2734"/>
      <c r="U32" s="2734"/>
      <c r="V32" s="2734"/>
      <c r="W32" s="2733"/>
      <c r="X32" s="2733"/>
      <c r="Y32" s="2733"/>
      <c r="Z32" s="2740"/>
      <c r="AA32" s="2741"/>
      <c r="AB32" s="2741"/>
      <c r="AC32" s="2741"/>
      <c r="AD32" s="2741"/>
      <c r="AE32" s="1624"/>
      <c r="AF32" s="1624"/>
      <c r="AG32" s="1627"/>
      <c r="AH32" s="1627"/>
      <c r="AI32" s="1627"/>
      <c r="AJ32" s="1627"/>
    </row>
    <row r="33" spans="1:37" ht="36" customHeight="1">
      <c r="A33" s="3773" t="s">
        <v>3061</v>
      </c>
      <c r="B33" s="1741" t="s">
        <v>1163</v>
      </c>
      <c r="C33" s="538">
        <f ca="1">ROUND(D5*C19*C20*C24*F33,0)</f>
        <v>0</v>
      </c>
      <c r="D33" s="1747"/>
      <c r="E33" s="532">
        <f ca="1">ROUND(C33*D33/10000,0)</f>
        <v>0</v>
      </c>
      <c r="F33" s="532">
        <f>SUMIF(修正!A45:A56,G2,修正!B45:B56)</f>
        <v>0.6</v>
      </c>
      <c r="G33" s="532">
        <f t="shared" ref="G33:G39" ca="1" si="6">ROUND(IF(E2="工业",C33*$M$39,C33*$M$38),0)</f>
        <v>0</v>
      </c>
      <c r="H33" s="532">
        <f>D33</f>
        <v>0</v>
      </c>
      <c r="I33" s="532">
        <f ca="1">ROUND(G33*H33/10000,0)</f>
        <v>0</v>
      </c>
      <c r="J33" s="1742"/>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774"/>
      <c r="B34" s="1668" t="s">
        <v>1164</v>
      </c>
      <c r="C34" s="538">
        <f ca="1">ROUND(D5*C19*C20*C24*F34,0)</f>
        <v>0</v>
      </c>
      <c r="D34" s="1747"/>
      <c r="E34" s="532">
        <f t="shared" ref="E34:E39" ca="1" si="7">ROUND(C34*D34/10000,0)</f>
        <v>0</v>
      </c>
      <c r="F34" s="532">
        <f>SUMIF(修正!A45:A56,G2,修正!C45:C56)</f>
        <v>0.3</v>
      </c>
      <c r="G34" s="532">
        <f t="shared" ca="1" si="6"/>
        <v>0</v>
      </c>
      <c r="H34" s="532">
        <f t="shared" ref="H34:H39" si="8">D34</f>
        <v>0</v>
      </c>
      <c r="I34" s="532">
        <f t="shared" ref="I34:I39" ca="1" si="9">ROUND(G34*H34/10000,0)</f>
        <v>0</v>
      </c>
      <c r="J34" s="1742"/>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774"/>
      <c r="B35" s="1668" t="s">
        <v>1165</v>
      </c>
      <c r="C35" s="538">
        <f ca="1">ROUND(D5*C19*C20*C24*F35,0)</f>
        <v>0</v>
      </c>
      <c r="D35" s="1747"/>
      <c r="E35" s="532">
        <f t="shared" ca="1" si="7"/>
        <v>0</v>
      </c>
      <c r="F35" s="532">
        <f>SUMIF(修正!A45:A56,G2,修正!D45:D56)</f>
        <v>0.2</v>
      </c>
      <c r="G35" s="532">
        <f t="shared" ca="1" si="6"/>
        <v>0</v>
      </c>
      <c r="H35" s="532">
        <f t="shared" si="8"/>
        <v>0</v>
      </c>
      <c r="I35" s="532">
        <f t="shared" ca="1" si="9"/>
        <v>0</v>
      </c>
      <c r="J35" s="1742"/>
      <c r="K35" s="2382"/>
      <c r="L35" s="2382"/>
      <c r="M35" s="2382"/>
      <c r="N35" s="2382"/>
      <c r="O35" s="2382"/>
      <c r="P35" s="2382"/>
      <c r="Q35" s="2382"/>
      <c r="R35" s="2382"/>
      <c r="S35" s="2382"/>
      <c r="T35" s="2382"/>
      <c r="U35" s="2382"/>
      <c r="V35" s="2382"/>
      <c r="W35" s="2382"/>
      <c r="X35" s="2382"/>
      <c r="Y35" s="2382"/>
      <c r="Z35" s="2383"/>
    </row>
    <row r="36" spans="1:37" ht="13.5" thickBot="1">
      <c r="A36" s="3775"/>
      <c r="B36" s="1668" t="s">
        <v>1166</v>
      </c>
      <c r="C36" s="538">
        <f ca="1">ROUND(D5*C19*C20*C24*F36,0)</f>
        <v>0</v>
      </c>
      <c r="D36" s="1747"/>
      <c r="E36" s="532">
        <f t="shared" ca="1" si="7"/>
        <v>0</v>
      </c>
      <c r="F36" s="532">
        <f>SUMIF(修正!A45:A56,G2,修正!E45:E56)</f>
        <v>0.2</v>
      </c>
      <c r="G36" s="532">
        <f t="shared" ca="1" si="6"/>
        <v>0</v>
      </c>
      <c r="H36" s="532">
        <f t="shared" si="8"/>
        <v>0</v>
      </c>
      <c r="I36" s="532">
        <f t="shared" ca="1" si="9"/>
        <v>0</v>
      </c>
      <c r="J36" s="1742"/>
      <c r="K36" s="2382"/>
      <c r="L36" s="2386"/>
      <c r="M36" s="2386"/>
      <c r="N36" s="2382"/>
      <c r="O36" s="2382"/>
      <c r="P36" s="2382"/>
      <c r="Q36" s="2382"/>
      <c r="R36" s="2382"/>
      <c r="S36" s="2382"/>
      <c r="T36" s="2382"/>
      <c r="U36" s="2382"/>
      <c r="V36" s="2382"/>
      <c r="W36" s="2382"/>
      <c r="X36" s="2382"/>
      <c r="Y36" s="2382"/>
      <c r="Z36" s="2383"/>
    </row>
    <row r="37" spans="1:37" ht="12.75">
      <c r="A37" s="1740"/>
      <c r="B37" s="1668" t="s">
        <v>1167</v>
      </c>
      <c r="C37" s="532">
        <f ca="1">ROUND(C5*C19*C20*C24*F37,0)</f>
        <v>1244</v>
      </c>
      <c r="D37" s="1747"/>
      <c r="E37" s="532">
        <f t="shared" ca="1" si="7"/>
        <v>0</v>
      </c>
      <c r="F37" s="538">
        <f>SUMIF(修正!A45:A56,G2,修正!F45:F56)</f>
        <v>0.2</v>
      </c>
      <c r="G37" s="532">
        <f t="shared" ca="1" si="6"/>
        <v>311</v>
      </c>
      <c r="H37" s="532">
        <f t="shared" si="8"/>
        <v>0</v>
      </c>
      <c r="I37" s="532">
        <f t="shared" ca="1" si="9"/>
        <v>0</v>
      </c>
      <c r="J37" s="1742"/>
      <c r="K37" s="2382"/>
      <c r="L37" s="2390" t="s">
        <v>1858</v>
      </c>
      <c r="M37" s="2391"/>
      <c r="N37" s="2382"/>
      <c r="O37" s="2382"/>
      <c r="P37" s="2382"/>
      <c r="Q37" s="2382"/>
      <c r="R37" s="2382"/>
      <c r="S37" s="2382"/>
      <c r="T37" s="2382"/>
      <c r="U37" s="2382"/>
      <c r="V37" s="2382"/>
      <c r="W37" s="2382"/>
      <c r="X37" s="2382"/>
      <c r="Y37" s="2382"/>
      <c r="Z37" s="2383"/>
    </row>
    <row r="38" spans="1:37" ht="12.75">
      <c r="A38" s="1740"/>
      <c r="B38" s="1668" t="s">
        <v>1168</v>
      </c>
      <c r="C38" s="532">
        <f ca="1">ROUND(C5*C19*C20*C24*F38,0)</f>
        <v>1244</v>
      </c>
      <c r="D38" s="1747"/>
      <c r="E38" s="532">
        <f t="shared" ca="1" si="7"/>
        <v>0</v>
      </c>
      <c r="F38" s="538">
        <f>SUMIF(修正!A45:A56,G2,修正!G45:G56)</f>
        <v>0.2</v>
      </c>
      <c r="G38" s="532">
        <f t="shared" ca="1" si="6"/>
        <v>311</v>
      </c>
      <c r="H38" s="532">
        <f t="shared" si="8"/>
        <v>0</v>
      </c>
      <c r="I38" s="532">
        <f t="shared" ca="1" si="9"/>
        <v>0</v>
      </c>
      <c r="J38" s="1742"/>
      <c r="K38" s="2382"/>
      <c r="L38" s="1762" t="s">
        <v>1842</v>
      </c>
      <c r="M38" s="1763">
        <v>0.25</v>
      </c>
      <c r="N38" s="2382"/>
      <c r="O38" s="2382"/>
      <c r="P38" s="2382"/>
      <c r="Q38" s="2382"/>
      <c r="R38" s="2382"/>
      <c r="S38" s="2382"/>
      <c r="T38" s="2382"/>
      <c r="U38" s="2382"/>
      <c r="V38" s="2382"/>
      <c r="W38" s="2382"/>
      <c r="X38" s="2382"/>
      <c r="Y38" s="2382"/>
      <c r="Z38" s="2383"/>
    </row>
    <row r="39" spans="1:37" ht="13.5" thickBot="1">
      <c r="A39" s="1728"/>
      <c r="B39" s="1743" t="s">
        <v>1169</v>
      </c>
      <c r="C39" s="561">
        <f ca="1">ROUND(C5*C19*C20*C24*F39,0)</f>
        <v>933</v>
      </c>
      <c r="D39" s="1748"/>
      <c r="E39" s="561">
        <f t="shared" ca="1" si="7"/>
        <v>0</v>
      </c>
      <c r="F39" s="1744">
        <f>SUMIF(修正!A45:A56,G2,修正!H45:H56)</f>
        <v>0.15</v>
      </c>
      <c r="G39" s="561" t="e">
        <f t="shared" si="6"/>
        <v>#DIV/0!</v>
      </c>
      <c r="H39" s="561">
        <f t="shared" si="8"/>
        <v>0</v>
      </c>
      <c r="I39" s="561" t="e">
        <f t="shared" si="9"/>
        <v>#DIV/0!</v>
      </c>
      <c r="J39" s="1745"/>
      <c r="K39" s="2382"/>
      <c r="L39" s="1764" t="s">
        <v>1838</v>
      </c>
      <c r="M39" s="1765">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8" t="s">
        <v>1778</v>
      </c>
      <c r="B45" s="1489"/>
      <c r="C45" s="1161"/>
      <c r="D45" s="294"/>
      <c r="E45" s="294"/>
      <c r="F45" s="292"/>
      <c r="G45" s="1545"/>
      <c r="H45" s="292"/>
      <c r="I45" s="1490"/>
      <c r="J45" s="1490"/>
      <c r="K45" s="1490"/>
      <c r="L45" s="1490"/>
      <c r="M45" s="1490"/>
      <c r="N45" s="1624"/>
      <c r="Z45" s="2383"/>
      <c r="AA45" s="2383"/>
      <c r="AB45" s="2383"/>
      <c r="AC45" s="2383"/>
      <c r="AD45" s="2383"/>
      <c r="AE45" s="2383"/>
      <c r="AF45" s="2383"/>
      <c r="AG45" s="2383"/>
      <c r="AH45" s="2383"/>
      <c r="AI45" s="2383"/>
      <c r="AJ45" s="2383"/>
    </row>
    <row r="46" spans="1:37" s="2382" customFormat="1" ht="15">
      <c r="A46" s="1491" t="s">
        <v>1</v>
      </c>
      <c r="B46" s="1492">
        <f>1+E48</f>
        <v>1</v>
      </c>
      <c r="C46" s="1493"/>
      <c r="D46" s="1494"/>
      <c r="E46" s="1495"/>
      <c r="F46" s="2136"/>
      <c r="G46" s="292"/>
      <c r="H46" s="1490"/>
      <c r="I46" s="1490"/>
      <c r="J46" s="1490"/>
      <c r="K46" s="1490"/>
      <c r="L46" s="1490"/>
      <c r="M46" s="1490"/>
      <c r="N46" s="1624"/>
      <c r="Z46" s="2383"/>
      <c r="AA46" s="2383"/>
      <c r="AB46" s="2383"/>
      <c r="AC46" s="2383"/>
      <c r="AD46" s="2383"/>
      <c r="AE46" s="2383"/>
      <c r="AF46" s="2383"/>
      <c r="AG46" s="2383"/>
      <c r="AH46" s="2383"/>
      <c r="AI46" s="2383"/>
      <c r="AJ46" s="2383"/>
    </row>
    <row r="47" spans="1:37" s="2382" customFormat="1" ht="24">
      <c r="A47" s="1497" t="s">
        <v>1779</v>
      </c>
      <c r="B47" s="1498" t="s">
        <v>1780</v>
      </c>
      <c r="C47" s="1499" t="s">
        <v>1781</v>
      </c>
      <c r="D47" s="1500" t="s">
        <v>1852</v>
      </c>
      <c r="E47" s="1501" t="s">
        <v>1854</v>
      </c>
      <c r="F47" s="2604" t="s">
        <v>2493</v>
      </c>
      <c r="G47" s="1500" t="s">
        <v>1850</v>
      </c>
      <c r="H47" s="2605" t="s">
        <v>2494</v>
      </c>
      <c r="I47" s="1500" t="s">
        <v>1853</v>
      </c>
      <c r="J47" s="945" t="s">
        <v>424</v>
      </c>
      <c r="K47" s="945" t="s">
        <v>425</v>
      </c>
      <c r="L47" s="945" t="s">
        <v>426</v>
      </c>
      <c r="M47" s="945" t="s">
        <v>427</v>
      </c>
      <c r="N47" s="945" t="s">
        <v>428</v>
      </c>
      <c r="AA47" s="2383"/>
      <c r="AB47" s="2383"/>
      <c r="AC47" s="2383"/>
      <c r="AD47" s="2383"/>
      <c r="AE47" s="2383"/>
      <c r="AF47" s="2383"/>
      <c r="AG47" s="2383"/>
      <c r="AH47" s="2383"/>
      <c r="AI47" s="2383"/>
      <c r="AJ47" s="2383"/>
      <c r="AK47" s="2383"/>
    </row>
    <row r="48" spans="1:37" s="2382" customFormat="1" ht="24">
      <c r="A48" s="1497" t="s">
        <v>1782</v>
      </c>
      <c r="B48" s="1502">
        <f>估价对象房地状况!C4</f>
        <v>0</v>
      </c>
      <c r="C48" s="1487"/>
      <c r="D48" s="2603">
        <f t="shared" ref="D48:D56" si="10">SUMIF($J$47:$N$47,C48,J48:N48)</f>
        <v>0</v>
      </c>
      <c r="E48" s="1504">
        <f>ROUND(SUM(D48:D56),4)</f>
        <v>0</v>
      </c>
      <c r="F48" s="1505" t="str">
        <f>IF(E2="商业",SUMIF(L1:L12,G2,N1:N12),"——")</f>
        <v>——</v>
      </c>
      <c r="G48" s="2601"/>
      <c r="H48" s="2619" t="str">
        <f t="shared" ref="H48:H56" si="11">IFERROR(ROUNDDOWN($F$48*I48/2,4),"——")</f>
        <v>——</v>
      </c>
      <c r="I48" s="1503">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96">
      <c r="A49" s="1497" t="s">
        <v>92</v>
      </c>
      <c r="B49" s="1506" t="str">
        <f>估价对象房地状况!C18</f>
        <v>估价对象紧邻城市次干道——怀耿路，半径1公里内有866、H07、H09、H44路等公交线路，周边有怀耿路、杨雁路两条城市次干道，西北距离怀柔火车站4公里，交通便捷度较差</v>
      </c>
      <c r="C49" s="1487"/>
      <c r="D49" s="2603">
        <f t="shared" si="10"/>
        <v>0</v>
      </c>
      <c r="E49" s="1507"/>
      <c r="F49" s="1505"/>
      <c r="G49" s="2601"/>
      <c r="H49" s="2619" t="str">
        <f t="shared" si="11"/>
        <v>——</v>
      </c>
      <c r="I49" s="1503">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7" t="s">
        <v>109</v>
      </c>
      <c r="B50" s="1506" t="str">
        <f>估价对象房地状况!C19</f>
        <v>一般</v>
      </c>
      <c r="C50" s="1487"/>
      <c r="D50" s="2603">
        <f t="shared" si="10"/>
        <v>0</v>
      </c>
      <c r="E50" s="1507"/>
      <c r="F50" s="1505"/>
      <c r="G50" s="2601"/>
      <c r="H50" s="2619" t="str">
        <f t="shared" si="11"/>
        <v>——</v>
      </c>
      <c r="I50" s="1503">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7" t="s">
        <v>1783</v>
      </c>
      <c r="B51" s="3304" t="s">
        <v>3023</v>
      </c>
      <c r="C51" s="1487"/>
      <c r="D51" s="2603">
        <f t="shared" si="10"/>
        <v>0</v>
      </c>
      <c r="E51" s="1507"/>
      <c r="F51" s="1505"/>
      <c r="G51" s="2601"/>
      <c r="H51" s="2619" t="str">
        <f t="shared" si="11"/>
        <v>——</v>
      </c>
      <c r="I51" s="1503">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7" t="s">
        <v>1784</v>
      </c>
      <c r="B52" s="1506" t="str">
        <f>估价对象房地状况!C24</f>
        <v>城市主干道-怀耿路</v>
      </c>
      <c r="C52" s="1487"/>
      <c r="D52" s="2603">
        <f t="shared" si="10"/>
        <v>0</v>
      </c>
      <c r="E52" s="1507"/>
      <c r="F52" s="1505"/>
      <c r="G52" s="2601"/>
      <c r="H52" s="2619" t="str">
        <f t="shared" si="11"/>
        <v>——</v>
      </c>
      <c r="I52" s="1503">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7" t="s">
        <v>1785</v>
      </c>
      <c r="B53" s="3303" t="s">
        <v>3022</v>
      </c>
      <c r="C53" s="1487"/>
      <c r="D53" s="2603">
        <f t="shared" si="10"/>
        <v>0</v>
      </c>
      <c r="E53" s="1507"/>
      <c r="F53" s="1505"/>
      <c r="G53" s="2601"/>
      <c r="H53" s="2619" t="str">
        <f t="shared" si="11"/>
        <v>——</v>
      </c>
      <c r="I53" s="1503">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108">
      <c r="A54" s="1508" t="s">
        <v>1786</v>
      </c>
      <c r="B54" s="2599"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C54" s="1487"/>
      <c r="D54" s="2603">
        <f t="shared" si="10"/>
        <v>0</v>
      </c>
      <c r="E54" s="1507"/>
      <c r="F54" s="1505"/>
      <c r="G54" s="2601"/>
      <c r="H54" s="2619" t="str">
        <f t="shared" si="11"/>
        <v>——</v>
      </c>
      <c r="I54" s="1503">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8" t="s">
        <v>1787</v>
      </c>
      <c r="B55" s="1506" t="str">
        <f>估价对象房地状况!C22</f>
        <v>估价对象所在区域基础设施水平达到七通</v>
      </c>
      <c r="C55" s="1487"/>
      <c r="D55" s="2603">
        <f t="shared" si="10"/>
        <v>0</v>
      </c>
      <c r="E55" s="1507"/>
      <c r="F55" s="1505"/>
      <c r="G55" s="2601"/>
      <c r="H55" s="2619" t="str">
        <f t="shared" si="11"/>
        <v>——</v>
      </c>
      <c r="I55" s="1503">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96.75" thickBot="1">
      <c r="A56" s="1510" t="s">
        <v>1788</v>
      </c>
      <c r="B56" s="1511" t="str">
        <f>估价对象房地状况!C20</f>
        <v>周边约1公里范围内有北京影视研修学院、北京怀柔中视腾飞影视培训学校等演艺教育学校，人文环境一般；周边有约1公里有栖河，自然环境一般。综合评价自然与人文环境一般</v>
      </c>
      <c r="C56" s="1487"/>
      <c r="D56" s="2603">
        <f t="shared" si="10"/>
        <v>0</v>
      </c>
      <c r="E56" s="1513"/>
      <c r="F56" s="1505"/>
      <c r="G56" s="2601"/>
      <c r="H56" s="2619" t="str">
        <f t="shared" si="11"/>
        <v>——</v>
      </c>
      <c r="I56" s="1512">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1" t="s">
        <v>1162</v>
      </c>
      <c r="B57" s="1492">
        <f>1+E59</f>
        <v>1.0011000000000001</v>
      </c>
      <c r="C57" s="1514"/>
      <c r="D57" s="1494"/>
      <c r="E57" s="1495"/>
      <c r="F57" s="2136"/>
      <c r="G57" s="292"/>
      <c r="H57" s="292"/>
      <c r="I57" s="292"/>
      <c r="J57" s="1490"/>
      <c r="K57" s="1490"/>
      <c r="L57" s="1490"/>
      <c r="M57" s="1490"/>
      <c r="N57" s="1490"/>
      <c r="AA57" s="2383"/>
      <c r="AB57" s="2383"/>
      <c r="AC57" s="2383"/>
      <c r="AD57" s="2383"/>
      <c r="AE57" s="2383"/>
      <c r="AF57" s="2383"/>
      <c r="AG57" s="2383"/>
      <c r="AH57" s="2383"/>
      <c r="AI57" s="2383"/>
      <c r="AJ57" s="2383"/>
      <c r="AK57" s="2383"/>
    </row>
    <row r="58" spans="1:37" s="2382" customFormat="1" ht="24">
      <c r="A58" s="1497" t="s">
        <v>1779</v>
      </c>
      <c r="B58" s="1498"/>
      <c r="C58" s="1499" t="s">
        <v>1781</v>
      </c>
      <c r="D58" s="1500" t="s">
        <v>1852</v>
      </c>
      <c r="E58" s="1501" t="s">
        <v>1854</v>
      </c>
      <c r="F58" s="2604" t="s">
        <v>2290</v>
      </c>
      <c r="G58" s="1500" t="s">
        <v>1850</v>
      </c>
      <c r="H58" s="2605" t="s">
        <v>2494</v>
      </c>
      <c r="I58" s="1500" t="s">
        <v>1853</v>
      </c>
      <c r="J58" s="945" t="s">
        <v>424</v>
      </c>
      <c r="K58" s="945" t="s">
        <v>425</v>
      </c>
      <c r="L58" s="945" t="s">
        <v>426</v>
      </c>
      <c r="M58" s="945" t="s">
        <v>427</v>
      </c>
      <c r="N58" s="945" t="s">
        <v>428</v>
      </c>
      <c r="AA58" s="2383"/>
      <c r="AB58" s="2383"/>
      <c r="AC58" s="2383"/>
      <c r="AD58" s="2383"/>
      <c r="AE58" s="2383"/>
      <c r="AF58" s="2383"/>
      <c r="AG58" s="2383"/>
      <c r="AH58" s="2383"/>
      <c r="AI58" s="2383"/>
      <c r="AJ58" s="2383"/>
      <c r="AK58" s="2383"/>
    </row>
    <row r="59" spans="1:37" s="2382" customFormat="1" ht="69.75" customHeight="1">
      <c r="A59" s="1497" t="s">
        <v>1093</v>
      </c>
      <c r="B59" s="1502" t="str">
        <f>估价对象房地状况!C17</f>
        <v>估价对象位于怀柔区杨宋镇，目前投用项目有中影基地、星美影视城、百汇演艺学校等类似用房以及相关行业酒店等配套设施，产业聚集度较好</v>
      </c>
      <c r="C59" s="1487" t="s">
        <v>3175</v>
      </c>
      <c r="D59" s="2603">
        <f t="shared" ref="D59:D67" si="15">SUMIF($J$58:$N$58,C59,J59:N59)</f>
        <v>1.1999999999999999E-3</v>
      </c>
      <c r="E59" s="1504">
        <f>ROUND(SUM(D59:D67),4)</f>
        <v>1.1000000000000001E-3</v>
      </c>
      <c r="F59" s="1505">
        <f>IF(E2="办公",SUMIF(L1:L12,G2,N1:N12),"——")</f>
        <v>0.14399999999999999</v>
      </c>
      <c r="G59" s="3384">
        <f t="shared" ref="G59:H67" si="16">IFERROR(ROUNDDOWN($F$59*H59/2,4),"——")</f>
        <v>1.1999999999999999E-3</v>
      </c>
      <c r="H59" s="2619">
        <f t="shared" si="16"/>
        <v>1.72E-2</v>
      </c>
      <c r="I59" s="1503">
        <v>0.24</v>
      </c>
      <c r="J59" s="2602">
        <f t="shared" ref="J59:J67" si="17">K59+$G59</f>
        <v>2.3999999999999998E-3</v>
      </c>
      <c r="K59" s="2602">
        <f t="shared" ref="K59:K67" si="18">$L59+$G59</f>
        <v>1.1999999999999999E-3</v>
      </c>
      <c r="L59" s="2602">
        <v>0</v>
      </c>
      <c r="M59" s="2602">
        <f t="shared" ref="M59:N67" si="19">L59-$G59</f>
        <v>-1.1999999999999999E-3</v>
      </c>
      <c r="N59" s="2602">
        <f t="shared" si="19"/>
        <v>-2.3999999999999998E-3</v>
      </c>
      <c r="AA59" s="2383"/>
      <c r="AB59" s="2383"/>
      <c r="AC59" s="2383"/>
      <c r="AD59" s="2383"/>
      <c r="AE59" s="2383"/>
      <c r="AF59" s="2383"/>
      <c r="AG59" s="2383"/>
      <c r="AH59" s="2383"/>
      <c r="AI59" s="2383"/>
      <c r="AJ59" s="2383"/>
      <c r="AK59" s="2383"/>
    </row>
    <row r="60" spans="1:37" s="2382" customFormat="1" ht="99" customHeight="1">
      <c r="A60" s="1497" t="s">
        <v>92</v>
      </c>
      <c r="B60" s="1506" t="str">
        <f>估价对象房地状况!C18</f>
        <v>估价对象紧邻城市次干道——怀耿路，半径1公里内有866、H07、H09、H44路等公交线路，周边有怀耿路、杨雁路两条城市次干道，西北距离怀柔火车站4公里，交通便捷度较差</v>
      </c>
      <c r="C60" s="1487" t="s">
        <v>3176</v>
      </c>
      <c r="D60" s="2603">
        <f t="shared" si="15"/>
        <v>-1.5E-3</v>
      </c>
      <c r="E60" s="1507"/>
      <c r="F60" s="1505"/>
      <c r="G60" s="3384">
        <f t="shared" si="16"/>
        <v>1.5E-3</v>
      </c>
      <c r="H60" s="2619">
        <f t="shared" si="16"/>
        <v>2.1600000000000001E-2</v>
      </c>
      <c r="I60" s="1503">
        <v>0.3</v>
      </c>
      <c r="J60" s="2602">
        <f t="shared" si="17"/>
        <v>3.0000000000000001E-3</v>
      </c>
      <c r="K60" s="2602">
        <f t="shared" si="18"/>
        <v>1.5E-3</v>
      </c>
      <c r="L60" s="2602">
        <v>0</v>
      </c>
      <c r="M60" s="2602">
        <f t="shared" si="19"/>
        <v>-1.5E-3</v>
      </c>
      <c r="N60" s="2602">
        <f t="shared" si="19"/>
        <v>-3.0000000000000001E-3</v>
      </c>
      <c r="AA60" s="2383"/>
      <c r="AB60" s="2383"/>
      <c r="AC60" s="2383"/>
      <c r="AD60" s="2383"/>
      <c r="AE60" s="2383"/>
      <c r="AF60" s="2383"/>
      <c r="AG60" s="2383"/>
      <c r="AH60" s="2383"/>
      <c r="AI60" s="2383"/>
      <c r="AJ60" s="2383"/>
      <c r="AK60" s="2383"/>
    </row>
    <row r="61" spans="1:37" s="2382" customFormat="1" ht="24">
      <c r="A61" s="1497" t="s">
        <v>109</v>
      </c>
      <c r="B61" s="1506" t="str">
        <f>估价对象房地状况!C19</f>
        <v>一般</v>
      </c>
      <c r="C61" s="1487" t="s">
        <v>3171</v>
      </c>
      <c r="D61" s="2603">
        <f t="shared" si="15"/>
        <v>0</v>
      </c>
      <c r="E61" s="1507"/>
      <c r="F61" s="1505"/>
      <c r="G61" s="3384">
        <f t="shared" si="16"/>
        <v>4.0000000000000002E-4</v>
      </c>
      <c r="H61" s="2619">
        <f t="shared" si="16"/>
        <v>5.7000000000000002E-3</v>
      </c>
      <c r="I61" s="1503">
        <v>0.08</v>
      </c>
      <c r="J61" s="2602">
        <f t="shared" si="17"/>
        <v>8.0000000000000004E-4</v>
      </c>
      <c r="K61" s="2602">
        <f t="shared" si="18"/>
        <v>4.0000000000000002E-4</v>
      </c>
      <c r="L61" s="2602">
        <v>0</v>
      </c>
      <c r="M61" s="2602">
        <f t="shared" si="19"/>
        <v>-4.0000000000000002E-4</v>
      </c>
      <c r="N61" s="2602">
        <f t="shared" si="19"/>
        <v>-8.0000000000000004E-4</v>
      </c>
      <c r="AA61" s="2383"/>
      <c r="AB61" s="2383"/>
      <c r="AC61" s="2383"/>
      <c r="AD61" s="2383"/>
      <c r="AE61" s="2383"/>
      <c r="AF61" s="2383"/>
      <c r="AG61" s="2383"/>
      <c r="AH61" s="2383"/>
      <c r="AI61" s="2383"/>
      <c r="AJ61" s="2383"/>
      <c r="AK61" s="2383"/>
    </row>
    <row r="62" spans="1:37" s="2382" customFormat="1" ht="36">
      <c r="A62" s="1497" t="s">
        <v>1783</v>
      </c>
      <c r="B62" s="3304" t="s">
        <v>3023</v>
      </c>
      <c r="C62" s="1487" t="s">
        <v>3175</v>
      </c>
      <c r="D62" s="2603">
        <f t="shared" si="15"/>
        <v>2.0000000000000001E-4</v>
      </c>
      <c r="E62" s="1507"/>
      <c r="F62" s="1505"/>
      <c r="G62" s="3384">
        <f t="shared" si="16"/>
        <v>2.0000000000000001E-4</v>
      </c>
      <c r="H62" s="2619">
        <f t="shared" si="16"/>
        <v>2.8E-3</v>
      </c>
      <c r="I62" s="1503">
        <v>0.04</v>
      </c>
      <c r="J62" s="2602">
        <f t="shared" si="17"/>
        <v>4.0000000000000002E-4</v>
      </c>
      <c r="K62" s="2602">
        <f t="shared" si="18"/>
        <v>2.0000000000000001E-4</v>
      </c>
      <c r="L62" s="2602">
        <v>0</v>
      </c>
      <c r="M62" s="2602">
        <f t="shared" si="19"/>
        <v>-2.0000000000000001E-4</v>
      </c>
      <c r="N62" s="2602">
        <f t="shared" si="19"/>
        <v>-4.0000000000000002E-4</v>
      </c>
      <c r="AA62" s="2383"/>
      <c r="AB62" s="2383"/>
      <c r="AC62" s="2383"/>
      <c r="AD62" s="2383"/>
      <c r="AE62" s="2383"/>
      <c r="AF62" s="2383"/>
      <c r="AG62" s="2383"/>
      <c r="AH62" s="2383"/>
      <c r="AI62" s="2383"/>
      <c r="AJ62" s="2383"/>
      <c r="AK62" s="2383"/>
    </row>
    <row r="63" spans="1:37" s="2382" customFormat="1" ht="24">
      <c r="A63" s="1497" t="s">
        <v>1784</v>
      </c>
      <c r="B63" s="1506" t="str">
        <f>估价对象房地状况!C24</f>
        <v>城市主干道-怀耿路</v>
      </c>
      <c r="C63" s="1487" t="s">
        <v>3175</v>
      </c>
      <c r="D63" s="2603">
        <f t="shared" si="15"/>
        <v>2.0000000000000001E-4</v>
      </c>
      <c r="E63" s="1507"/>
      <c r="F63" s="1505"/>
      <c r="G63" s="3384">
        <f t="shared" si="16"/>
        <v>2.0000000000000001E-4</v>
      </c>
      <c r="H63" s="2619">
        <f t="shared" si="16"/>
        <v>3.5999999999999999E-3</v>
      </c>
      <c r="I63" s="1503">
        <v>0.05</v>
      </c>
      <c r="J63" s="2602">
        <f t="shared" si="17"/>
        <v>4.0000000000000002E-4</v>
      </c>
      <c r="K63" s="2602">
        <f t="shared" si="18"/>
        <v>2.0000000000000001E-4</v>
      </c>
      <c r="L63" s="2602">
        <v>0</v>
      </c>
      <c r="M63" s="2602">
        <f t="shared" si="19"/>
        <v>-2.0000000000000001E-4</v>
      </c>
      <c r="N63" s="2602">
        <f t="shared" si="19"/>
        <v>-4.0000000000000002E-4</v>
      </c>
      <c r="AA63" s="2383"/>
      <c r="AB63" s="2383"/>
      <c r="AC63" s="2383"/>
      <c r="AD63" s="2383"/>
      <c r="AE63" s="2383"/>
      <c r="AF63" s="2383"/>
      <c r="AG63" s="2383"/>
      <c r="AH63" s="2383"/>
      <c r="AI63" s="2383"/>
      <c r="AJ63" s="2383"/>
      <c r="AK63" s="2383"/>
    </row>
    <row r="64" spans="1:37" s="2382" customFormat="1" ht="36">
      <c r="A64" s="1497" t="s">
        <v>1785</v>
      </c>
      <c r="B64" s="3303" t="s">
        <v>3178</v>
      </c>
      <c r="C64" s="1487" t="s">
        <v>3176</v>
      </c>
      <c r="D64" s="2603">
        <f t="shared" si="15"/>
        <v>-2.0000000000000001E-4</v>
      </c>
      <c r="E64" s="1507"/>
      <c r="F64" s="1505"/>
      <c r="G64" s="3384">
        <f t="shared" si="16"/>
        <v>2.0000000000000001E-4</v>
      </c>
      <c r="H64" s="2619">
        <f t="shared" si="16"/>
        <v>3.5999999999999999E-3</v>
      </c>
      <c r="I64" s="1503">
        <v>0.05</v>
      </c>
      <c r="J64" s="2602">
        <f t="shared" si="17"/>
        <v>4.0000000000000002E-4</v>
      </c>
      <c r="K64" s="2602">
        <f t="shared" si="18"/>
        <v>2.0000000000000001E-4</v>
      </c>
      <c r="L64" s="2602">
        <v>0</v>
      </c>
      <c r="M64" s="2602">
        <f t="shared" si="19"/>
        <v>-2.0000000000000001E-4</v>
      </c>
      <c r="N64" s="2602">
        <f t="shared" si="19"/>
        <v>-4.0000000000000002E-4</v>
      </c>
      <c r="AA64" s="2383"/>
      <c r="AB64" s="2383"/>
      <c r="AC64" s="2383"/>
      <c r="AD64" s="2383"/>
      <c r="AE64" s="2383"/>
      <c r="AF64" s="2383"/>
      <c r="AG64" s="2383"/>
      <c r="AH64" s="2383"/>
      <c r="AI64" s="2383"/>
      <c r="AJ64" s="2383"/>
      <c r="AK64" s="2383"/>
    </row>
    <row r="65" spans="1:37" s="2382" customFormat="1" ht="109.5" customHeight="1">
      <c r="A65" s="1497" t="s">
        <v>1786</v>
      </c>
      <c r="B65" s="2599"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C65" s="1487" t="s">
        <v>3171</v>
      </c>
      <c r="D65" s="2603">
        <f t="shared" si="15"/>
        <v>0</v>
      </c>
      <c r="E65" s="1507"/>
      <c r="F65" s="1505"/>
      <c r="G65" s="3384">
        <f t="shared" si="16"/>
        <v>2.9999999999999997E-4</v>
      </c>
      <c r="H65" s="2619">
        <f t="shared" si="16"/>
        <v>4.3E-3</v>
      </c>
      <c r="I65" s="1503">
        <v>0.06</v>
      </c>
      <c r="J65" s="2602">
        <f t="shared" si="17"/>
        <v>5.9999999999999995E-4</v>
      </c>
      <c r="K65" s="2602">
        <f t="shared" si="18"/>
        <v>2.9999999999999997E-4</v>
      </c>
      <c r="L65" s="2602">
        <v>0</v>
      </c>
      <c r="M65" s="2602">
        <f t="shared" si="19"/>
        <v>-2.9999999999999997E-4</v>
      </c>
      <c r="N65" s="2602">
        <f t="shared" si="19"/>
        <v>-5.9999999999999995E-4</v>
      </c>
      <c r="AA65" s="2383"/>
      <c r="AB65" s="2383"/>
      <c r="AC65" s="2383"/>
      <c r="AD65" s="2383"/>
      <c r="AE65" s="2383"/>
      <c r="AF65" s="2383"/>
      <c r="AG65" s="2383"/>
      <c r="AH65" s="2383"/>
      <c r="AI65" s="2383"/>
      <c r="AJ65" s="2383"/>
      <c r="AK65" s="2383"/>
    </row>
    <row r="66" spans="1:37" s="2382" customFormat="1" ht="24">
      <c r="A66" s="1497" t="s">
        <v>1787</v>
      </c>
      <c r="B66" s="2599" t="str">
        <f>估价对象房地状况!C22</f>
        <v>估价对象所在区域基础设施水平达到七通</v>
      </c>
      <c r="C66" s="1487" t="s">
        <v>3179</v>
      </c>
      <c r="D66" s="2603">
        <f t="shared" si="15"/>
        <v>1.1999999999999999E-3</v>
      </c>
      <c r="E66" s="1507"/>
      <c r="F66" s="1505"/>
      <c r="G66" s="3384">
        <f t="shared" si="16"/>
        <v>5.9999999999999995E-4</v>
      </c>
      <c r="H66" s="2619">
        <f t="shared" si="16"/>
        <v>8.6E-3</v>
      </c>
      <c r="I66" s="1503">
        <v>0.12</v>
      </c>
      <c r="J66" s="2602">
        <f t="shared" si="17"/>
        <v>1.1999999999999999E-3</v>
      </c>
      <c r="K66" s="2602">
        <f t="shared" si="18"/>
        <v>5.9999999999999995E-4</v>
      </c>
      <c r="L66" s="2602">
        <v>0</v>
      </c>
      <c r="M66" s="2602">
        <f t="shared" si="19"/>
        <v>-5.9999999999999995E-4</v>
      </c>
      <c r="N66" s="2602">
        <f t="shared" si="19"/>
        <v>-1.1999999999999999E-3</v>
      </c>
      <c r="AA66" s="2383"/>
      <c r="AB66" s="2383"/>
      <c r="AC66" s="2383"/>
      <c r="AD66" s="2383"/>
      <c r="AE66" s="2383"/>
      <c r="AF66" s="2383"/>
      <c r="AG66" s="2383"/>
      <c r="AH66" s="2383"/>
      <c r="AI66" s="2383"/>
      <c r="AJ66" s="2383"/>
      <c r="AK66" s="2383"/>
    </row>
    <row r="67" spans="1:37" s="2382" customFormat="1" ht="117" customHeight="1" thickBot="1">
      <c r="A67" s="1510" t="s">
        <v>1788</v>
      </c>
      <c r="B67" s="1515" t="str">
        <f>估价对象房地状况!C20</f>
        <v>周边约1公里范围内有北京影视研修学院、北京怀柔中视腾飞影视培训学校等演艺教育学校，人文环境一般；周边有约1公里有栖河，自然环境一般。综合评价自然与人文环境一般</v>
      </c>
      <c r="C67" s="1487" t="s">
        <v>3171</v>
      </c>
      <c r="D67" s="2603">
        <f t="shared" si="15"/>
        <v>0</v>
      </c>
      <c r="E67" s="1513"/>
      <c r="F67" s="1505"/>
      <c r="G67" s="3384">
        <f t="shared" si="16"/>
        <v>2.9999999999999997E-4</v>
      </c>
      <c r="H67" s="2619">
        <f t="shared" si="16"/>
        <v>4.3E-3</v>
      </c>
      <c r="I67" s="1512">
        <v>0.06</v>
      </c>
      <c r="J67" s="2602">
        <f t="shared" si="17"/>
        <v>5.9999999999999995E-4</v>
      </c>
      <c r="K67" s="2602">
        <f t="shared" si="18"/>
        <v>2.9999999999999997E-4</v>
      </c>
      <c r="L67" s="2602">
        <v>0</v>
      </c>
      <c r="M67" s="2602">
        <f t="shared" si="19"/>
        <v>-2.9999999999999997E-4</v>
      </c>
      <c r="N67" s="2602">
        <f t="shared" si="19"/>
        <v>-5.9999999999999995E-4</v>
      </c>
      <c r="AA67" s="2383"/>
      <c r="AB67" s="2383"/>
      <c r="AC67" s="2383"/>
      <c r="AD67" s="2383"/>
      <c r="AE67" s="2383"/>
      <c r="AF67" s="2383"/>
      <c r="AG67" s="2383"/>
      <c r="AH67" s="2383"/>
      <c r="AI67" s="2383"/>
      <c r="AJ67" s="2383"/>
      <c r="AK67" s="2383"/>
    </row>
    <row r="68" spans="1:37" s="2382" customFormat="1" ht="15">
      <c r="A68" s="1491" t="s">
        <v>977</v>
      </c>
      <c r="B68" s="1492">
        <f>1+E70</f>
        <v>1</v>
      </c>
      <c r="C68" s="1514"/>
      <c r="D68" s="1494"/>
      <c r="E68" s="1495"/>
      <c r="F68" s="2136"/>
      <c r="G68" s="292"/>
      <c r="H68" s="292"/>
      <c r="I68" s="292"/>
      <c r="J68" s="1490"/>
      <c r="K68" s="1490"/>
      <c r="L68" s="1490"/>
      <c r="M68" s="1490"/>
      <c r="N68" s="1490"/>
      <c r="AA68" s="2383"/>
      <c r="AB68" s="2383"/>
      <c r="AC68" s="2383"/>
      <c r="AD68" s="2383"/>
      <c r="AE68" s="2383"/>
      <c r="AF68" s="2383"/>
      <c r="AG68" s="2383"/>
      <c r="AH68" s="2383"/>
      <c r="AI68" s="2383"/>
      <c r="AJ68" s="2383"/>
      <c r="AK68" s="2383"/>
    </row>
    <row r="69" spans="1:37" s="2382" customFormat="1" ht="24">
      <c r="A69" s="1497" t="s">
        <v>1779</v>
      </c>
      <c r="B69" s="1498"/>
      <c r="C69" s="1499" t="s">
        <v>1781</v>
      </c>
      <c r="D69" s="1500" t="s">
        <v>1852</v>
      </c>
      <c r="E69" s="1501" t="s">
        <v>1854</v>
      </c>
      <c r="F69" s="2604" t="s">
        <v>2290</v>
      </c>
      <c r="G69" s="1500" t="s">
        <v>1850</v>
      </c>
      <c r="H69" s="2605" t="s">
        <v>2494</v>
      </c>
      <c r="I69" s="1500" t="s">
        <v>1853</v>
      </c>
      <c r="J69" s="945" t="s">
        <v>424</v>
      </c>
      <c r="K69" s="945" t="s">
        <v>425</v>
      </c>
      <c r="L69" s="945" t="s">
        <v>426</v>
      </c>
      <c r="M69" s="945" t="s">
        <v>427</v>
      </c>
      <c r="N69" s="945" t="s">
        <v>428</v>
      </c>
      <c r="AA69" s="2383"/>
      <c r="AB69" s="2383"/>
      <c r="AC69" s="2383"/>
      <c r="AD69" s="2383"/>
      <c r="AE69" s="2383"/>
      <c r="AF69" s="2383"/>
      <c r="AG69" s="2383"/>
      <c r="AH69" s="2383"/>
      <c r="AI69" s="2383"/>
      <c r="AJ69" s="2383"/>
      <c r="AK69" s="2383"/>
    </row>
    <row r="70" spans="1:37" s="2382" customFormat="1" ht="24">
      <c r="A70" s="1497" t="s">
        <v>110</v>
      </c>
      <c r="B70" s="1502">
        <f>估价对象房地状况!C15</f>
        <v>0</v>
      </c>
      <c r="C70" s="1487"/>
      <c r="D70" s="2603">
        <f t="shared" ref="D70:D78" si="20">SUMIF($J$69:$N$69,C70,J70:N70)</f>
        <v>0</v>
      </c>
      <c r="E70" s="1504">
        <f>ROUND(SUM(D70:D78),4)</f>
        <v>0</v>
      </c>
      <c r="F70" s="1505" t="str">
        <f>IF(E2="住宅",SUMIF(L1:L12,G2,N1:N12),"——")</f>
        <v>——</v>
      </c>
      <c r="G70" s="2601"/>
      <c r="H70" s="2619" t="str">
        <f t="shared" ref="H70:H78" si="21">IFERROR(ROUNDDOWN($F$70*I70/2,4),"——")</f>
        <v>——</v>
      </c>
      <c r="I70" s="1503">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96">
      <c r="A71" s="1497" t="s">
        <v>92</v>
      </c>
      <c r="B71" s="1506" t="str">
        <f>估价对象房地状况!C18</f>
        <v>估价对象紧邻城市次干道——怀耿路，半径1公里内有866、H07、H09、H44路等公交线路，周边有怀耿路、杨雁路两条城市次干道，西北距离怀柔火车站4公里，交通便捷度较差</v>
      </c>
      <c r="C71" s="1487"/>
      <c r="D71" s="2603">
        <f t="shared" si="20"/>
        <v>0</v>
      </c>
      <c r="E71" s="1516"/>
      <c r="F71" s="1505"/>
      <c r="G71" s="2601"/>
      <c r="H71" s="2619" t="str">
        <f t="shared" si="21"/>
        <v>——</v>
      </c>
      <c r="I71" s="1503">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7" t="s">
        <v>109</v>
      </c>
      <c r="B72" s="1506" t="str">
        <f>估价对象房地状况!C19</f>
        <v>一般</v>
      </c>
      <c r="C72" s="1487"/>
      <c r="D72" s="2603">
        <f t="shared" si="20"/>
        <v>0</v>
      </c>
      <c r="E72" s="1516"/>
      <c r="F72" s="1505"/>
      <c r="G72" s="2601"/>
      <c r="H72" s="2619" t="str">
        <f t="shared" si="21"/>
        <v>——</v>
      </c>
      <c r="I72" s="1503">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7" t="s">
        <v>1789</v>
      </c>
      <c r="B73" s="1506" t="str">
        <f>估价对象房地状况!C24</f>
        <v>城市主干道-怀耿路</v>
      </c>
      <c r="C73" s="1487"/>
      <c r="D73" s="2603">
        <f t="shared" si="20"/>
        <v>0</v>
      </c>
      <c r="E73" s="1516"/>
      <c r="F73" s="1505"/>
      <c r="G73" s="2601"/>
      <c r="H73" s="2619" t="str">
        <f t="shared" si="21"/>
        <v>——</v>
      </c>
      <c r="I73" s="1503">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108">
      <c r="A74" s="1497" t="s">
        <v>1786</v>
      </c>
      <c r="B74" s="2599" t="str">
        <f>估价对象房地状况!C21</f>
        <v>周边2公里内的公共服务配套设施情况一般，无大型购物场所、医院（怀柔区杨宋镇卫生院）、银行（中国邮政储蓄银行）、学校（北京影视研修学院、北京怀柔中视腾飞影视培训学校）、餐饮等公共服务配套设施。</v>
      </c>
      <c r="C74" s="1487"/>
      <c r="D74" s="2603">
        <f t="shared" si="20"/>
        <v>0</v>
      </c>
      <c r="E74" s="1516"/>
      <c r="F74" s="1505"/>
      <c r="G74" s="2601"/>
      <c r="H74" s="2619" t="str">
        <f t="shared" si="21"/>
        <v>——</v>
      </c>
      <c r="I74" s="1503">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7" t="s">
        <v>1787</v>
      </c>
      <c r="B75" s="2599" t="str">
        <f>估价对象房地状况!C22</f>
        <v>估价对象所在区域基础设施水平达到七通</v>
      </c>
      <c r="C75" s="1487"/>
      <c r="D75" s="2603">
        <f t="shared" si="20"/>
        <v>0</v>
      </c>
      <c r="E75" s="1516"/>
      <c r="F75" s="1505"/>
      <c r="G75" s="2601"/>
      <c r="H75" s="2619" t="str">
        <f t="shared" si="21"/>
        <v>——</v>
      </c>
      <c r="I75" s="1503">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7" t="s">
        <v>1785</v>
      </c>
      <c r="B76" s="3303" t="s">
        <v>3022</v>
      </c>
      <c r="C76" s="1487"/>
      <c r="D76" s="2603">
        <f t="shared" si="20"/>
        <v>0</v>
      </c>
      <c r="E76" s="1516"/>
      <c r="F76" s="1505"/>
      <c r="G76" s="2601"/>
      <c r="H76" s="2619" t="str">
        <f t="shared" si="21"/>
        <v>——</v>
      </c>
      <c r="I76" s="1503">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96">
      <c r="A77" s="1497" t="s">
        <v>1788</v>
      </c>
      <c r="B77" s="1502" t="str">
        <f>估价对象房地状况!C20</f>
        <v>周边约1公里范围内有北京影视研修学院、北京怀柔中视腾飞影视培训学校等演艺教育学校，人文环境一般；周边有约1公里有栖河，自然环境一般。综合评价自然与人文环境一般</v>
      </c>
      <c r="C77" s="1487"/>
      <c r="D77" s="2603">
        <f t="shared" si="20"/>
        <v>0</v>
      </c>
      <c r="E77" s="1516"/>
      <c r="F77" s="1505"/>
      <c r="G77" s="2601"/>
      <c r="H77" s="2619" t="str">
        <f t="shared" si="21"/>
        <v>——</v>
      </c>
      <c r="I77" s="1503">
        <v>0.15</v>
      </c>
      <c r="J77" s="2602">
        <f t="shared" si="22"/>
        <v>0</v>
      </c>
      <c r="K77" s="2602">
        <f t="shared" si="23"/>
        <v>0</v>
      </c>
      <c r="L77" s="2602">
        <v>0</v>
      </c>
      <c r="M77" s="2602">
        <f t="shared" si="24"/>
        <v>0</v>
      </c>
      <c r="N77" s="2602">
        <f t="shared" si="24"/>
        <v>0</v>
      </c>
      <c r="Z77" s="1627"/>
      <c r="AA77" s="1626"/>
      <c r="AG77" s="1625"/>
      <c r="AK77" s="1626"/>
    </row>
    <row r="78" spans="1:37" ht="24.75" thickBot="1">
      <c r="A78" s="1510" t="s">
        <v>1790</v>
      </c>
      <c r="B78" s="3302"/>
      <c r="C78" s="1487"/>
      <c r="D78" s="2603">
        <f t="shared" si="20"/>
        <v>0</v>
      </c>
      <c r="E78" s="1517"/>
      <c r="F78" s="1505"/>
      <c r="G78" s="2601"/>
      <c r="H78" s="2619" t="str">
        <f t="shared" si="21"/>
        <v>——</v>
      </c>
      <c r="I78" s="1512">
        <v>0.04</v>
      </c>
      <c r="J78" s="2602">
        <f t="shared" si="22"/>
        <v>0</v>
      </c>
      <c r="K78" s="2602">
        <f t="shared" si="23"/>
        <v>0</v>
      </c>
      <c r="L78" s="2602">
        <v>0</v>
      </c>
      <c r="M78" s="2602">
        <f t="shared" si="24"/>
        <v>0</v>
      </c>
      <c r="N78" s="2602">
        <f t="shared" si="24"/>
        <v>0</v>
      </c>
      <c r="Z78" s="1627"/>
      <c r="AA78" s="1626"/>
      <c r="AG78" s="1625"/>
      <c r="AK78" s="1626"/>
    </row>
    <row r="79" spans="1:37" ht="15">
      <c r="A79" s="1491" t="s">
        <v>1104</v>
      </c>
      <c r="B79" s="1492">
        <f>1+E81</f>
        <v>1</v>
      </c>
      <c r="C79" s="1514"/>
      <c r="D79" s="1494"/>
      <c r="E79" s="1495"/>
      <c r="F79" s="2136"/>
      <c r="G79" s="292"/>
      <c r="H79" s="292"/>
      <c r="I79" s="292"/>
      <c r="J79" s="1490"/>
      <c r="K79" s="1490"/>
      <c r="L79" s="1490"/>
      <c r="M79" s="1490"/>
      <c r="N79" s="1490"/>
      <c r="Z79" s="1627"/>
      <c r="AA79" s="1626"/>
      <c r="AG79" s="1625"/>
      <c r="AK79" s="1626"/>
    </row>
    <row r="80" spans="1:37" ht="24">
      <c r="A80" s="1497" t="s">
        <v>1779</v>
      </c>
      <c r="B80" s="1498"/>
      <c r="C80" s="1499" t="s">
        <v>1781</v>
      </c>
      <c r="D80" s="1500" t="s">
        <v>1852</v>
      </c>
      <c r="E80" s="1501" t="s">
        <v>1854</v>
      </c>
      <c r="F80" s="2604" t="s">
        <v>2290</v>
      </c>
      <c r="G80" s="1500" t="s">
        <v>1850</v>
      </c>
      <c r="H80" s="2605" t="s">
        <v>2494</v>
      </c>
      <c r="I80" s="1500" t="s">
        <v>1853</v>
      </c>
      <c r="J80" s="945" t="s">
        <v>424</v>
      </c>
      <c r="K80" s="945" t="s">
        <v>425</v>
      </c>
      <c r="L80" s="945" t="s">
        <v>426</v>
      </c>
      <c r="M80" s="945" t="s">
        <v>427</v>
      </c>
      <c r="N80" s="945" t="s">
        <v>428</v>
      </c>
      <c r="Z80" s="1627"/>
      <c r="AA80" s="1626"/>
      <c r="AG80" s="1625"/>
      <c r="AK80" s="1626"/>
    </row>
    <row r="81" spans="1:37" ht="36">
      <c r="A81" s="1497" t="s">
        <v>158</v>
      </c>
      <c r="B81" s="1506" t="str">
        <f>估价对象房地状况!G15</f>
        <v>估价对象位于XX开发区，园区建设成熟度XX，产业集聚程度XX</v>
      </c>
      <c r="C81" s="1487"/>
      <c r="D81" s="2603">
        <f t="shared" ref="D81:D88" si="25">SUMIF($J$80:$N$80,C81,J81:N81)</f>
        <v>0</v>
      </c>
      <c r="E81" s="1504">
        <f>ROUND(SUM(D81:D88),4)</f>
        <v>0</v>
      </c>
      <c r="F81" s="1505" t="str">
        <f>IF(E2="工业",SUMIF(L1:L12,G2,N1:N12),"——")</f>
        <v>——</v>
      </c>
      <c r="G81" s="2601"/>
      <c r="H81" s="2619" t="str">
        <f t="shared" ref="H81:H88" si="26">IFERROR(ROUNDDOWN($F$81*I81/2,4),"——")</f>
        <v>——</v>
      </c>
      <c r="I81" s="1503">
        <v>0.26</v>
      </c>
      <c r="J81" s="2602">
        <f t="shared" ref="J81:J88" si="27">K81+$G81</f>
        <v>0</v>
      </c>
      <c r="K81" s="2602">
        <f t="shared" ref="K81:K88" si="28">$L81+$G81</f>
        <v>0</v>
      </c>
      <c r="L81" s="2602">
        <v>0</v>
      </c>
      <c r="M81" s="2602">
        <f t="shared" ref="M81:N88" si="29">L81-$G81</f>
        <v>0</v>
      </c>
      <c r="N81" s="2602">
        <f t="shared" si="29"/>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3">
        <f t="shared" si="25"/>
        <v>0</v>
      </c>
      <c r="E82" s="1516"/>
      <c r="F82" s="1505"/>
      <c r="G82" s="2601"/>
      <c r="H82" s="2619" t="str">
        <f t="shared" si="26"/>
        <v>——</v>
      </c>
      <c r="I82" s="1503">
        <v>0.33</v>
      </c>
      <c r="J82" s="2602">
        <f t="shared" si="27"/>
        <v>0</v>
      </c>
      <c r="K82" s="2602">
        <f t="shared" si="28"/>
        <v>0</v>
      </c>
      <c r="L82" s="2602">
        <v>0</v>
      </c>
      <c r="M82" s="2602">
        <f t="shared" si="29"/>
        <v>0</v>
      </c>
      <c r="N82" s="2602">
        <f t="shared" si="29"/>
        <v>0</v>
      </c>
      <c r="Z82" s="1627"/>
      <c r="AA82" s="1626"/>
      <c r="AG82" s="1625"/>
      <c r="AK82" s="1626"/>
    </row>
    <row r="83" spans="1:37" ht="24">
      <c r="A83" s="1497" t="s">
        <v>109</v>
      </c>
      <c r="B83" s="1506">
        <f>估价对象房地状况!G17</f>
        <v>0</v>
      </c>
      <c r="C83" s="1487"/>
      <c r="D83" s="2603">
        <f t="shared" si="25"/>
        <v>0</v>
      </c>
      <c r="E83" s="1516"/>
      <c r="F83" s="1505"/>
      <c r="G83" s="2601"/>
      <c r="H83" s="2619" t="str">
        <f t="shared" si="26"/>
        <v>——</v>
      </c>
      <c r="I83" s="1503">
        <v>0.05</v>
      </c>
      <c r="J83" s="2602">
        <f t="shared" si="27"/>
        <v>0</v>
      </c>
      <c r="K83" s="2602">
        <f t="shared" si="28"/>
        <v>0</v>
      </c>
      <c r="L83" s="2602">
        <v>0</v>
      </c>
      <c r="M83" s="2602">
        <f t="shared" si="29"/>
        <v>0</v>
      </c>
      <c r="N83" s="2602">
        <f t="shared" si="29"/>
        <v>0</v>
      </c>
      <c r="Z83" s="1627"/>
      <c r="AA83" s="1626"/>
      <c r="AG83" s="1625"/>
      <c r="AK83" s="1626"/>
    </row>
    <row r="84" spans="1:37" ht="14.25">
      <c r="A84" s="1497" t="s">
        <v>1789</v>
      </c>
      <c r="B84" s="1506">
        <f>估价对象房地状况!G22</f>
        <v>0</v>
      </c>
      <c r="C84" s="1487"/>
      <c r="D84" s="2603">
        <f t="shared" si="25"/>
        <v>0</v>
      </c>
      <c r="E84" s="1516"/>
      <c r="F84" s="1505"/>
      <c r="G84" s="2601"/>
      <c r="H84" s="2619" t="str">
        <f t="shared" si="26"/>
        <v>——</v>
      </c>
      <c r="I84" s="1503">
        <v>0.04</v>
      </c>
      <c r="J84" s="2602">
        <f t="shared" si="27"/>
        <v>0</v>
      </c>
      <c r="K84" s="2602">
        <f t="shared" si="28"/>
        <v>0</v>
      </c>
      <c r="L84" s="2602">
        <v>0</v>
      </c>
      <c r="M84" s="2602">
        <f t="shared" si="29"/>
        <v>0</v>
      </c>
      <c r="N84" s="2602">
        <f t="shared" si="29"/>
        <v>0</v>
      </c>
      <c r="Z84" s="1627"/>
      <c r="AA84" s="1626"/>
      <c r="AG84" s="1625"/>
      <c r="AK84" s="1626"/>
    </row>
    <row r="85" spans="1:37" ht="24">
      <c r="A85" s="1497" t="s">
        <v>1786</v>
      </c>
      <c r="B85" s="2599" t="str">
        <f>估价对象房地状况!G19</f>
        <v>估价对象所在区域公共配套设施齐备情况</v>
      </c>
      <c r="C85" s="1487"/>
      <c r="D85" s="2603">
        <f t="shared" si="25"/>
        <v>0</v>
      </c>
      <c r="E85" s="1516"/>
      <c r="F85" s="1505"/>
      <c r="G85" s="2601"/>
      <c r="H85" s="2619" t="str">
        <f t="shared" si="26"/>
        <v>——</v>
      </c>
      <c r="I85" s="1503">
        <v>0.06</v>
      </c>
      <c r="J85" s="2602">
        <f t="shared" si="27"/>
        <v>0</v>
      </c>
      <c r="K85" s="2602">
        <f t="shared" si="28"/>
        <v>0</v>
      </c>
      <c r="L85" s="2602">
        <v>0</v>
      </c>
      <c r="M85" s="2602">
        <f t="shared" si="29"/>
        <v>0</v>
      </c>
      <c r="N85" s="2602">
        <f t="shared" si="29"/>
        <v>0</v>
      </c>
      <c r="Z85" s="1627"/>
      <c r="AA85" s="1626"/>
      <c r="AG85" s="1625"/>
      <c r="AK85" s="1626"/>
    </row>
    <row r="86" spans="1:37" ht="24">
      <c r="A86" s="1497" t="s">
        <v>1787</v>
      </c>
      <c r="B86" s="2599" t="str">
        <f>估价对象房地状况!G20</f>
        <v>估价对象所在区域基础设施水平</v>
      </c>
      <c r="C86" s="1487"/>
      <c r="D86" s="2603">
        <f t="shared" si="25"/>
        <v>0</v>
      </c>
      <c r="E86" s="1516"/>
      <c r="F86" s="1505"/>
      <c r="G86" s="2601"/>
      <c r="H86" s="2619" t="str">
        <f t="shared" si="26"/>
        <v>——</v>
      </c>
      <c r="I86" s="1503">
        <v>0.15</v>
      </c>
      <c r="J86" s="2602">
        <f t="shared" si="27"/>
        <v>0</v>
      </c>
      <c r="K86" s="2602">
        <f t="shared" si="28"/>
        <v>0</v>
      </c>
      <c r="L86" s="2602">
        <v>0</v>
      </c>
      <c r="M86" s="2602">
        <f t="shared" si="29"/>
        <v>0</v>
      </c>
      <c r="N86" s="2602">
        <f t="shared" si="29"/>
        <v>0</v>
      </c>
      <c r="Z86" s="1627"/>
      <c r="AA86" s="1626"/>
      <c r="AG86" s="1625"/>
      <c r="AK86" s="1626"/>
    </row>
    <row r="87" spans="1:37" ht="24">
      <c r="A87" s="1497" t="s">
        <v>1785</v>
      </c>
      <c r="B87" s="3303" t="s">
        <v>2492</v>
      </c>
      <c r="C87" s="1487"/>
      <c r="D87" s="2603">
        <f t="shared" si="25"/>
        <v>0</v>
      </c>
      <c r="E87" s="1516"/>
      <c r="F87" s="1505"/>
      <c r="G87" s="2601"/>
      <c r="H87" s="2619" t="str">
        <f t="shared" si="26"/>
        <v>——</v>
      </c>
      <c r="I87" s="1503">
        <v>0.05</v>
      </c>
      <c r="J87" s="2602">
        <f t="shared" si="27"/>
        <v>0</v>
      </c>
      <c r="K87" s="2602">
        <f t="shared" si="28"/>
        <v>0</v>
      </c>
      <c r="L87" s="2602">
        <v>0</v>
      </c>
      <c r="M87" s="2602">
        <f t="shared" si="29"/>
        <v>0</v>
      </c>
      <c r="N87" s="2602">
        <f t="shared" si="29"/>
        <v>0</v>
      </c>
      <c r="Z87" s="1627"/>
      <c r="AA87" s="1626"/>
      <c r="AG87" s="1625"/>
      <c r="AK87" s="1626"/>
    </row>
    <row r="88" spans="1:37" ht="36.75" thickBot="1">
      <c r="A88" s="1510" t="s">
        <v>1791</v>
      </c>
      <c r="B88" s="2600" t="str">
        <f>估价对象房地状况!G18</f>
        <v>该园区内是否有污染型企业，绿化情况，卫生条件，整体环境状况判断</v>
      </c>
      <c r="C88" s="1487"/>
      <c r="D88" s="2603">
        <f t="shared" si="25"/>
        <v>0</v>
      </c>
      <c r="E88" s="1517"/>
      <c r="F88" s="1505"/>
      <c r="G88" s="2601"/>
      <c r="H88" s="2619" t="str">
        <f t="shared" si="26"/>
        <v>——</v>
      </c>
      <c r="I88" s="1512">
        <v>0.06</v>
      </c>
      <c r="J88" s="2602">
        <f t="shared" si="27"/>
        <v>0</v>
      </c>
      <c r="K88" s="2602">
        <f t="shared" si="28"/>
        <v>0</v>
      </c>
      <c r="L88" s="2602">
        <v>0</v>
      </c>
      <c r="M88" s="2602">
        <f t="shared" si="29"/>
        <v>0</v>
      </c>
      <c r="N88" s="2602">
        <f t="shared" si="29"/>
        <v>0</v>
      </c>
      <c r="Z88" s="1627"/>
      <c r="AA88" s="1626"/>
      <c r="AG88" s="1625"/>
      <c r="AK88" s="1626"/>
    </row>
    <row r="90" spans="1:37">
      <c r="A90" s="3765" t="s">
        <v>1760</v>
      </c>
      <c r="B90" s="3765"/>
      <c r="C90" s="3765"/>
      <c r="D90" s="3765"/>
      <c r="E90" s="3765"/>
      <c r="F90" s="3765"/>
      <c r="G90" s="3765"/>
      <c r="H90" s="3765"/>
      <c r="I90" s="3765"/>
      <c r="J90" s="3765"/>
      <c r="K90" s="2608"/>
      <c r="L90" s="2608"/>
      <c r="M90" s="2608"/>
      <c r="N90" s="2608"/>
    </row>
    <row r="91" spans="1:37">
      <c r="A91" s="3767" t="s">
        <v>68</v>
      </c>
      <c r="B91" s="3767" t="s">
        <v>1761</v>
      </c>
      <c r="C91" s="1586" t="s">
        <v>1762</v>
      </c>
      <c r="D91" s="1587"/>
      <c r="E91" s="1587"/>
      <c r="F91" s="1587"/>
      <c r="G91" s="1587"/>
      <c r="H91" s="1587"/>
      <c r="I91" s="1587"/>
      <c r="J91" s="1588"/>
      <c r="K91" s="1576"/>
      <c r="L91" s="1576"/>
      <c r="M91" s="1576"/>
      <c r="N91" s="1576"/>
    </row>
    <row r="92" spans="1:37">
      <c r="A92" s="3767"/>
      <c r="B92" s="3767"/>
      <c r="C92" s="2607" t="s">
        <v>164</v>
      </c>
      <c r="D92" s="2607" t="s">
        <v>165</v>
      </c>
      <c r="E92" s="2607" t="s">
        <v>160</v>
      </c>
      <c r="F92" s="2607" t="s">
        <v>161</v>
      </c>
      <c r="G92" s="2607" t="s">
        <v>162</v>
      </c>
      <c r="H92" s="2607" t="s">
        <v>163</v>
      </c>
      <c r="I92" s="2607" t="s">
        <v>1177</v>
      </c>
      <c r="J92" s="2607" t="s">
        <v>1178</v>
      </c>
      <c r="K92" s="2607" t="s">
        <v>1179</v>
      </c>
      <c r="L92" s="2607" t="s">
        <v>1180</v>
      </c>
      <c r="M92" s="2607" t="s">
        <v>1181</v>
      </c>
      <c r="N92" s="2607" t="s">
        <v>1182</v>
      </c>
    </row>
    <row r="93" spans="1:37">
      <c r="A93" s="3768" t="s">
        <v>1763</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69"/>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69"/>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69"/>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69"/>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69"/>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69"/>
      <c r="B99" s="1589" t="s">
        <v>1764</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70"/>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68" t="s">
        <v>1765</v>
      </c>
      <c r="B101" s="1593" t="s">
        <v>93</v>
      </c>
      <c r="C101" s="1594">
        <f>$G$3</f>
        <v>0.15</v>
      </c>
      <c r="D101" s="1594">
        <f t="shared" ref="D101:N101" si="31">$G$3</f>
        <v>0.15</v>
      </c>
      <c r="E101" s="1594">
        <f t="shared" si="31"/>
        <v>0.15</v>
      </c>
      <c r="F101" s="1594">
        <f t="shared" si="31"/>
        <v>0.15</v>
      </c>
      <c r="G101" s="1594">
        <f t="shared" si="31"/>
        <v>0.15</v>
      </c>
      <c r="H101" s="1594">
        <f t="shared" si="31"/>
        <v>0.15</v>
      </c>
      <c r="I101" s="1594">
        <f t="shared" si="31"/>
        <v>0.15</v>
      </c>
      <c r="J101" s="1594">
        <f t="shared" si="31"/>
        <v>0.15</v>
      </c>
      <c r="K101" s="1594">
        <f t="shared" si="31"/>
        <v>0.15</v>
      </c>
      <c r="L101" s="1594">
        <f t="shared" si="31"/>
        <v>0.15</v>
      </c>
      <c r="M101" s="1594">
        <f t="shared" si="31"/>
        <v>0.15</v>
      </c>
      <c r="N101" s="1594">
        <f t="shared" si="31"/>
        <v>0.15</v>
      </c>
    </row>
    <row r="102" spans="1:14">
      <c r="A102" s="3769"/>
      <c r="B102" s="1589">
        <v>1</v>
      </c>
      <c r="C102" s="1590">
        <f>1.9362/C101</f>
        <v>12.907999999999999</v>
      </c>
      <c r="D102" s="1590">
        <f>1.9362/D101</f>
        <v>12.907999999999999</v>
      </c>
      <c r="E102" s="1590">
        <f>1.8629/E101</f>
        <v>12.419333333333334</v>
      </c>
      <c r="F102" s="1590">
        <f>1.8629/F101</f>
        <v>12.419333333333334</v>
      </c>
      <c r="G102" s="1590">
        <f>1.8629/G101</f>
        <v>12.419333333333334</v>
      </c>
      <c r="H102" s="1590">
        <f>1.8629/H101</f>
        <v>12.419333333333334</v>
      </c>
      <c r="I102" s="1590">
        <f>1.8629/I101</f>
        <v>12.419333333333334</v>
      </c>
      <c r="J102" s="1590">
        <f>1.942/J101</f>
        <v>12.946666666666667</v>
      </c>
      <c r="K102" s="1590">
        <f>1.942/K101</f>
        <v>12.946666666666667</v>
      </c>
      <c r="L102" s="1590">
        <f>1.942/L101</f>
        <v>12.946666666666667</v>
      </c>
      <c r="M102" s="1590">
        <f>1.942/M101</f>
        <v>12.946666666666667</v>
      </c>
      <c r="N102" s="1590">
        <f>1.942/N101</f>
        <v>12.946666666666667</v>
      </c>
    </row>
    <row r="103" spans="1:14">
      <c r="A103" s="3769"/>
      <c r="B103" s="1589">
        <v>2</v>
      </c>
      <c r="C103" s="1590">
        <f>1.4198/C101</f>
        <v>9.4653333333333336</v>
      </c>
      <c r="D103" s="1590">
        <f>1.4198/D101</f>
        <v>9.4653333333333336</v>
      </c>
      <c r="E103" s="1590">
        <f>1.3372/E101</f>
        <v>8.9146666666666672</v>
      </c>
      <c r="F103" s="1590">
        <f>1.3372/F101</f>
        <v>8.9146666666666672</v>
      </c>
      <c r="G103" s="1590">
        <f>1.3372/G101</f>
        <v>8.9146666666666672</v>
      </c>
      <c r="H103" s="1590">
        <f>1.3372/H101</f>
        <v>8.9146666666666672</v>
      </c>
      <c r="I103" s="1590">
        <f>1.3372/I101</f>
        <v>8.9146666666666672</v>
      </c>
      <c r="J103" s="1590">
        <f>1.2799/J101</f>
        <v>8.5326666666666675</v>
      </c>
      <c r="K103" s="1590">
        <f>1.2799/K101</f>
        <v>8.5326666666666675</v>
      </c>
      <c r="L103" s="1590">
        <f>1.2799/L101</f>
        <v>8.5326666666666675</v>
      </c>
      <c r="M103" s="1590">
        <f>1.2799/M101</f>
        <v>8.5326666666666675</v>
      </c>
      <c r="N103" s="1590">
        <f>1.2799/N101</f>
        <v>8.5326666666666675</v>
      </c>
    </row>
    <row r="104" spans="1:14">
      <c r="A104" s="3769"/>
      <c r="B104" s="1589">
        <v>3</v>
      </c>
      <c r="C104" s="1590">
        <f>1.1594/C101</f>
        <v>7.7293333333333338</v>
      </c>
      <c r="D104" s="1590">
        <f>1.1594/D101</f>
        <v>7.7293333333333338</v>
      </c>
      <c r="E104" s="1590">
        <f>1.0788/E101</f>
        <v>7.1920000000000002</v>
      </c>
      <c r="F104" s="1590">
        <f>1.0788/F101</f>
        <v>7.1920000000000002</v>
      </c>
      <c r="G104" s="1590">
        <f>1.0788/G101</f>
        <v>7.1920000000000002</v>
      </c>
      <c r="H104" s="1590">
        <f>1.0788/H101</f>
        <v>7.1920000000000002</v>
      </c>
      <c r="I104" s="1590">
        <f>1.0788/I101</f>
        <v>7.1920000000000002</v>
      </c>
      <c r="J104" s="1590">
        <f>1.0072/J101</f>
        <v>6.7146666666666679</v>
      </c>
      <c r="K104" s="1590">
        <f>1.0072/K101</f>
        <v>6.7146666666666679</v>
      </c>
      <c r="L104" s="1590">
        <f>1.0072/L101</f>
        <v>6.7146666666666679</v>
      </c>
      <c r="M104" s="1590">
        <f>1.0072/M101</f>
        <v>6.7146666666666679</v>
      </c>
      <c r="N104" s="1590">
        <f>1.0072/N101</f>
        <v>6.7146666666666679</v>
      </c>
    </row>
    <row r="105" spans="1:14">
      <c r="A105" s="3769"/>
      <c r="B105" s="1589">
        <v>4</v>
      </c>
      <c r="C105" s="1590">
        <f>0.9622/C101</f>
        <v>6.4146666666666672</v>
      </c>
      <c r="D105" s="1590">
        <f>0.9622/D101</f>
        <v>6.4146666666666672</v>
      </c>
      <c r="E105" s="1590">
        <f>0.8656/E101</f>
        <v>5.7706666666666671</v>
      </c>
      <c r="F105" s="1590">
        <f>0.8656/F101</f>
        <v>5.7706666666666671</v>
      </c>
      <c r="G105" s="1590">
        <f>0.8656/G101</f>
        <v>5.7706666666666671</v>
      </c>
      <c r="H105" s="1590">
        <f>0.8656/H101</f>
        <v>5.7706666666666671</v>
      </c>
      <c r="I105" s="1590">
        <f>0.8656/I101</f>
        <v>5.7706666666666671</v>
      </c>
      <c r="J105" s="1590">
        <f>0.7525/J101</f>
        <v>5.0166666666666666</v>
      </c>
      <c r="K105" s="1590">
        <f>0.7525/K101</f>
        <v>5.0166666666666666</v>
      </c>
      <c r="L105" s="1590">
        <f>0.7525/L101</f>
        <v>5.0166666666666666</v>
      </c>
      <c r="M105" s="1590">
        <f>0.7525/M101</f>
        <v>5.0166666666666666</v>
      </c>
      <c r="N105" s="1590">
        <f>0.7525/N101</f>
        <v>5.0166666666666666</v>
      </c>
    </row>
    <row r="106" spans="1:14">
      <c r="A106" s="3769"/>
      <c r="B106" s="1589">
        <v>5</v>
      </c>
      <c r="C106" s="1590">
        <f>0.8417/C101</f>
        <v>5.6113333333333335</v>
      </c>
      <c r="D106" s="1590">
        <f>0.8417/D101</f>
        <v>5.6113333333333335</v>
      </c>
      <c r="E106" s="1590">
        <f>0.7371/E101</f>
        <v>4.9139999999999997</v>
      </c>
      <c r="F106" s="1590">
        <f>0.7371/F101</f>
        <v>4.9139999999999997</v>
      </c>
      <c r="G106" s="1590">
        <f>0.7371/G101</f>
        <v>4.9139999999999997</v>
      </c>
      <c r="H106" s="1590">
        <f>0.7371/H101</f>
        <v>4.9139999999999997</v>
      </c>
      <c r="I106" s="1590">
        <f>0.7371/I101</f>
        <v>4.9139999999999997</v>
      </c>
      <c r="J106" s="1590">
        <f>0.5659/J101</f>
        <v>3.7726666666666664</v>
      </c>
      <c r="K106" s="1590">
        <f>0.5659/K101</f>
        <v>3.7726666666666664</v>
      </c>
      <c r="L106" s="1590">
        <f>0.5659/L101</f>
        <v>3.7726666666666664</v>
      </c>
      <c r="M106" s="1590">
        <f>0.5659/M101</f>
        <v>3.7726666666666664</v>
      </c>
      <c r="N106" s="1590">
        <f>0.5659/N101</f>
        <v>3.7726666666666664</v>
      </c>
    </row>
    <row r="107" spans="1:14">
      <c r="A107" s="3769"/>
      <c r="B107" s="1589">
        <v>6</v>
      </c>
      <c r="C107" s="1590">
        <f>0.7608/C101</f>
        <v>5.0720000000000001</v>
      </c>
      <c r="D107" s="1590">
        <f>0.7608/D101</f>
        <v>5.0720000000000001</v>
      </c>
      <c r="E107" s="1590">
        <f>0.6482/E101</f>
        <v>4.3213333333333335</v>
      </c>
      <c r="F107" s="1590">
        <f>0.6482/F101</f>
        <v>4.3213333333333335</v>
      </c>
      <c r="G107" s="1590">
        <f>0.6482/G101</f>
        <v>4.3213333333333335</v>
      </c>
      <c r="H107" s="1590">
        <f>0.6482/H101</f>
        <v>4.3213333333333335</v>
      </c>
      <c r="I107" s="1590">
        <f>0.6482/I101</f>
        <v>4.3213333333333335</v>
      </c>
      <c r="J107" s="1590">
        <f>0.4525/J101</f>
        <v>3.0166666666666671</v>
      </c>
      <c r="K107" s="1590">
        <f>0.4525/K101</f>
        <v>3.0166666666666671</v>
      </c>
      <c r="L107" s="1590">
        <f>0.4525/L101</f>
        <v>3.0166666666666671</v>
      </c>
      <c r="M107" s="1590">
        <f>0.4525/M101</f>
        <v>3.0166666666666671</v>
      </c>
      <c r="N107" s="1590">
        <f>0.4525/N101</f>
        <v>3.0166666666666671</v>
      </c>
    </row>
    <row r="108" spans="1:14">
      <c r="A108" s="3769"/>
      <c r="B108" s="3771" t="s">
        <v>1767</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70"/>
      <c r="B109" s="3772"/>
      <c r="C109" s="1592">
        <f>(-0.163*(C108^2)-0.59*C108+7617)*(10^(-4))/C101</f>
        <v>5.0780000000000003</v>
      </c>
      <c r="D109" s="1592">
        <f>(-0.163*(D108^2)-0.59*D108+7617)*(10^(-4))/D101</f>
        <v>5.0780000000000003</v>
      </c>
      <c r="E109" s="1592">
        <f>(-0.161*(E108^2)-7.509*E108+6533)*(10^(-4))/E101</f>
        <v>4.3553333333333333</v>
      </c>
      <c r="F109" s="1592">
        <f>(-0.161*(F108^2)-7.509*F108+6533)*(10^(-4))/F101</f>
        <v>4.3553333333333333</v>
      </c>
      <c r="G109" s="1592">
        <f>(-0.161*(G108^2)-7.509*G108+6533)*(10^(-4))/G101</f>
        <v>4.3553333333333333</v>
      </c>
      <c r="H109" s="1592">
        <f>(-0.161*(H108^2)-7.509*H108+6533)*(10^(-4))/H101</f>
        <v>4.3553333333333333</v>
      </c>
      <c r="I109" s="1592">
        <f>(-0.161*(I108^2)-7.509*I108+6533)*(10^(-4))/I101</f>
        <v>4.3553333333333333</v>
      </c>
      <c r="J109" s="1592">
        <f>(-0.214*(J108^2)-21.991*J108+4665)*(10^(-4))/J101</f>
        <v>3.1100000000000003</v>
      </c>
      <c r="K109" s="1592">
        <f>(-0.214*(K108^2)-21.991*K108+4665)*(10^(-4))/K101</f>
        <v>3.1100000000000003</v>
      </c>
      <c r="L109" s="1592">
        <f>(-0.214*(L108^2)-21.991*L108+4665)*(10^(-4))/L101</f>
        <v>3.1100000000000003</v>
      </c>
      <c r="M109" s="1592">
        <f>(-0.214*(M108^2)-21.991*M108+4665)*(10^(-4))/M101</f>
        <v>3.1100000000000003</v>
      </c>
      <c r="N109" s="1592">
        <f>(-0.214*(N108^2)-21.991*N108+4665)*(10^(-4))/N101</f>
        <v>3.1100000000000003</v>
      </c>
    </row>
    <row r="110" spans="1:14">
      <c r="A110" s="3766" t="s">
        <v>1768</v>
      </c>
      <c r="B110" s="3766"/>
      <c r="C110" s="3766"/>
      <c r="D110" s="3766"/>
      <c r="E110" s="3766"/>
      <c r="F110" s="3766"/>
      <c r="G110" s="3766"/>
      <c r="H110" s="3766"/>
      <c r="I110" s="3766"/>
      <c r="J110" s="3766"/>
      <c r="K110" s="2606"/>
      <c r="L110" s="2606"/>
      <c r="M110" s="2606"/>
      <c r="N110" s="2606"/>
    </row>
    <row r="112" spans="1:14" ht="12.75" thickBot="1"/>
    <row r="113" spans="1:13" ht="25.5" thickBot="1">
      <c r="A113" s="1602" t="s">
        <v>1770</v>
      </c>
      <c r="B113" s="2609">
        <f>G3</f>
        <v>0.15</v>
      </c>
      <c r="C113" s="1603" t="s">
        <v>1771</v>
      </c>
      <c r="D113" s="1604">
        <f>SUMPRODUCT((A115:A118=F113)*(B114:M114=H113)*B115:M118)</f>
        <v>0.76729999999999998</v>
      </c>
      <c r="E113" s="1605" t="s">
        <v>68</v>
      </c>
      <c r="F113" s="1606" t="str">
        <f>E2</f>
        <v>办公</v>
      </c>
      <c r="G113" s="1605" t="s">
        <v>1560</v>
      </c>
      <c r="H113" s="1606" t="str">
        <f>G2</f>
        <v>八级</v>
      </c>
      <c r="I113" s="1605"/>
      <c r="J113" s="1597"/>
      <c r="K113" s="1597"/>
      <c r="L113" s="1597"/>
      <c r="M113" s="1597"/>
    </row>
    <row r="114" spans="1:13" ht="12.75">
      <c r="A114" s="1609"/>
      <c r="B114" s="1610" t="s">
        <v>164</v>
      </c>
      <c r="C114" s="1610" t="s">
        <v>165</v>
      </c>
      <c r="D114" s="1610" t="s">
        <v>160</v>
      </c>
      <c r="E114" s="1611" t="s">
        <v>161</v>
      </c>
      <c r="F114" s="1611" t="s">
        <v>162</v>
      </c>
      <c r="G114" s="1611" t="s">
        <v>163</v>
      </c>
      <c r="H114" s="1612" t="s">
        <v>1177</v>
      </c>
      <c r="I114" s="1612" t="s">
        <v>1178</v>
      </c>
      <c r="J114" s="1613" t="s">
        <v>1179</v>
      </c>
      <c r="K114" s="1613" t="s">
        <v>1180</v>
      </c>
      <c r="L114" s="1613" t="s">
        <v>1181</v>
      </c>
      <c r="M114" s="1614" t="s">
        <v>1182</v>
      </c>
    </row>
    <row r="115" spans="1:13" ht="12.75">
      <c r="A115" s="1615" t="s">
        <v>1772</v>
      </c>
      <c r="B115" s="1616">
        <f>ROUND(0.9335-0.0094*B113,4)</f>
        <v>0.93210000000000004</v>
      </c>
      <c r="C115" s="1616">
        <f>B115</f>
        <v>0.93210000000000004</v>
      </c>
      <c r="D115" s="1616">
        <f>ROUND(0.8331-0.0109*B113,4)</f>
        <v>0.83150000000000002</v>
      </c>
      <c r="E115" s="1616">
        <f>D115</f>
        <v>0.83150000000000002</v>
      </c>
      <c r="F115" s="1616">
        <f>E115</f>
        <v>0.83150000000000002</v>
      </c>
      <c r="G115" s="1616">
        <f>F115</f>
        <v>0.83150000000000002</v>
      </c>
      <c r="H115" s="1616">
        <f>G115</f>
        <v>0.83150000000000002</v>
      </c>
      <c r="I115" s="1616">
        <f>ROUND(0.689-0.0155*B113,4)</f>
        <v>0.68669999999999998</v>
      </c>
      <c r="J115" s="1616">
        <f t="shared" ref="J115:M118" si="33">I115</f>
        <v>0.68669999999999998</v>
      </c>
      <c r="K115" s="1616">
        <f t="shared" si="33"/>
        <v>0.68669999999999998</v>
      </c>
      <c r="L115" s="1616">
        <f t="shared" si="33"/>
        <v>0.68669999999999998</v>
      </c>
      <c r="M115" s="1617">
        <f t="shared" si="33"/>
        <v>0.68669999999999998</v>
      </c>
    </row>
    <row r="116" spans="1:13" ht="12.75">
      <c r="A116" s="1615" t="s">
        <v>1773</v>
      </c>
      <c r="B116" s="1616">
        <f>ROUND(0.949-0.012*B113,4)</f>
        <v>0.94720000000000004</v>
      </c>
      <c r="C116" s="1616">
        <f>B116</f>
        <v>0.94720000000000004</v>
      </c>
      <c r="D116" s="1616">
        <f>ROUND(0.8567-0.013*B113,4)</f>
        <v>0.8548</v>
      </c>
      <c r="E116" s="1616">
        <f t="shared" ref="E116:H117" si="34">D116</f>
        <v>0.8548</v>
      </c>
      <c r="F116" s="1616">
        <f t="shared" si="34"/>
        <v>0.8548</v>
      </c>
      <c r="G116" s="1616">
        <f t="shared" si="34"/>
        <v>0.8548</v>
      </c>
      <c r="H116" s="1616">
        <f t="shared" si="34"/>
        <v>0.8548</v>
      </c>
      <c r="I116" s="1616">
        <f>ROUND(0.7694-0.014*B113,4)</f>
        <v>0.76729999999999998</v>
      </c>
      <c r="J116" s="1616">
        <f t="shared" si="33"/>
        <v>0.76729999999999998</v>
      </c>
      <c r="K116" s="1616">
        <f t="shared" si="33"/>
        <v>0.76729999999999998</v>
      </c>
      <c r="L116" s="1616">
        <f t="shared" si="33"/>
        <v>0.76729999999999998</v>
      </c>
      <c r="M116" s="1617">
        <f t="shared" si="33"/>
        <v>0.76729999999999998</v>
      </c>
    </row>
    <row r="117" spans="1:13" ht="12.75">
      <c r="A117" s="1618" t="s">
        <v>977</v>
      </c>
      <c r="B117" s="1616">
        <f>ROUND(0.8808-0.006*B113,4)</f>
        <v>0.87990000000000002</v>
      </c>
      <c r="C117" s="1616">
        <f>B117</f>
        <v>0.87990000000000002</v>
      </c>
      <c r="D117" s="1616">
        <f>ROUND(0.8748-0.008*B113,4)</f>
        <v>0.87360000000000004</v>
      </c>
      <c r="E117" s="1616">
        <f t="shared" si="34"/>
        <v>0.87360000000000004</v>
      </c>
      <c r="F117" s="1616">
        <f t="shared" si="34"/>
        <v>0.87360000000000004</v>
      </c>
      <c r="G117" s="1616">
        <f t="shared" si="34"/>
        <v>0.87360000000000004</v>
      </c>
      <c r="H117" s="1616">
        <f t="shared" si="34"/>
        <v>0.87360000000000004</v>
      </c>
      <c r="I117" s="1616">
        <f>ROUND(0.7412-0.0095*B113,4)</f>
        <v>0.73980000000000001</v>
      </c>
      <c r="J117" s="1616">
        <f t="shared" si="33"/>
        <v>0.73980000000000001</v>
      </c>
      <c r="K117" s="1616">
        <f t="shared" si="33"/>
        <v>0.73980000000000001</v>
      </c>
      <c r="L117" s="1616">
        <f t="shared" si="33"/>
        <v>0.73980000000000001</v>
      </c>
      <c r="M117" s="1617">
        <f t="shared" si="33"/>
        <v>0.73980000000000001</v>
      </c>
    </row>
    <row r="118" spans="1:13" ht="13.5" thickBot="1">
      <c r="A118" s="1122" t="s">
        <v>1774</v>
      </c>
      <c r="B118" s="1619">
        <f>ROUND(0.7275-0.01*B113,4)</f>
        <v>0.72599999999999998</v>
      </c>
      <c r="C118" s="1619">
        <f>B118</f>
        <v>0.72599999999999998</v>
      </c>
      <c r="D118" s="1619">
        <f>ROUND(0.7043-0.012*B113,4)</f>
        <v>0.70250000000000001</v>
      </c>
      <c r="E118" s="1619">
        <f>D118</f>
        <v>0.70250000000000001</v>
      </c>
      <c r="F118" s="1619">
        <f>E118</f>
        <v>0.70250000000000001</v>
      </c>
      <c r="G118" s="1619">
        <f>ROUND(0.6299-0.0122*B113,4)</f>
        <v>0.62809999999999999</v>
      </c>
      <c r="H118" s="1619">
        <f>G118</f>
        <v>0.62809999999999999</v>
      </c>
      <c r="I118" s="1619">
        <f>ROUND(0.5667-0.0136*B113,4)</f>
        <v>0.56469999999999998</v>
      </c>
      <c r="J118" s="1619">
        <f t="shared" si="33"/>
        <v>0.56469999999999998</v>
      </c>
      <c r="K118" s="1619">
        <f t="shared" si="33"/>
        <v>0.56469999999999998</v>
      </c>
      <c r="L118" s="1619">
        <f t="shared" si="33"/>
        <v>0.56469999999999998</v>
      </c>
      <c r="M118" s="1620">
        <f t="shared" si="33"/>
        <v>0.56469999999999998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1560</v>
      </c>
      <c r="B1" s="1521" t="s">
        <v>1171</v>
      </c>
      <c r="C1" s="1521" t="s">
        <v>1172</v>
      </c>
      <c r="D1" s="1521" t="s">
        <v>1173</v>
      </c>
      <c r="E1" s="1521" t="s">
        <v>1174</v>
      </c>
      <c r="F1" s="1521" t="s">
        <v>1175</v>
      </c>
      <c r="G1" s="1521" t="s">
        <v>1176</v>
      </c>
      <c r="H1" s="1521" t="s">
        <v>1177</v>
      </c>
      <c r="I1" s="1521" t="s">
        <v>1178</v>
      </c>
      <c r="J1" s="1521" t="s">
        <v>1179</v>
      </c>
      <c r="K1" s="1521" t="s">
        <v>1180</v>
      </c>
      <c r="L1" s="1521" t="s">
        <v>1181</v>
      </c>
      <c r="M1" s="1522" t="s">
        <v>1182</v>
      </c>
    </row>
    <row r="2" spans="1:13" ht="19.5" customHeight="1">
      <c r="A2" s="1547" t="s">
        <v>1197</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1198</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1847</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1200</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1561</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1562</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1563</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1564</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1565</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1566</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1567</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1568</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1569</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1570</v>
      </c>
      <c r="B16" s="1566"/>
      <c r="C16" s="1567"/>
      <c r="D16" s="1567"/>
      <c r="E16" s="1566"/>
      <c r="F16" s="1567"/>
      <c r="G16" s="1567"/>
    </row>
    <row r="17" spans="1:9" ht="19.5" customHeight="1">
      <c r="A17" s="1498" t="s">
        <v>1571</v>
      </c>
      <c r="B17" s="1569" t="s">
        <v>1572</v>
      </c>
      <c r="C17" s="1750" t="s">
        <v>1870</v>
      </c>
      <c r="D17" s="1570"/>
      <c r="E17" s="1498" t="s">
        <v>1573</v>
      </c>
      <c r="F17" s="1571"/>
      <c r="G17" s="1571"/>
    </row>
    <row r="18" spans="1:9" s="1577" customFormat="1" ht="19.5" customHeight="1">
      <c r="A18" s="3767" t="s">
        <v>1197</v>
      </c>
      <c r="B18" s="1572" t="s">
        <v>1574</v>
      </c>
      <c r="C18" s="1573" t="s">
        <v>1575</v>
      </c>
      <c r="D18" s="1574"/>
      <c r="E18" s="1572">
        <v>1</v>
      </c>
      <c r="F18" s="1575" t="s">
        <v>1576</v>
      </c>
      <c r="G18" s="1576"/>
      <c r="H18" s="1568"/>
      <c r="I18" s="1568"/>
    </row>
    <row r="19" spans="1:9" s="1577" customFormat="1" ht="19.5" customHeight="1">
      <c r="A19" s="3767"/>
      <c r="B19" s="3767" t="s">
        <v>1577</v>
      </c>
      <c r="C19" s="1573" t="s">
        <v>1578</v>
      </c>
      <c r="D19" s="1574"/>
      <c r="E19" s="1572">
        <v>0.9</v>
      </c>
      <c r="F19" s="1575" t="s">
        <v>1579</v>
      </c>
      <c r="G19" s="1576"/>
      <c r="H19" s="1568"/>
      <c r="I19" s="1568"/>
    </row>
    <row r="20" spans="1:9" s="1577" customFormat="1" ht="19.5" customHeight="1">
      <c r="A20" s="3767"/>
      <c r="B20" s="3767"/>
      <c r="C20" s="1573" t="s">
        <v>1580</v>
      </c>
      <c r="D20" s="1574"/>
      <c r="E20" s="1572">
        <v>1.1000000000000001</v>
      </c>
      <c r="F20" s="1575" t="s">
        <v>1581</v>
      </c>
      <c r="G20" s="1576"/>
      <c r="H20" s="1568"/>
      <c r="I20" s="1568"/>
    </row>
    <row r="21" spans="1:9" s="1577" customFormat="1" ht="19.5" customHeight="1">
      <c r="A21" s="3767"/>
      <c r="B21" s="3767"/>
      <c r="C21" s="1573" t="s">
        <v>1582</v>
      </c>
      <c r="D21" s="1574"/>
      <c r="E21" s="1572">
        <v>0.8</v>
      </c>
      <c r="F21" s="1575" t="s">
        <v>1583</v>
      </c>
      <c r="G21" s="1576"/>
      <c r="H21" s="1568"/>
      <c r="I21" s="1568"/>
    </row>
    <row r="22" spans="1:9" s="1577" customFormat="1" ht="19.5" customHeight="1">
      <c r="A22" s="3767"/>
      <c r="B22" s="3767"/>
      <c r="C22" s="1573" t="s">
        <v>1584</v>
      </c>
      <c r="D22" s="1574"/>
      <c r="E22" s="1572">
        <v>0.5</v>
      </c>
      <c r="F22" s="1575"/>
      <c r="G22" s="1576"/>
      <c r="H22" s="1568"/>
      <c r="I22" s="1568"/>
    </row>
    <row r="23" spans="1:9" s="1577" customFormat="1" ht="19.5" customHeight="1">
      <c r="A23" s="3767" t="s">
        <v>1198</v>
      </c>
      <c r="B23" s="1572" t="s">
        <v>1574</v>
      </c>
      <c r="C23" s="1573" t="s">
        <v>1585</v>
      </c>
      <c r="D23" s="1574"/>
      <c r="E23" s="1572">
        <v>1</v>
      </c>
      <c r="F23" s="1575" t="s">
        <v>1586</v>
      </c>
      <c r="G23" s="1576"/>
      <c r="H23" s="1568"/>
      <c r="I23" s="1568"/>
    </row>
    <row r="24" spans="1:9" s="1577" customFormat="1" ht="19.5" customHeight="1">
      <c r="A24" s="3767"/>
      <c r="B24" s="3767" t="s">
        <v>1577</v>
      </c>
      <c r="C24" s="1573" t="s">
        <v>1587</v>
      </c>
      <c r="D24" s="1574"/>
      <c r="E24" s="1572">
        <v>0.5</v>
      </c>
      <c r="F24" s="1575"/>
      <c r="G24" s="1576"/>
      <c r="H24" s="1568"/>
      <c r="I24" s="1568"/>
    </row>
    <row r="25" spans="1:9" s="1577" customFormat="1" ht="19.5" customHeight="1">
      <c r="A25" s="3767"/>
      <c r="B25" s="3767"/>
      <c r="C25" s="1573" t="s">
        <v>1588</v>
      </c>
      <c r="D25" s="1574"/>
      <c r="E25" s="1572">
        <v>1.1000000000000001</v>
      </c>
      <c r="F25" s="1575"/>
      <c r="G25" s="1576"/>
      <c r="H25" s="1568"/>
      <c r="I25" s="1568"/>
    </row>
    <row r="26" spans="1:9" s="1577" customFormat="1" ht="19.5" customHeight="1">
      <c r="A26" s="3767"/>
      <c r="B26" s="3767"/>
      <c r="C26" s="1573" t="s">
        <v>1589</v>
      </c>
      <c r="D26" s="1574"/>
      <c r="E26" s="1572">
        <v>1.1000000000000001</v>
      </c>
      <c r="F26" s="1575"/>
      <c r="G26" s="1576"/>
      <c r="H26" s="1568"/>
      <c r="I26" s="1568"/>
    </row>
    <row r="27" spans="1:9" s="1577" customFormat="1" ht="19.5" customHeight="1">
      <c r="A27" s="3767"/>
      <c r="B27" s="3767"/>
      <c r="C27" s="1573" t="s">
        <v>1590</v>
      </c>
      <c r="D27" s="1574"/>
      <c r="E27" s="1572">
        <v>0.9</v>
      </c>
      <c r="F27" s="1575" t="s">
        <v>1591</v>
      </c>
      <c r="G27" s="1576"/>
      <c r="H27" s="1568"/>
      <c r="I27" s="1568"/>
    </row>
    <row r="28" spans="1:9" s="1577" customFormat="1" ht="19.5" customHeight="1">
      <c r="A28" s="3767"/>
      <c r="B28" s="3767"/>
      <c r="C28" s="1573" t="s">
        <v>1592</v>
      </c>
      <c r="D28" s="1574"/>
      <c r="E28" s="1572">
        <v>0.9</v>
      </c>
      <c r="F28" s="1575" t="s">
        <v>1593</v>
      </c>
      <c r="G28" s="1576"/>
      <c r="H28" s="1568"/>
      <c r="I28" s="1568"/>
    </row>
    <row r="29" spans="1:9" s="1577" customFormat="1" ht="19.5" customHeight="1">
      <c r="A29" s="3767"/>
      <c r="B29" s="3767"/>
      <c r="C29" s="1573" t="s">
        <v>1594</v>
      </c>
      <c r="D29" s="1574"/>
      <c r="E29" s="1572">
        <v>0.9</v>
      </c>
      <c r="F29" s="1575" t="s">
        <v>1595</v>
      </c>
      <c r="G29" s="1576"/>
      <c r="H29" s="1568"/>
      <c r="I29" s="1568"/>
    </row>
    <row r="30" spans="1:9" s="1577" customFormat="1" ht="19.5" customHeight="1">
      <c r="A30" s="3767"/>
      <c r="B30" s="3767"/>
      <c r="C30" s="1573" t="s">
        <v>1596</v>
      </c>
      <c r="D30" s="1574"/>
      <c r="E30" s="1572">
        <v>0.9</v>
      </c>
      <c r="F30" s="1575" t="s">
        <v>1597</v>
      </c>
      <c r="G30" s="1576"/>
      <c r="H30" s="1568"/>
      <c r="I30" s="1568"/>
    </row>
    <row r="31" spans="1:9" s="1577" customFormat="1" ht="19.5" customHeight="1">
      <c r="A31" s="3767"/>
      <c r="B31" s="3767"/>
      <c r="C31" s="1573" t="s">
        <v>1598</v>
      </c>
      <c r="D31" s="1574"/>
      <c r="E31" s="1572">
        <v>0.8</v>
      </c>
      <c r="F31" s="1575" t="s">
        <v>1599</v>
      </c>
      <c r="G31" s="1576"/>
      <c r="H31" s="1568"/>
      <c r="I31" s="1568"/>
    </row>
    <row r="32" spans="1:9" s="1577" customFormat="1" ht="19.5" customHeight="1">
      <c r="A32" s="3767"/>
      <c r="B32" s="3767"/>
      <c r="C32" s="1573" t="s">
        <v>1600</v>
      </c>
      <c r="D32" s="1574"/>
      <c r="E32" s="1572">
        <v>0.8</v>
      </c>
      <c r="F32" s="1575" t="s">
        <v>1601</v>
      </c>
      <c r="G32" s="1576"/>
      <c r="H32" s="1568"/>
      <c r="I32" s="1568"/>
    </row>
    <row r="33" spans="1:9" s="1577" customFormat="1" ht="19.5" customHeight="1">
      <c r="A33" s="3767" t="s">
        <v>1199</v>
      </c>
      <c r="B33" s="1572" t="s">
        <v>1574</v>
      </c>
      <c r="C33" s="1573" t="s">
        <v>1602</v>
      </c>
      <c r="D33" s="1574"/>
      <c r="E33" s="1572">
        <v>1</v>
      </c>
      <c r="F33" s="1575" t="s">
        <v>1603</v>
      </c>
      <c r="G33" s="1576"/>
      <c r="H33" s="1568"/>
      <c r="I33" s="1568"/>
    </row>
    <row r="34" spans="1:9" s="1577" customFormat="1" ht="19.5" customHeight="1">
      <c r="A34" s="3767"/>
      <c r="B34" s="1572" t="s">
        <v>1577</v>
      </c>
      <c r="C34" s="1573" t="s">
        <v>1604</v>
      </c>
      <c r="D34" s="1574"/>
      <c r="E34" s="1572">
        <v>1.5</v>
      </c>
      <c r="F34" s="1575" t="s">
        <v>1605</v>
      </c>
      <c r="G34" s="1576"/>
      <c r="H34" s="1568"/>
      <c r="I34" s="1568"/>
    </row>
    <row r="35" spans="1:9" s="1577" customFormat="1" ht="19.5" customHeight="1">
      <c r="A35" s="3767" t="s">
        <v>1200</v>
      </c>
      <c r="B35" s="1572" t="s">
        <v>1574</v>
      </c>
      <c r="C35" s="1573" t="s">
        <v>1606</v>
      </c>
      <c r="D35" s="1574"/>
      <c r="E35" s="1572">
        <v>1</v>
      </c>
      <c r="F35" s="1575" t="s">
        <v>1607</v>
      </c>
      <c r="G35" s="1576"/>
      <c r="H35" s="1568"/>
      <c r="I35" s="1568"/>
    </row>
    <row r="36" spans="1:9" s="1577" customFormat="1" ht="19.5" customHeight="1">
      <c r="A36" s="3767"/>
      <c r="B36" s="3767" t="s">
        <v>1577</v>
      </c>
      <c r="C36" s="1573" t="s">
        <v>1608</v>
      </c>
      <c r="D36" s="1574"/>
      <c r="E36" s="1572">
        <v>1</v>
      </c>
      <c r="F36" s="1575" t="s">
        <v>1609</v>
      </c>
      <c r="G36" s="1576"/>
      <c r="H36" s="1568"/>
      <c r="I36" s="1568"/>
    </row>
    <row r="37" spans="1:9" s="1577" customFormat="1" ht="19.5" customHeight="1">
      <c r="A37" s="3767"/>
      <c r="B37" s="3767"/>
      <c r="C37" s="1573" t="s">
        <v>1610</v>
      </c>
      <c r="D37" s="1574"/>
      <c r="E37" s="1572">
        <v>1.5</v>
      </c>
      <c r="F37" s="1575" t="s">
        <v>1611</v>
      </c>
      <c r="G37" s="1576"/>
      <c r="H37" s="1568"/>
      <c r="I37" s="1568"/>
    </row>
    <row r="38" spans="1:9" s="1577" customFormat="1" ht="19.5" customHeight="1">
      <c r="A38" s="3767"/>
      <c r="B38" s="3767"/>
      <c r="C38" s="1573" t="s">
        <v>1612</v>
      </c>
      <c r="D38" s="1574"/>
      <c r="E38" s="1572">
        <v>1</v>
      </c>
      <c r="F38" s="1575" t="s">
        <v>1613</v>
      </c>
      <c r="G38" s="1576"/>
      <c r="H38" s="1568"/>
      <c r="I38" s="1568"/>
    </row>
    <row r="39" spans="1:9" s="1577" customFormat="1" ht="19.5" customHeight="1">
      <c r="A39" s="3767"/>
      <c r="B39" s="3767"/>
      <c r="C39" s="1573" t="s">
        <v>1614</v>
      </c>
      <c r="D39" s="1574"/>
      <c r="E39" s="1572">
        <v>1</v>
      </c>
      <c r="F39" s="1575" t="s">
        <v>1615</v>
      </c>
      <c r="G39" s="1576"/>
      <c r="H39" s="1568"/>
      <c r="I39" s="1568"/>
    </row>
    <row r="40" spans="1:9" s="1577" customFormat="1" ht="19.5" customHeight="1">
      <c r="A40" s="1578" t="s">
        <v>1616</v>
      </c>
      <c r="B40" s="1578"/>
      <c r="C40" s="1578"/>
      <c r="D40" s="1578"/>
      <c r="E40" s="1578"/>
      <c r="F40" s="1579"/>
      <c r="G40" s="1579"/>
      <c r="H40" s="1568"/>
      <c r="I40" s="1568"/>
    </row>
    <row r="42" spans="1:9" ht="19.5" customHeight="1">
      <c r="A42" s="1580"/>
      <c r="B42" s="1498" t="s">
        <v>1617</v>
      </c>
      <c r="C42" s="1498" t="s">
        <v>1617</v>
      </c>
      <c r="D42" s="1498" t="s">
        <v>1617</v>
      </c>
      <c r="E42" s="1509" t="s">
        <v>1617</v>
      </c>
      <c r="F42" s="1509" t="s">
        <v>1617</v>
      </c>
      <c r="G42" s="1509" t="s">
        <v>1618</v>
      </c>
      <c r="H42" s="1509" t="s">
        <v>1617</v>
      </c>
    </row>
    <row r="43" spans="1:9" ht="19.5" customHeight="1">
      <c r="A43" s="1581"/>
      <c r="B43" s="1509" t="s">
        <v>1197</v>
      </c>
      <c r="C43" s="1509" t="s">
        <v>1197</v>
      </c>
      <c r="D43" s="1509" t="s">
        <v>1197</v>
      </c>
      <c r="E43" s="1509" t="s">
        <v>1197</v>
      </c>
      <c r="F43" s="1498" t="s">
        <v>1198</v>
      </c>
      <c r="G43" s="1498" t="s">
        <v>1200</v>
      </c>
      <c r="H43" s="1498" t="s">
        <v>1619</v>
      </c>
    </row>
    <row r="44" spans="1:9" ht="19.5" customHeight="1">
      <c r="A44" s="1582"/>
      <c r="B44" s="1498">
        <v>1</v>
      </c>
      <c r="C44" s="1498">
        <v>2</v>
      </c>
      <c r="D44" s="1498">
        <v>3</v>
      </c>
      <c r="E44" s="1509">
        <v>4</v>
      </c>
      <c r="F44" s="1570" t="s">
        <v>1620</v>
      </c>
      <c r="G44" s="1570" t="s">
        <v>1620</v>
      </c>
      <c r="H44" s="1570" t="s">
        <v>1620</v>
      </c>
    </row>
    <row r="45" spans="1:9" ht="19.5" customHeight="1">
      <c r="A45" s="1583" t="s">
        <v>1171</v>
      </c>
      <c r="B45" s="1498">
        <v>0.8</v>
      </c>
      <c r="C45" s="1498">
        <v>0.5</v>
      </c>
      <c r="D45" s="1498">
        <v>0.36</v>
      </c>
      <c r="E45" s="1498">
        <v>0.3</v>
      </c>
      <c r="F45" s="1570">
        <v>0.3</v>
      </c>
      <c r="G45" s="1498">
        <v>0.3</v>
      </c>
      <c r="H45" s="1498">
        <v>0.25</v>
      </c>
    </row>
    <row r="46" spans="1:9" ht="19.5" customHeight="1">
      <c r="A46" s="1583" t="s">
        <v>1172</v>
      </c>
      <c r="B46" s="1498">
        <v>0.8</v>
      </c>
      <c r="C46" s="1498">
        <v>0.5</v>
      </c>
      <c r="D46" s="1498">
        <v>0.36</v>
      </c>
      <c r="E46" s="1498">
        <v>0.3</v>
      </c>
      <c r="F46" s="1498">
        <v>0.3</v>
      </c>
      <c r="G46" s="1498">
        <v>0.3</v>
      </c>
      <c r="H46" s="1498">
        <v>0.25</v>
      </c>
    </row>
    <row r="47" spans="1:9" ht="19.5" customHeight="1">
      <c r="A47" s="1583" t="s">
        <v>1173</v>
      </c>
      <c r="B47" s="1498">
        <v>0.7</v>
      </c>
      <c r="C47" s="1498">
        <v>0.4</v>
      </c>
      <c r="D47" s="1498">
        <v>0.28000000000000003</v>
      </c>
      <c r="E47" s="1498">
        <v>0.25</v>
      </c>
      <c r="F47" s="1498">
        <v>0.25</v>
      </c>
      <c r="G47" s="1498">
        <v>0.25</v>
      </c>
      <c r="H47" s="1498">
        <v>0.2</v>
      </c>
    </row>
    <row r="48" spans="1:9" ht="19.5" customHeight="1">
      <c r="A48" s="1583" t="s">
        <v>1174</v>
      </c>
      <c r="B48" s="1498">
        <v>0.7</v>
      </c>
      <c r="C48" s="1498">
        <v>0.4</v>
      </c>
      <c r="D48" s="1498">
        <v>0.28000000000000003</v>
      </c>
      <c r="E48" s="1498">
        <v>0.25</v>
      </c>
      <c r="F48" s="1498">
        <v>0.25</v>
      </c>
      <c r="G48" s="1498">
        <v>0.25</v>
      </c>
      <c r="H48" s="1498">
        <v>0.2</v>
      </c>
    </row>
    <row r="49" spans="1:8" s="1568" customFormat="1" ht="19.5" customHeight="1">
      <c r="A49" s="1583" t="s">
        <v>1175</v>
      </c>
      <c r="B49" s="1498">
        <v>0.7</v>
      </c>
      <c r="C49" s="1498">
        <v>0.4</v>
      </c>
      <c r="D49" s="1498">
        <v>0.28000000000000003</v>
      </c>
      <c r="E49" s="1498">
        <v>0.25</v>
      </c>
      <c r="F49" s="1498">
        <v>0.25</v>
      </c>
      <c r="G49" s="1498">
        <v>0.25</v>
      </c>
      <c r="H49" s="1498">
        <v>0.2</v>
      </c>
    </row>
    <row r="50" spans="1:8" s="1568" customFormat="1" ht="19.5" customHeight="1">
      <c r="A50" s="1583" t="s">
        <v>1176</v>
      </c>
      <c r="B50" s="1498">
        <v>0.7</v>
      </c>
      <c r="C50" s="1498">
        <v>0.4</v>
      </c>
      <c r="D50" s="1498">
        <v>0.28000000000000003</v>
      </c>
      <c r="E50" s="1498">
        <v>0.25</v>
      </c>
      <c r="F50" s="1498">
        <v>0.25</v>
      </c>
      <c r="G50" s="1498">
        <v>0.25</v>
      </c>
      <c r="H50" s="1498">
        <v>0.2</v>
      </c>
    </row>
    <row r="51" spans="1:8" s="1568" customFormat="1" ht="19.5" customHeight="1">
      <c r="A51" s="1583" t="s">
        <v>1177</v>
      </c>
      <c r="B51" s="1498">
        <v>0.7</v>
      </c>
      <c r="C51" s="1498">
        <v>0.4</v>
      </c>
      <c r="D51" s="1498">
        <v>0.28000000000000003</v>
      </c>
      <c r="E51" s="1498">
        <v>0.25</v>
      </c>
      <c r="F51" s="1498">
        <v>0.25</v>
      </c>
      <c r="G51" s="1498">
        <v>0.25</v>
      </c>
      <c r="H51" s="1498">
        <v>0.2</v>
      </c>
    </row>
    <row r="52" spans="1:8" s="1568" customFormat="1" ht="19.5" customHeight="1">
      <c r="A52" s="1583" t="s">
        <v>1178</v>
      </c>
      <c r="B52" s="1498">
        <v>0.6</v>
      </c>
      <c r="C52" s="1498">
        <v>0.3</v>
      </c>
      <c r="D52" s="1498">
        <v>0.2</v>
      </c>
      <c r="E52" s="1498">
        <v>0.2</v>
      </c>
      <c r="F52" s="1498">
        <v>0.2</v>
      </c>
      <c r="G52" s="1498">
        <v>0.2</v>
      </c>
      <c r="H52" s="1498">
        <v>0.15</v>
      </c>
    </row>
    <row r="53" spans="1:8" s="1568" customFormat="1" ht="19.5" customHeight="1">
      <c r="A53" s="1583" t="s">
        <v>1179</v>
      </c>
      <c r="B53" s="1498">
        <v>0.6</v>
      </c>
      <c r="C53" s="1498">
        <v>0.3</v>
      </c>
      <c r="D53" s="1498">
        <v>0.2</v>
      </c>
      <c r="E53" s="1498">
        <v>0.2</v>
      </c>
      <c r="F53" s="1498">
        <v>0.2</v>
      </c>
      <c r="G53" s="1498">
        <v>0.2</v>
      </c>
      <c r="H53" s="1498">
        <v>0.15</v>
      </c>
    </row>
    <row r="54" spans="1:8" s="1568" customFormat="1" ht="19.5" customHeight="1">
      <c r="A54" s="1583" t="s">
        <v>1180</v>
      </c>
      <c r="B54" s="1498">
        <v>0.6</v>
      </c>
      <c r="C54" s="1498">
        <v>0.3</v>
      </c>
      <c r="D54" s="1498">
        <v>0.2</v>
      </c>
      <c r="E54" s="1498">
        <v>0.2</v>
      </c>
      <c r="F54" s="1498">
        <v>0.2</v>
      </c>
      <c r="G54" s="1498">
        <v>0.2</v>
      </c>
      <c r="H54" s="1498">
        <v>0.15</v>
      </c>
    </row>
    <row r="55" spans="1:8" s="1568" customFormat="1" ht="19.5" customHeight="1">
      <c r="A55" s="1583" t="s">
        <v>1181</v>
      </c>
      <c r="B55" s="1498">
        <v>0.6</v>
      </c>
      <c r="C55" s="1498">
        <v>0.3</v>
      </c>
      <c r="D55" s="1498">
        <v>0.2</v>
      </c>
      <c r="E55" s="1498">
        <v>0.2</v>
      </c>
      <c r="F55" s="1498">
        <v>0.2</v>
      </c>
      <c r="G55" s="1498">
        <v>0.2</v>
      </c>
      <c r="H55" s="1498">
        <v>0.15</v>
      </c>
    </row>
    <row r="56" spans="1:8" s="1568" customFormat="1" ht="19.5" customHeight="1">
      <c r="A56" s="1583" t="s">
        <v>1182</v>
      </c>
      <c r="B56" s="1498">
        <v>0.6</v>
      </c>
      <c r="C56" s="1498">
        <v>0.3</v>
      </c>
      <c r="D56" s="1498">
        <v>0.2</v>
      </c>
      <c r="E56" s="1498">
        <v>0.2</v>
      </c>
      <c r="F56" s="1498">
        <v>0.2</v>
      </c>
      <c r="G56" s="1498">
        <v>0.2</v>
      </c>
      <c r="H56" s="1498">
        <v>0.15</v>
      </c>
    </row>
    <row r="58" spans="1:8" s="1568" customFormat="1" ht="19.5" customHeight="1">
      <c r="A58" s="1584"/>
      <c r="B58" s="1566"/>
      <c r="C58" s="1566"/>
      <c r="D58" s="1566" t="s">
        <v>1621</v>
      </c>
      <c r="E58" s="1566"/>
      <c r="F58" s="1566"/>
    </row>
    <row r="59" spans="1:8" s="1568" customFormat="1" ht="19.5" customHeight="1">
      <c r="A59" s="1572" t="s">
        <v>1622</v>
      </c>
      <c r="B59" s="1572" t="s">
        <v>1623</v>
      </c>
      <c r="C59" s="1572" t="s">
        <v>1624</v>
      </c>
      <c r="D59" s="1572" t="s">
        <v>1625</v>
      </c>
      <c r="E59" s="1572" t="s">
        <v>1626</v>
      </c>
      <c r="F59" s="1572" t="s">
        <v>1627</v>
      </c>
    </row>
    <row r="60" spans="1:8" ht="13.5">
      <c r="A60" s="1767"/>
      <c r="B60" s="1767"/>
      <c r="C60" s="1767" t="s">
        <v>1759</v>
      </c>
      <c r="D60" s="1767"/>
      <c r="E60" s="1585" t="s">
        <v>23</v>
      </c>
      <c r="F60" s="1767" t="s">
        <v>23</v>
      </c>
    </row>
    <row r="61" spans="1:8" s="1568" customFormat="1" ht="24">
      <c r="A61" s="1572">
        <v>1</v>
      </c>
      <c r="B61" s="3767" t="s">
        <v>1628</v>
      </c>
      <c r="C61" s="1498" t="s">
        <v>1629</v>
      </c>
      <c r="D61" s="1498" t="s">
        <v>1630</v>
      </c>
      <c r="E61" s="1585">
        <v>0.5</v>
      </c>
      <c r="F61" s="1572">
        <v>80</v>
      </c>
    </row>
    <row r="62" spans="1:8" s="1568" customFormat="1" ht="24">
      <c r="A62" s="1572">
        <v>2</v>
      </c>
      <c r="B62" s="3767"/>
      <c r="C62" s="1498" t="s">
        <v>1631</v>
      </c>
      <c r="D62" s="1498" t="s">
        <v>1632</v>
      </c>
      <c r="E62" s="1585">
        <v>0.5</v>
      </c>
      <c r="F62" s="1572">
        <v>80</v>
      </c>
    </row>
    <row r="63" spans="1:8" s="1568" customFormat="1" ht="36">
      <c r="A63" s="1572">
        <v>3</v>
      </c>
      <c r="B63" s="3767"/>
      <c r="C63" s="1498" t="s">
        <v>1633</v>
      </c>
      <c r="D63" s="1498" t="s">
        <v>1634</v>
      </c>
      <c r="E63" s="1585">
        <v>0.5</v>
      </c>
      <c r="F63" s="1572">
        <v>80</v>
      </c>
    </row>
    <row r="64" spans="1:8" s="1568" customFormat="1" ht="36">
      <c r="A64" s="1572">
        <v>4</v>
      </c>
      <c r="B64" s="3767"/>
      <c r="C64" s="1498" t="s">
        <v>1635</v>
      </c>
      <c r="D64" s="1498" t="s">
        <v>1636</v>
      </c>
      <c r="E64" s="1585">
        <v>0.4</v>
      </c>
      <c r="F64" s="1572">
        <v>60</v>
      </c>
    </row>
    <row r="65" spans="1:6" s="1568" customFormat="1" ht="36">
      <c r="A65" s="1572">
        <v>5</v>
      </c>
      <c r="B65" s="3767"/>
      <c r="C65" s="1498" t="s">
        <v>1637</v>
      </c>
      <c r="D65" s="1498" t="s">
        <v>1638</v>
      </c>
      <c r="E65" s="1585">
        <v>0.2</v>
      </c>
      <c r="F65" s="1572">
        <v>30</v>
      </c>
    </row>
    <row r="66" spans="1:6" s="1568" customFormat="1" ht="36">
      <c r="A66" s="1572">
        <v>6</v>
      </c>
      <c r="B66" s="3767"/>
      <c r="C66" s="1498" t="s">
        <v>1639</v>
      </c>
      <c r="D66" s="1498" t="s">
        <v>1640</v>
      </c>
      <c r="E66" s="1585">
        <v>0.3</v>
      </c>
      <c r="F66" s="1572">
        <v>50</v>
      </c>
    </row>
    <row r="67" spans="1:6" s="1568" customFormat="1" ht="36">
      <c r="A67" s="1572">
        <v>7</v>
      </c>
      <c r="B67" s="3767"/>
      <c r="C67" s="1498" t="s">
        <v>1641</v>
      </c>
      <c r="D67" s="1498" t="s">
        <v>1642</v>
      </c>
      <c r="E67" s="1585">
        <v>0.2</v>
      </c>
      <c r="F67" s="1572">
        <v>30</v>
      </c>
    </row>
    <row r="68" spans="1:6" s="1568" customFormat="1" ht="36">
      <c r="A68" s="1572">
        <v>8</v>
      </c>
      <c r="B68" s="3767"/>
      <c r="C68" s="1498" t="s">
        <v>1643</v>
      </c>
      <c r="D68" s="1498" t="s">
        <v>1644</v>
      </c>
      <c r="E68" s="1585">
        <v>0.2</v>
      </c>
      <c r="F68" s="1572">
        <v>30</v>
      </c>
    </row>
    <row r="69" spans="1:6" s="1568" customFormat="1" ht="36">
      <c r="A69" s="1572">
        <v>9</v>
      </c>
      <c r="B69" s="3767"/>
      <c r="C69" s="1498" t="s">
        <v>1645</v>
      </c>
      <c r="D69" s="1498" t="s">
        <v>1646</v>
      </c>
      <c r="E69" s="1585">
        <v>0.2</v>
      </c>
      <c r="F69" s="1572">
        <v>30</v>
      </c>
    </row>
    <row r="70" spans="1:6" s="1568" customFormat="1" ht="48">
      <c r="A70" s="1572">
        <v>10</v>
      </c>
      <c r="B70" s="3767"/>
      <c r="C70" s="1498" t="s">
        <v>1647</v>
      </c>
      <c r="D70" s="1498" t="s">
        <v>1648</v>
      </c>
      <c r="E70" s="1585">
        <v>0.2</v>
      </c>
      <c r="F70" s="1572">
        <v>30</v>
      </c>
    </row>
    <row r="71" spans="1:6" s="1568" customFormat="1" ht="48">
      <c r="A71" s="1572">
        <v>11</v>
      </c>
      <c r="B71" s="3767"/>
      <c r="C71" s="1498" t="s">
        <v>1649</v>
      </c>
      <c r="D71" s="1498" t="s">
        <v>1650</v>
      </c>
      <c r="E71" s="1585">
        <v>0.2</v>
      </c>
      <c r="F71" s="1572">
        <v>30</v>
      </c>
    </row>
    <row r="72" spans="1:6" s="1568" customFormat="1" ht="36">
      <c r="A72" s="1572">
        <v>12</v>
      </c>
      <c r="B72" s="3767"/>
      <c r="C72" s="1498" t="s">
        <v>1651</v>
      </c>
      <c r="D72" s="1498" t="s">
        <v>1652</v>
      </c>
      <c r="E72" s="1585">
        <v>0.5</v>
      </c>
      <c r="F72" s="1572">
        <v>80</v>
      </c>
    </row>
    <row r="73" spans="1:6" s="1568" customFormat="1" ht="24">
      <c r="A73" s="1572">
        <v>13</v>
      </c>
      <c r="B73" s="3767"/>
      <c r="C73" s="1498" t="s">
        <v>1653</v>
      </c>
      <c r="D73" s="1498" t="s">
        <v>1654</v>
      </c>
      <c r="E73" s="1585">
        <v>0.4</v>
      </c>
      <c r="F73" s="1572">
        <v>60</v>
      </c>
    </row>
    <row r="74" spans="1:6" s="1568" customFormat="1" ht="24">
      <c r="A74" s="1572">
        <v>14</v>
      </c>
      <c r="B74" s="3767"/>
      <c r="C74" s="1498" t="s">
        <v>1655</v>
      </c>
      <c r="D74" s="1498" t="s">
        <v>1656</v>
      </c>
      <c r="E74" s="1585">
        <v>0.2</v>
      </c>
      <c r="F74" s="1572">
        <v>30</v>
      </c>
    </row>
    <row r="75" spans="1:6" s="1568" customFormat="1" ht="24">
      <c r="A75" s="1572">
        <v>15</v>
      </c>
      <c r="B75" s="3767"/>
      <c r="C75" s="1498" t="s">
        <v>1657</v>
      </c>
      <c r="D75" s="1498" t="s">
        <v>1658</v>
      </c>
      <c r="E75" s="1585">
        <v>0.2</v>
      </c>
      <c r="F75" s="1572">
        <v>30</v>
      </c>
    </row>
    <row r="76" spans="1:6" s="1568" customFormat="1" ht="24">
      <c r="A76" s="1572">
        <v>16</v>
      </c>
      <c r="B76" s="3767" t="s">
        <v>1659</v>
      </c>
      <c r="C76" s="1498" t="s">
        <v>1660</v>
      </c>
      <c r="D76" s="1498" t="s">
        <v>1661</v>
      </c>
      <c r="E76" s="1585">
        <v>0.5</v>
      </c>
      <c r="F76" s="1572">
        <v>80</v>
      </c>
    </row>
    <row r="77" spans="1:6" s="1568" customFormat="1" ht="24">
      <c r="A77" s="1572">
        <v>17</v>
      </c>
      <c r="B77" s="3767"/>
      <c r="C77" s="1498" t="s">
        <v>1662</v>
      </c>
      <c r="D77" s="1498" t="s">
        <v>1663</v>
      </c>
      <c r="E77" s="1585">
        <v>0.5</v>
      </c>
      <c r="F77" s="1572">
        <v>80</v>
      </c>
    </row>
    <row r="78" spans="1:6" s="1568" customFormat="1" ht="24">
      <c r="A78" s="1572">
        <v>18</v>
      </c>
      <c r="B78" s="3767"/>
      <c r="C78" s="1498" t="s">
        <v>1664</v>
      </c>
      <c r="D78" s="1498" t="s">
        <v>1665</v>
      </c>
      <c r="E78" s="1585">
        <v>0.2</v>
      </c>
      <c r="F78" s="1572">
        <v>30</v>
      </c>
    </row>
    <row r="79" spans="1:6" s="1568" customFormat="1" ht="24">
      <c r="A79" s="1572">
        <v>19</v>
      </c>
      <c r="B79" s="3767"/>
      <c r="C79" s="1498" t="s">
        <v>1666</v>
      </c>
      <c r="D79" s="1498" t="s">
        <v>1667</v>
      </c>
      <c r="E79" s="1585">
        <v>0.5</v>
      </c>
      <c r="F79" s="1572">
        <v>80</v>
      </c>
    </row>
    <row r="80" spans="1:6" s="1568" customFormat="1" ht="36">
      <c r="A80" s="1572">
        <v>20</v>
      </c>
      <c r="B80" s="3767"/>
      <c r="C80" s="1498" t="s">
        <v>1668</v>
      </c>
      <c r="D80" s="1498" t="s">
        <v>1669</v>
      </c>
      <c r="E80" s="1585">
        <v>0.2</v>
      </c>
      <c r="F80" s="1572">
        <v>30</v>
      </c>
    </row>
    <row r="81" spans="1:6" s="1568" customFormat="1" ht="36">
      <c r="A81" s="1572">
        <v>21</v>
      </c>
      <c r="B81" s="3767"/>
      <c r="C81" s="1498" t="s">
        <v>1670</v>
      </c>
      <c r="D81" s="1498" t="s">
        <v>1671</v>
      </c>
      <c r="E81" s="1585">
        <v>0.2</v>
      </c>
      <c r="F81" s="1572">
        <v>30</v>
      </c>
    </row>
    <row r="82" spans="1:6" s="1568" customFormat="1" ht="48">
      <c r="A82" s="1572">
        <v>22</v>
      </c>
      <c r="B82" s="3767"/>
      <c r="C82" s="1498" t="s">
        <v>1672</v>
      </c>
      <c r="D82" s="1498" t="s">
        <v>1673</v>
      </c>
      <c r="E82" s="1585">
        <v>0.2</v>
      </c>
      <c r="F82" s="1572">
        <v>30</v>
      </c>
    </row>
    <row r="83" spans="1:6" s="1568" customFormat="1" ht="48">
      <c r="A83" s="1572">
        <v>23</v>
      </c>
      <c r="B83" s="3767"/>
      <c r="C83" s="1498" t="s">
        <v>1674</v>
      </c>
      <c r="D83" s="1498" t="s">
        <v>1675</v>
      </c>
      <c r="E83" s="1585">
        <v>0.2</v>
      </c>
      <c r="F83" s="1572">
        <v>30</v>
      </c>
    </row>
    <row r="84" spans="1:6" s="1568" customFormat="1" ht="36">
      <c r="A84" s="1572">
        <v>24</v>
      </c>
      <c r="B84" s="3767"/>
      <c r="C84" s="1498" t="s">
        <v>1676</v>
      </c>
      <c r="D84" s="1498" t="s">
        <v>1677</v>
      </c>
      <c r="E84" s="1585">
        <v>0.2</v>
      </c>
      <c r="F84" s="1572">
        <v>30</v>
      </c>
    </row>
    <row r="85" spans="1:6" s="1568" customFormat="1" ht="36">
      <c r="A85" s="1572">
        <v>25</v>
      </c>
      <c r="B85" s="3767"/>
      <c r="C85" s="1498" t="s">
        <v>1678</v>
      </c>
      <c r="D85" s="1498" t="s">
        <v>1679</v>
      </c>
      <c r="E85" s="1585">
        <v>0.5</v>
      </c>
      <c r="F85" s="1572">
        <v>80</v>
      </c>
    </row>
    <row r="86" spans="1:6" s="1568" customFormat="1" ht="36">
      <c r="A86" s="1572">
        <v>26</v>
      </c>
      <c r="B86" s="3767"/>
      <c r="C86" s="1498" t="s">
        <v>1680</v>
      </c>
      <c r="D86" s="1498" t="s">
        <v>1681</v>
      </c>
      <c r="E86" s="1585">
        <v>0.2</v>
      </c>
      <c r="F86" s="1572">
        <v>30</v>
      </c>
    </row>
    <row r="87" spans="1:6" s="1568" customFormat="1" ht="36">
      <c r="A87" s="1572">
        <v>27</v>
      </c>
      <c r="B87" s="3767"/>
      <c r="C87" s="1498" t="s">
        <v>1682</v>
      </c>
      <c r="D87" s="1498" t="s">
        <v>1683</v>
      </c>
      <c r="E87" s="1585">
        <v>0.2</v>
      </c>
      <c r="F87" s="1572">
        <v>30</v>
      </c>
    </row>
    <row r="88" spans="1:6" s="1568" customFormat="1" ht="36">
      <c r="A88" s="1572">
        <v>28</v>
      </c>
      <c r="B88" s="3767"/>
      <c r="C88" s="1498" t="s">
        <v>1684</v>
      </c>
      <c r="D88" s="1498" t="s">
        <v>1685</v>
      </c>
      <c r="E88" s="1585">
        <v>0.2</v>
      </c>
      <c r="F88" s="1572">
        <v>30</v>
      </c>
    </row>
    <row r="89" spans="1:6" s="1568" customFormat="1" ht="24">
      <c r="A89" s="1572">
        <v>29</v>
      </c>
      <c r="B89" s="3767"/>
      <c r="C89" s="1498" t="s">
        <v>1686</v>
      </c>
      <c r="D89" s="1498" t="s">
        <v>1687</v>
      </c>
      <c r="E89" s="1585">
        <v>0.2</v>
      </c>
      <c r="F89" s="1572">
        <v>30</v>
      </c>
    </row>
    <row r="90" spans="1:6" s="1568" customFormat="1" ht="24">
      <c r="A90" s="1572">
        <v>30</v>
      </c>
      <c r="B90" s="3767"/>
      <c r="C90" s="1498" t="s">
        <v>1688</v>
      </c>
      <c r="D90" s="1498" t="s">
        <v>1689</v>
      </c>
      <c r="E90" s="1585">
        <v>0.2</v>
      </c>
      <c r="F90" s="1572">
        <v>30</v>
      </c>
    </row>
    <row r="91" spans="1:6" s="1568" customFormat="1" ht="36">
      <c r="A91" s="1572">
        <v>31</v>
      </c>
      <c r="B91" s="3767"/>
      <c r="C91" s="1498" t="s">
        <v>1690</v>
      </c>
      <c r="D91" s="1498" t="s">
        <v>1691</v>
      </c>
      <c r="E91" s="1585">
        <v>0.2</v>
      </c>
      <c r="F91" s="1572">
        <v>30</v>
      </c>
    </row>
    <row r="92" spans="1:6" s="1568" customFormat="1" ht="24">
      <c r="A92" s="1572">
        <v>32</v>
      </c>
      <c r="B92" s="3767" t="s">
        <v>1692</v>
      </c>
      <c r="C92" s="1572" t="s">
        <v>1693</v>
      </c>
      <c r="D92" s="1498" t="s">
        <v>1694</v>
      </c>
      <c r="E92" s="1585">
        <v>0.2</v>
      </c>
      <c r="F92" s="1572">
        <v>30</v>
      </c>
    </row>
    <row r="93" spans="1:6" s="1568" customFormat="1" ht="36">
      <c r="A93" s="1572">
        <v>33</v>
      </c>
      <c r="B93" s="3767"/>
      <c r="C93" s="1572" t="s">
        <v>1695</v>
      </c>
      <c r="D93" s="1498" t="s">
        <v>1696</v>
      </c>
      <c r="E93" s="1585">
        <v>0.2</v>
      </c>
      <c r="F93" s="1572">
        <v>30</v>
      </c>
    </row>
    <row r="94" spans="1:6" s="1568" customFormat="1" ht="48">
      <c r="A94" s="1572">
        <v>34</v>
      </c>
      <c r="B94" s="3767"/>
      <c r="C94" s="1572" t="s">
        <v>1697</v>
      </c>
      <c r="D94" s="1498" t="s">
        <v>1698</v>
      </c>
      <c r="E94" s="1585">
        <v>0.2</v>
      </c>
      <c r="F94" s="1572">
        <v>30</v>
      </c>
    </row>
    <row r="95" spans="1:6" s="1568" customFormat="1" ht="36">
      <c r="A95" s="1572">
        <v>35</v>
      </c>
      <c r="B95" s="3767"/>
      <c r="C95" s="1572" t="s">
        <v>1699</v>
      </c>
      <c r="D95" s="1498" t="s">
        <v>1700</v>
      </c>
      <c r="E95" s="1585">
        <v>0.2</v>
      </c>
      <c r="F95" s="1572">
        <v>30</v>
      </c>
    </row>
    <row r="96" spans="1:6" s="1568" customFormat="1" ht="48">
      <c r="A96" s="1572">
        <v>36</v>
      </c>
      <c r="B96" s="3767"/>
      <c r="C96" s="1498" t="s">
        <v>1701</v>
      </c>
      <c r="D96" s="1498" t="s">
        <v>1702</v>
      </c>
      <c r="E96" s="1585">
        <v>0.2</v>
      </c>
      <c r="F96" s="1572">
        <v>30</v>
      </c>
    </row>
    <row r="97" spans="1:6" s="1568" customFormat="1" ht="36">
      <c r="A97" s="1572">
        <v>37</v>
      </c>
      <c r="B97" s="3767"/>
      <c r="C97" s="1572" t="s">
        <v>1703</v>
      </c>
      <c r="D97" s="1498" t="s">
        <v>1704</v>
      </c>
      <c r="E97" s="1585">
        <v>0.2</v>
      </c>
      <c r="F97" s="1572">
        <v>30</v>
      </c>
    </row>
    <row r="98" spans="1:6" s="1568" customFormat="1" ht="36">
      <c r="A98" s="1572">
        <v>38</v>
      </c>
      <c r="B98" s="3767"/>
      <c r="C98" s="1572" t="s">
        <v>1705</v>
      </c>
      <c r="D98" s="1498" t="s">
        <v>1706</v>
      </c>
      <c r="E98" s="1585">
        <v>0.2</v>
      </c>
      <c r="F98" s="1572">
        <v>30</v>
      </c>
    </row>
    <row r="99" spans="1:6" s="1568" customFormat="1" ht="36">
      <c r="A99" s="1572">
        <v>39</v>
      </c>
      <c r="B99" s="3767" t="s">
        <v>1707</v>
      </c>
      <c r="C99" s="1572" t="s">
        <v>1708</v>
      </c>
      <c r="D99" s="1498" t="s">
        <v>1709</v>
      </c>
      <c r="E99" s="1585">
        <v>0.3</v>
      </c>
      <c r="F99" s="1572">
        <v>50</v>
      </c>
    </row>
    <row r="100" spans="1:6" s="1568" customFormat="1" ht="24">
      <c r="A100" s="1572">
        <v>40</v>
      </c>
      <c r="B100" s="3767"/>
      <c r="C100" s="1572" t="s">
        <v>1710</v>
      </c>
      <c r="D100" s="1498" t="s">
        <v>1711</v>
      </c>
      <c r="E100" s="1585">
        <v>0.2</v>
      </c>
      <c r="F100" s="1572">
        <v>30</v>
      </c>
    </row>
    <row r="101" spans="1:6" s="1568" customFormat="1" ht="36">
      <c r="A101" s="1572">
        <v>41</v>
      </c>
      <c r="B101" s="3767"/>
      <c r="C101" s="1572" t="s">
        <v>1712</v>
      </c>
      <c r="D101" s="1498" t="s">
        <v>1709</v>
      </c>
      <c r="E101" s="1585">
        <v>0.2</v>
      </c>
      <c r="F101" s="1572">
        <v>30</v>
      </c>
    </row>
    <row r="102" spans="1:6" s="1568" customFormat="1" ht="48">
      <c r="A102" s="1572">
        <v>42</v>
      </c>
      <c r="B102" s="1572" t="s">
        <v>1713</v>
      </c>
      <c r="C102" s="1498" t="s">
        <v>1714</v>
      </c>
      <c r="D102" s="1498" t="s">
        <v>1715</v>
      </c>
      <c r="E102" s="1585">
        <v>0.2</v>
      </c>
      <c r="F102" s="1572">
        <v>30</v>
      </c>
    </row>
    <row r="103" spans="1:6" s="1568" customFormat="1" ht="24">
      <c r="A103" s="1572">
        <v>43</v>
      </c>
      <c r="B103" s="1572" t="s">
        <v>1716</v>
      </c>
      <c r="C103" s="1572" t="s">
        <v>1717</v>
      </c>
      <c r="D103" s="1498" t="s">
        <v>1718</v>
      </c>
      <c r="E103" s="1585">
        <v>0.2</v>
      </c>
      <c r="F103" s="1572">
        <v>30</v>
      </c>
    </row>
    <row r="104" spans="1:6" s="1568" customFormat="1" ht="36">
      <c r="A104" s="1572">
        <v>44</v>
      </c>
      <c r="B104" s="1572" t="s">
        <v>1719</v>
      </c>
      <c r="C104" s="1572" t="s">
        <v>1720</v>
      </c>
      <c r="D104" s="1498" t="s">
        <v>1721</v>
      </c>
      <c r="E104" s="1585">
        <v>0.2</v>
      </c>
      <c r="F104" s="1572">
        <v>30</v>
      </c>
    </row>
    <row r="105" spans="1:6" s="1568" customFormat="1" ht="36">
      <c r="A105" s="1572">
        <v>45</v>
      </c>
      <c r="B105" s="3767" t="s">
        <v>1722</v>
      </c>
      <c r="C105" s="1572" t="s">
        <v>1723</v>
      </c>
      <c r="D105" s="1498" t="s">
        <v>1724</v>
      </c>
      <c r="E105" s="1585">
        <v>0.2</v>
      </c>
      <c r="F105" s="1572">
        <v>30</v>
      </c>
    </row>
    <row r="106" spans="1:6" s="1568" customFormat="1" ht="36">
      <c r="A106" s="1572">
        <v>46</v>
      </c>
      <c r="B106" s="3767"/>
      <c r="C106" s="1572" t="s">
        <v>1725</v>
      </c>
      <c r="D106" s="1498" t="s">
        <v>1726</v>
      </c>
      <c r="E106" s="1585">
        <v>0.2</v>
      </c>
      <c r="F106" s="1572">
        <v>30</v>
      </c>
    </row>
    <row r="107" spans="1:6" s="1568" customFormat="1" ht="36">
      <c r="A107" s="1572">
        <v>47</v>
      </c>
      <c r="B107" s="3767" t="s">
        <v>1727</v>
      </c>
      <c r="C107" s="1572" t="s">
        <v>1728</v>
      </c>
      <c r="D107" s="1498" t="s">
        <v>1729</v>
      </c>
      <c r="E107" s="1585">
        <v>0.3</v>
      </c>
      <c r="F107" s="1572">
        <v>50</v>
      </c>
    </row>
    <row r="108" spans="1:6" s="1568" customFormat="1" ht="36">
      <c r="A108" s="1572">
        <v>48</v>
      </c>
      <c r="B108" s="3767"/>
      <c r="C108" s="1572" t="s">
        <v>1730</v>
      </c>
      <c r="D108" s="1498" t="s">
        <v>1731</v>
      </c>
      <c r="E108" s="1585">
        <v>0.2</v>
      </c>
      <c r="F108" s="1572">
        <v>30</v>
      </c>
    </row>
    <row r="109" spans="1:6" s="1568" customFormat="1" ht="36">
      <c r="A109" s="1572">
        <v>49</v>
      </c>
      <c r="B109" s="1572" t="s">
        <v>1732</v>
      </c>
      <c r="C109" s="1572" t="s">
        <v>1733</v>
      </c>
      <c r="D109" s="1498" t="s">
        <v>1734</v>
      </c>
      <c r="E109" s="1585">
        <v>0.2</v>
      </c>
      <c r="F109" s="1572">
        <v>30</v>
      </c>
    </row>
    <row r="110" spans="1:6" s="1568" customFormat="1" ht="36">
      <c r="A110" s="1572">
        <v>50</v>
      </c>
      <c r="B110" s="1572" t="s">
        <v>1735</v>
      </c>
      <c r="C110" s="1572" t="s">
        <v>1736</v>
      </c>
      <c r="D110" s="1498" t="s">
        <v>1737</v>
      </c>
      <c r="E110" s="1585">
        <v>0.2</v>
      </c>
      <c r="F110" s="1572">
        <v>30</v>
      </c>
    </row>
    <row r="111" spans="1:6" s="1568" customFormat="1" ht="36">
      <c r="A111" s="1572">
        <v>51</v>
      </c>
      <c r="B111" s="3767" t="s">
        <v>1738</v>
      </c>
      <c r="C111" s="1572" t="s">
        <v>1739</v>
      </c>
      <c r="D111" s="1498" t="s">
        <v>1740</v>
      </c>
      <c r="E111" s="1585">
        <v>0.2</v>
      </c>
      <c r="F111" s="1572">
        <v>30</v>
      </c>
    </row>
    <row r="112" spans="1:6" s="1568" customFormat="1" ht="24">
      <c r="A112" s="1572">
        <v>52</v>
      </c>
      <c r="B112" s="3767"/>
      <c r="C112" s="1572" t="s">
        <v>1741</v>
      </c>
      <c r="D112" s="1498" t="s">
        <v>1742</v>
      </c>
      <c r="E112" s="1585">
        <v>0.2</v>
      </c>
      <c r="F112" s="1572">
        <v>30</v>
      </c>
    </row>
    <row r="113" spans="1:6" s="1568" customFormat="1" ht="24">
      <c r="A113" s="1572">
        <v>53</v>
      </c>
      <c r="B113" s="3767"/>
      <c r="C113" s="1572" t="s">
        <v>1743</v>
      </c>
      <c r="D113" s="1498" t="s">
        <v>1744</v>
      </c>
      <c r="E113" s="1585">
        <v>0.2</v>
      </c>
      <c r="F113" s="1572">
        <v>30</v>
      </c>
    </row>
    <row r="114" spans="1:6" ht="36">
      <c r="A114" s="1572">
        <v>54</v>
      </c>
      <c r="B114" s="1572" t="s">
        <v>1745</v>
      </c>
      <c r="C114" s="1572" t="s">
        <v>1746</v>
      </c>
      <c r="D114" s="1498" t="s">
        <v>1747</v>
      </c>
      <c r="E114" s="1585">
        <v>0.2</v>
      </c>
      <c r="F114" s="1572">
        <v>30</v>
      </c>
    </row>
    <row r="115" spans="1:6" ht="24">
      <c r="A115" s="1572">
        <v>55</v>
      </c>
      <c r="B115" s="1572" t="s">
        <v>1748</v>
      </c>
      <c r="C115" s="1572" t="s">
        <v>1749</v>
      </c>
      <c r="D115" s="1498" t="s">
        <v>1750</v>
      </c>
      <c r="E115" s="1585">
        <v>0.2</v>
      </c>
      <c r="F115" s="1572">
        <v>30</v>
      </c>
    </row>
    <row r="116" spans="1:6" ht="24">
      <c r="A116" s="1572">
        <v>56</v>
      </c>
      <c r="B116" s="3767" t="s">
        <v>1751</v>
      </c>
      <c r="C116" s="1572" t="s">
        <v>1752</v>
      </c>
      <c r="D116" s="1498" t="s">
        <v>1753</v>
      </c>
      <c r="E116" s="1585">
        <v>0.2</v>
      </c>
      <c r="F116" s="1572">
        <v>30</v>
      </c>
    </row>
    <row r="117" spans="1:6" ht="36">
      <c r="A117" s="1572">
        <v>57</v>
      </c>
      <c r="B117" s="3767"/>
      <c r="C117" s="1572" t="s">
        <v>1754</v>
      </c>
      <c r="D117" s="1498" t="s">
        <v>1755</v>
      </c>
      <c r="E117" s="1585">
        <v>0.2</v>
      </c>
      <c r="F117" s="1572">
        <v>30</v>
      </c>
    </row>
    <row r="118" spans="1:6" ht="36">
      <c r="A118" s="1572">
        <v>58</v>
      </c>
      <c r="B118" s="1572" t="s">
        <v>1756</v>
      </c>
      <c r="C118" s="1572" t="s">
        <v>1757</v>
      </c>
      <c r="D118" s="1498" t="s">
        <v>1758</v>
      </c>
      <c r="E118" s="1585">
        <v>0.2</v>
      </c>
      <c r="F118" s="1572">
        <v>30</v>
      </c>
    </row>
    <row r="119" spans="1:6" ht="13.5">
      <c r="A119" s="1572"/>
      <c r="B119" s="1572"/>
      <c r="C119" s="1572" t="s">
        <v>1759</v>
      </c>
      <c r="D119" s="1572"/>
      <c r="E119" s="1585" t="s">
        <v>1569</v>
      </c>
      <c r="F119" s="1572"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22"/>
    <col min="2" max="16384" width="9" style="1597"/>
  </cols>
  <sheetData>
    <row r="1" spans="1:14" ht="14.25">
      <c r="A1" s="1595" t="s">
        <v>1769</v>
      </c>
      <c r="B1" s="1596"/>
      <c r="C1" s="1596"/>
      <c r="D1" s="1596"/>
      <c r="E1" s="1596"/>
      <c r="F1" s="1596"/>
      <c r="G1" s="1596"/>
      <c r="H1" s="1596"/>
      <c r="I1" s="1596"/>
      <c r="J1" s="1596"/>
      <c r="K1" s="1596"/>
      <c r="L1" s="1596"/>
      <c r="M1" s="1596"/>
      <c r="N1" s="1596"/>
    </row>
    <row r="2" spans="1:14">
      <c r="A2" s="1598" t="s">
        <v>1766</v>
      </c>
      <c r="B2" s="1599" t="s">
        <v>1171</v>
      </c>
      <c r="C2" s="1599" t="s">
        <v>1172</v>
      </c>
      <c r="D2" s="1599" t="s">
        <v>1173</v>
      </c>
      <c r="E2" s="1599" t="s">
        <v>1174</v>
      </c>
      <c r="F2" s="1599" t="s">
        <v>1175</v>
      </c>
      <c r="G2" s="1599" t="s">
        <v>1176</v>
      </c>
      <c r="H2" s="1600" t="s">
        <v>1177</v>
      </c>
      <c r="I2" s="1600" t="s">
        <v>1178</v>
      </c>
      <c r="J2" s="1601" t="s">
        <v>1179</v>
      </c>
      <c r="K2" s="1601" t="s">
        <v>1180</v>
      </c>
      <c r="L2" s="1601" t="s">
        <v>1181</v>
      </c>
      <c r="M2" s="1601" t="s">
        <v>1182</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1775</v>
      </c>
      <c r="B103" s="1596"/>
      <c r="C103" s="1596"/>
      <c r="D103" s="1596"/>
      <c r="E103" s="1596"/>
      <c r="F103" s="1596"/>
      <c r="G103" s="1596"/>
      <c r="H103" s="1596"/>
      <c r="I103" s="1596"/>
      <c r="J103" s="1596"/>
      <c r="K103" s="1596"/>
      <c r="L103" s="1596"/>
      <c r="M103" s="1596"/>
      <c r="N103" s="1596"/>
    </row>
    <row r="104" spans="1:14" ht="14.25">
      <c r="A104" s="1598" t="s">
        <v>1766</v>
      </c>
      <c r="B104" s="1599" t="s">
        <v>1171</v>
      </c>
      <c r="C104" s="1599" t="s">
        <v>1172</v>
      </c>
      <c r="D104" s="1599" t="s">
        <v>1173</v>
      </c>
      <c r="E104" s="1599" t="s">
        <v>1174</v>
      </c>
      <c r="F104" s="1599" t="s">
        <v>1175</v>
      </c>
      <c r="G104" s="1599" t="s">
        <v>1176</v>
      </c>
      <c r="H104" s="1600" t="s">
        <v>1177</v>
      </c>
      <c r="I104" s="1600" t="s">
        <v>1178</v>
      </c>
      <c r="J104" s="1601" t="s">
        <v>1179</v>
      </c>
      <c r="K104" s="1601" t="s">
        <v>1180</v>
      </c>
      <c r="L104" s="1601" t="s">
        <v>1181</v>
      </c>
      <c r="M104" s="1601" t="s">
        <v>1182</v>
      </c>
      <c r="N104" s="1596">
        <f>SUMPRODUCT((A105:A204=ROUNDDOWN(基准地价修正!G3,1))*(B104:M104=基准地价修正!G2)*(B105:M204))</f>
        <v>12.384</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1776</v>
      </c>
      <c r="B205" s="1596"/>
      <c r="C205" s="1596"/>
      <c r="D205" s="1596"/>
      <c r="E205" s="1596"/>
      <c r="F205" s="1596"/>
      <c r="G205" s="1596"/>
      <c r="H205" s="1596"/>
      <c r="I205" s="1596"/>
      <c r="J205" s="1596"/>
      <c r="K205" s="1596"/>
      <c r="L205" s="1596"/>
      <c r="M205" s="1596"/>
    </row>
    <row r="206" spans="1:13">
      <c r="A206" s="1598" t="s">
        <v>1766</v>
      </c>
      <c r="B206" s="1599" t="s">
        <v>1171</v>
      </c>
      <c r="C206" s="1599" t="s">
        <v>1172</v>
      </c>
      <c r="D206" s="1599" t="s">
        <v>1173</v>
      </c>
      <c r="E206" s="1599" t="s">
        <v>1174</v>
      </c>
      <c r="F206" s="1599" t="s">
        <v>1175</v>
      </c>
      <c r="G206" s="1599" t="s">
        <v>1176</v>
      </c>
      <c r="H206" s="1600" t="s">
        <v>1177</v>
      </c>
      <c r="I206" s="1600" t="s">
        <v>1178</v>
      </c>
      <c r="J206" s="1601" t="s">
        <v>1179</v>
      </c>
      <c r="K206" s="1601" t="s">
        <v>1180</v>
      </c>
      <c r="L206" s="1601" t="s">
        <v>1181</v>
      </c>
      <c r="M206" s="1601" t="s">
        <v>1182</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1777</v>
      </c>
      <c r="B307" s="1596"/>
      <c r="C307" s="1596"/>
      <c r="D307" s="1596"/>
      <c r="E307" s="1596"/>
      <c r="F307" s="1596"/>
      <c r="G307" s="1596"/>
      <c r="H307" s="1596"/>
      <c r="I307" s="1596"/>
      <c r="J307" s="1596"/>
      <c r="K307" s="1596"/>
      <c r="L307" s="1596"/>
      <c r="M307" s="1596"/>
    </row>
    <row r="308" spans="1:13">
      <c r="A308" s="1598" t="s">
        <v>1766</v>
      </c>
      <c r="B308" s="1599" t="s">
        <v>1171</v>
      </c>
      <c r="C308" s="1599" t="s">
        <v>1172</v>
      </c>
      <c r="D308" s="1599" t="s">
        <v>1173</v>
      </c>
      <c r="E308" s="1599" t="s">
        <v>1174</v>
      </c>
      <c r="F308" s="1599" t="s">
        <v>1175</v>
      </c>
      <c r="G308" s="1599" t="s">
        <v>1176</v>
      </c>
      <c r="H308" s="1600" t="s">
        <v>1177</v>
      </c>
      <c r="I308" s="1600" t="s">
        <v>1178</v>
      </c>
      <c r="J308" s="1601" t="s">
        <v>1179</v>
      </c>
      <c r="K308" s="1601" t="s">
        <v>1180</v>
      </c>
      <c r="L308" s="1601" t="s">
        <v>1181</v>
      </c>
      <c r="M308" s="1601" t="s">
        <v>1182</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3058</v>
      </c>
    </row>
    <row r="2" spans="1:5" ht="14.25">
      <c r="A2" s="3342" t="s">
        <v>209</v>
      </c>
      <c r="B2" s="3339">
        <f ca="1">SUMIF(B6:B13,"&lt;&gt;#ref!",B6:B13)</f>
        <v>58885</v>
      </c>
      <c r="C2" s="3342" t="s">
        <v>2668</v>
      </c>
      <c r="D2" s="3342" t="s">
        <v>3053</v>
      </c>
      <c r="E2" s="3339" t="e">
        <f ca="1">SUM(E6:E13)</f>
        <v>#REF!</v>
      </c>
    </row>
    <row r="3" spans="1:5" ht="14.25">
      <c r="A3" s="3342" t="s">
        <v>8</v>
      </c>
      <c r="B3" s="3339" t="e">
        <f ca="1">ROUND(B2*10000/E2,0)</f>
        <v>#REF!</v>
      </c>
      <c r="C3" s="3342" t="s">
        <v>2669</v>
      </c>
      <c r="D3" s="3340"/>
      <c r="E3" s="3340"/>
    </row>
    <row r="4" spans="1:5" ht="14.25">
      <c r="A4" s="3343"/>
      <c r="B4" s="3340"/>
      <c r="C4" s="3340"/>
      <c r="D4" s="3340"/>
      <c r="E4" s="3340"/>
    </row>
    <row r="5" spans="1:5" ht="28.5">
      <c r="A5" s="3344" t="s">
        <v>3056</v>
      </c>
      <c r="B5" s="3342" t="s">
        <v>3054</v>
      </c>
      <c r="C5" s="3339"/>
      <c r="D5" s="3340"/>
      <c r="E5" s="3342" t="s">
        <v>3055</v>
      </c>
    </row>
    <row r="6" spans="1:5" ht="14.25">
      <c r="A6" s="3345" t="s">
        <v>3057</v>
      </c>
      <c r="B6" s="3341">
        <f ca="1">SUMIF(INDIRECT("'"&amp;A6&amp;"'"&amp;"!A:A"),"总价",INDIRECT("'"&amp;A6&amp;"'"&amp;"!B:B"))</f>
        <v>58885</v>
      </c>
      <c r="C6" s="3342" t="s">
        <v>2668</v>
      </c>
      <c r="D6" s="3340"/>
      <c r="E6" s="2789">
        <f ca="1">SUMIF(INDIRECT("'"&amp;A6&amp;"'"&amp;"!C:C"),"建筑面积",INDIRECT("'"&amp;A6&amp;"'"&amp;"!D:D"))</f>
        <v>12736.12000000001</v>
      </c>
    </row>
    <row r="7" spans="1:5" ht="14.25">
      <c r="A7" s="3345"/>
      <c r="B7" s="3341" t="e">
        <f ca="1">SUMIF(INDIRECT("'"&amp;A7&amp;"'"&amp;"!A:A"),"总价",INDIRECT("'"&amp;A7&amp;"'"&amp;"!B:B"))</f>
        <v>#REF!</v>
      </c>
      <c r="C7" s="3342" t="s">
        <v>2668</v>
      </c>
      <c r="D7" s="3340"/>
      <c r="E7" s="2789" t="e">
        <f t="shared" ref="E7:E13" ca="1" si="0">SUMIF(INDIRECT("'"&amp;A7&amp;"'"&amp;"!C:C"),"建筑面积",INDIRECT("'"&amp;A7&amp;"'"&amp;"!D:D"))</f>
        <v>#REF!</v>
      </c>
    </row>
    <row r="8" spans="1:5" ht="14.25">
      <c r="A8" s="3345"/>
      <c r="B8" s="3341" t="e">
        <f t="shared" ref="B8:B13" ca="1" si="1">SUMIF(INDIRECT("'"&amp;A8&amp;"'"&amp;"!A:A"),"总价",INDIRECT("'"&amp;A8&amp;"'"&amp;"!B:B"))</f>
        <v>#REF!</v>
      </c>
      <c r="C8" s="3342" t="s">
        <v>2668</v>
      </c>
      <c r="D8" s="3340"/>
      <c r="E8" s="2789" t="e">
        <f t="shared" ca="1" si="0"/>
        <v>#REF!</v>
      </c>
    </row>
    <row r="9" spans="1:5" ht="14.25">
      <c r="A9" s="3345"/>
      <c r="B9" s="3341" t="e">
        <f t="shared" ca="1" si="1"/>
        <v>#REF!</v>
      </c>
      <c r="C9" s="3342" t="s">
        <v>2668</v>
      </c>
      <c r="D9" s="3340"/>
      <c r="E9" s="2789" t="e">
        <f t="shared" ca="1" si="0"/>
        <v>#REF!</v>
      </c>
    </row>
    <row r="10" spans="1:5" ht="14.25">
      <c r="A10" s="3345"/>
      <c r="B10" s="3341" t="e">
        <f t="shared" ca="1" si="1"/>
        <v>#REF!</v>
      </c>
      <c r="C10" s="3342" t="s">
        <v>2668</v>
      </c>
      <c r="D10" s="3340"/>
      <c r="E10" s="2789" t="e">
        <f t="shared" ca="1" si="0"/>
        <v>#REF!</v>
      </c>
    </row>
    <row r="11" spans="1:5" ht="14.25">
      <c r="A11" s="3345"/>
      <c r="B11" s="3341" t="e">
        <f t="shared" ca="1" si="1"/>
        <v>#REF!</v>
      </c>
      <c r="C11" s="3342" t="s">
        <v>2668</v>
      </c>
      <c r="D11" s="3340"/>
      <c r="E11" s="2789" t="e">
        <f t="shared" ca="1" si="0"/>
        <v>#REF!</v>
      </c>
    </row>
    <row r="12" spans="1:5" ht="14.25">
      <c r="A12" s="3345"/>
      <c r="B12" s="3341" t="e">
        <f t="shared" ca="1" si="1"/>
        <v>#REF!</v>
      </c>
      <c r="C12" s="3342" t="s">
        <v>2668</v>
      </c>
      <c r="D12" s="3340"/>
      <c r="E12" s="2789" t="e">
        <f t="shared" ca="1" si="0"/>
        <v>#REF!</v>
      </c>
    </row>
    <row r="13" spans="1:5" ht="14.25">
      <c r="A13" s="3345"/>
      <c r="B13" s="3341" t="e">
        <f t="shared" ca="1" si="1"/>
        <v>#REF!</v>
      </c>
      <c r="C13" s="3342" t="s">
        <v>2668</v>
      </c>
      <c r="D13" s="3340"/>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J5" sqref="J5:J18"/>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90" t="s">
        <v>2710</v>
      </c>
      <c r="C1" s="3790"/>
      <c r="D1" s="3790"/>
      <c r="E1" s="3790"/>
      <c r="F1" s="3790"/>
      <c r="G1" s="3786" t="s">
        <v>2711</v>
      </c>
      <c r="H1" s="3786"/>
      <c r="I1" s="3786"/>
      <c r="J1" s="3786"/>
      <c r="K1" s="3786"/>
      <c r="L1" s="3786"/>
      <c r="N1" s="3786" t="s">
        <v>2712</v>
      </c>
      <c r="O1" s="3786"/>
      <c r="P1" s="3786"/>
      <c r="Q1" s="3786"/>
      <c r="R1" s="2900"/>
      <c r="S1" s="3786" t="s">
        <v>2713</v>
      </c>
      <c r="T1" s="3786"/>
      <c r="U1" s="3786"/>
      <c r="V1" s="3786"/>
      <c r="X1" s="3785" t="s">
        <v>2714</v>
      </c>
      <c r="Y1" s="3786"/>
      <c r="Z1" s="3786"/>
      <c r="AA1" s="3786"/>
      <c r="AB1" s="3786"/>
      <c r="AD1" s="3785" t="s">
        <v>2715</v>
      </c>
      <c r="AE1" s="3786"/>
      <c r="AF1" s="3786"/>
      <c r="AG1" s="3786"/>
      <c r="AH1" s="3786"/>
    </row>
    <row r="2" spans="1:34" s="2901" customFormat="1" ht="14.25" thickBot="1">
      <c r="B2" s="2902" t="s">
        <v>2716</v>
      </c>
      <c r="C2" s="2902" t="s">
        <v>2717</v>
      </c>
      <c r="D2" s="2903" t="s">
        <v>2718</v>
      </c>
      <c r="E2" s="2903" t="s">
        <v>2719</v>
      </c>
      <c r="F2" s="2902" t="s">
        <v>2720</v>
      </c>
      <c r="G2" s="2904"/>
      <c r="H2" s="2905"/>
      <c r="I2" s="2902" t="s">
        <v>2716</v>
      </c>
      <c r="J2" s="2903" t="s">
        <v>3059</v>
      </c>
      <c r="K2" s="2903" t="s">
        <v>1845</v>
      </c>
      <c r="L2" s="2902" t="s">
        <v>2720</v>
      </c>
      <c r="N2" s="2902" t="s">
        <v>2716</v>
      </c>
      <c r="O2" s="2903" t="s">
        <v>3059</v>
      </c>
      <c r="P2" s="2903" t="s">
        <v>1845</v>
      </c>
      <c r="Q2" s="2902" t="s">
        <v>2720</v>
      </c>
      <c r="R2" s="2906"/>
      <c r="S2" s="2902" t="s">
        <v>2716</v>
      </c>
      <c r="T2" s="2903" t="s">
        <v>3059</v>
      </c>
      <c r="U2" s="2903" t="s">
        <v>1845</v>
      </c>
      <c r="V2" s="2902" t="s">
        <v>2720</v>
      </c>
      <c r="X2" s="2902" t="s">
        <v>2716</v>
      </c>
      <c r="Y2" s="2902" t="s">
        <v>2717</v>
      </c>
      <c r="Z2" s="2903" t="s">
        <v>2718</v>
      </c>
      <c r="AA2" s="2903" t="s">
        <v>2719</v>
      </c>
      <c r="AB2" s="2902" t="s">
        <v>2720</v>
      </c>
      <c r="AD2" s="2902" t="s">
        <v>2716</v>
      </c>
      <c r="AE2" s="2902" t="s">
        <v>2717</v>
      </c>
      <c r="AF2" s="2903" t="s">
        <v>2718</v>
      </c>
      <c r="AG2" s="2903" t="s">
        <v>2719</v>
      </c>
      <c r="AH2" s="2902" t="s">
        <v>2720</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2721</v>
      </c>
      <c r="B4" s="2916"/>
      <c r="C4" s="2916"/>
      <c r="D4" s="2916"/>
      <c r="E4" s="2916"/>
      <c r="F4" s="2916"/>
      <c r="G4" s="3791">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8" customFormat="1">
      <c r="A5" s="3236" t="s">
        <v>2722</v>
      </c>
      <c r="B5" s="3350">
        <f t="shared" ref="B5:B6" si="2">B6*(1+N5)</f>
        <v>429.62688667359998</v>
      </c>
      <c r="C5" s="3350">
        <f t="shared" ref="C5:C6" si="3">C6*(1+O5)</f>
        <v>318.97763788800006</v>
      </c>
      <c r="D5" s="3350">
        <f t="shared" ref="D5:D6" si="4">C5</f>
        <v>318.97763788800006</v>
      </c>
      <c r="E5" s="3350">
        <f t="shared" ref="E5:E6" si="5">E6*(1+P5)</f>
        <v>613.03761713879999</v>
      </c>
      <c r="F5" s="3350">
        <f t="shared" ref="F5:F6" si="6">F6*(1+Q5)</f>
        <v>278.506175276448</v>
      </c>
      <c r="G5" s="3788"/>
      <c r="H5" s="3237">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39"/>
      <c r="S5" s="3240"/>
      <c r="T5" s="3239"/>
      <c r="U5" s="3239"/>
      <c r="V5" s="3239"/>
      <c r="W5" s="2925" t="s">
        <v>2724</v>
      </c>
      <c r="X5" s="3229">
        <f>ROUND(SUMPRODUCT(PRODUCT(1+N5:N$18)),4)</f>
        <v>1.3963000000000001</v>
      </c>
      <c r="Y5" s="3229">
        <f>ROUND(SUMPRODUCT(PRODUCT(1+O5:O$18)),4)</f>
        <v>1.2401</v>
      </c>
      <c r="Z5" s="3229">
        <f t="shared" si="0"/>
        <v>1.2401</v>
      </c>
      <c r="AA5" s="3229">
        <f>ROUND(SUMPRODUCT(PRODUCT(1+P5:P$18)),4)</f>
        <v>1.4508000000000001</v>
      </c>
      <c r="AB5" s="3229">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8" customFormat="1">
      <c r="A6" s="2915" t="s">
        <v>3060</v>
      </c>
      <c r="B6" s="2935">
        <f t="shared" si="2"/>
        <v>419.31181600000002</v>
      </c>
      <c r="C6" s="2935">
        <f t="shared" si="3"/>
        <v>313.95436800000004</v>
      </c>
      <c r="D6" s="2935">
        <f t="shared" si="4"/>
        <v>313.95436800000004</v>
      </c>
      <c r="E6" s="2935">
        <f t="shared" si="5"/>
        <v>596.63028431999999</v>
      </c>
      <c r="F6" s="2935">
        <f t="shared" si="6"/>
        <v>274.74220703999998</v>
      </c>
      <c r="G6" s="3788"/>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7">
        <f>ROUND(SUMPRODUCT(PRODUCT(1+N6:N$18)),4)</f>
        <v>1.3628</v>
      </c>
      <c r="Y6" s="3347">
        <f>ROUND(SUMPRODUCT(PRODUCT(1+O6:O$18)),4)</f>
        <v>1.2205999999999999</v>
      </c>
      <c r="Z6" s="3347">
        <f t="shared" si="0"/>
        <v>1.2205999999999999</v>
      </c>
      <c r="AA6" s="3347">
        <f>ROUND(SUMPRODUCT(PRODUCT(1+P6:P$18)),4)</f>
        <v>1.4118999999999999</v>
      </c>
      <c r="AB6" s="3347">
        <f>ROUND(SUMPRODUCT(PRODUCT(1+Q6:Q$18)),4)</f>
        <v>1.1930000000000001</v>
      </c>
      <c r="AC6" s="2907"/>
      <c r="AD6" s="3348">
        <f>ROUND(AVERAGE(I6:I$19)/100,4)</f>
        <v>2.46E-2</v>
      </c>
      <c r="AE6" s="3348">
        <f>ROUND(AVERAGE(J6:J$19)/100,4)</f>
        <v>1.6E-2</v>
      </c>
      <c r="AF6" s="3348">
        <f t="shared" si="1"/>
        <v>1.6E-2</v>
      </c>
      <c r="AG6" s="3348">
        <f>ROUND(AVERAGE(K6:K$19)/100,4)</f>
        <v>2.75E-2</v>
      </c>
      <c r="AH6" s="3348">
        <f>ROUND(AVERAGE(L6:L$19)/100,4)</f>
        <v>1.37E-2</v>
      </c>
    </row>
    <row r="7" spans="1:34" s="2923" customFormat="1" ht="13.5" thickBot="1">
      <c r="A7" s="2915" t="s">
        <v>2723</v>
      </c>
      <c r="B7" s="2935">
        <f>B8*(1+N7)</f>
        <v>405.524</v>
      </c>
      <c r="C7" s="2935">
        <f>C8*(1+O7)</f>
        <v>307.79840000000002</v>
      </c>
      <c r="D7" s="2935">
        <f>C7</f>
        <v>307.79840000000002</v>
      </c>
      <c r="E7" s="2935">
        <f>E8*(1+P7)</f>
        <v>574.67759999999998</v>
      </c>
      <c r="F7" s="2935">
        <f>F8*(1+Q7)</f>
        <v>270.20280000000002</v>
      </c>
      <c r="G7" s="3789"/>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49"/>
      <c r="X7" s="3347">
        <f>ROUND(SUMPRODUCT(PRODUCT(1+N7:N$18)),4)</f>
        <v>1.3180000000000001</v>
      </c>
      <c r="Y7" s="3347">
        <f>ROUND(SUMPRODUCT(PRODUCT(1+O7:O$18)),4)</f>
        <v>1.1966000000000001</v>
      </c>
      <c r="Z7" s="3347">
        <f t="shared" si="0"/>
        <v>1.1966000000000001</v>
      </c>
      <c r="AA7" s="3347">
        <f>ROUND(SUMPRODUCT(PRODUCT(1+P7:P$18)),4)</f>
        <v>1.36</v>
      </c>
      <c r="AB7" s="3347">
        <f>ROUND(SUMPRODUCT(PRODUCT(1+Q7:Q$18)),4)</f>
        <v>1.1733</v>
      </c>
      <c r="AC7" s="3349"/>
      <c r="AD7" s="3348">
        <f>ROUND(AVERAGE(I7:I$19)/100,4)</f>
        <v>2.3900000000000001E-2</v>
      </c>
      <c r="AE7" s="3348">
        <f>ROUND(AVERAGE(J7:J$19)/100,4)</f>
        <v>1.5699999999999999E-2</v>
      </c>
      <c r="AF7" s="3348">
        <f t="shared" si="1"/>
        <v>1.5699999999999999E-2</v>
      </c>
      <c r="AG7" s="3348">
        <f>ROUND(AVERAGE(K7:K$19)/100,4)</f>
        <v>2.6599999999999999E-2</v>
      </c>
      <c r="AH7" s="3348">
        <f>ROUND(AVERAGE(L7:L$19)/100,4)</f>
        <v>1.34E-2</v>
      </c>
    </row>
    <row r="8" spans="1:34">
      <c r="A8" s="2915" t="s">
        <v>1160</v>
      </c>
      <c r="B8" s="2927">
        <v>392</v>
      </c>
      <c r="C8" s="2927">
        <v>302</v>
      </c>
      <c r="D8" s="2927">
        <f>C8</f>
        <v>302</v>
      </c>
      <c r="E8" s="2927">
        <v>553</v>
      </c>
      <c r="F8" s="2928">
        <v>266</v>
      </c>
      <c r="G8" s="3791">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1159</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88"/>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1149</v>
      </c>
      <c r="B10" s="2935">
        <f t="shared" si="15"/>
        <v>360.06949782209392</v>
      </c>
      <c r="C10" s="2935">
        <f t="shared" si="15"/>
        <v>289.84672674747821</v>
      </c>
      <c r="D10" s="2935">
        <f t="shared" si="16"/>
        <v>289.84672674747821</v>
      </c>
      <c r="E10" s="2935">
        <f t="shared" si="17"/>
        <v>501.06543001181495</v>
      </c>
      <c r="F10" s="2935">
        <f t="shared" si="17"/>
        <v>256.82882500744967</v>
      </c>
      <c r="G10" s="3788"/>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1158</v>
      </c>
      <c r="B11" s="2935">
        <f t="shared" si="15"/>
        <v>346.720748986128</v>
      </c>
      <c r="C11" s="2935">
        <f t="shared" si="15"/>
        <v>284.30282172386285</v>
      </c>
      <c r="D11" s="2935">
        <f t="shared" si="16"/>
        <v>284.30282172386285</v>
      </c>
      <c r="E11" s="2935">
        <f t="shared" si="17"/>
        <v>479.58023546306947</v>
      </c>
      <c r="F11" s="2935">
        <f t="shared" si="17"/>
        <v>253.25788877571213</v>
      </c>
      <c r="G11" s="3789"/>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1157</v>
      </c>
      <c r="B12" s="2927">
        <v>333</v>
      </c>
      <c r="C12" s="2927">
        <v>277</v>
      </c>
      <c r="D12" s="2927">
        <f t="shared" si="16"/>
        <v>277</v>
      </c>
      <c r="E12" s="2927">
        <v>459</v>
      </c>
      <c r="F12" s="2928">
        <v>249</v>
      </c>
      <c r="G12" s="3787">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1156</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88"/>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1155</v>
      </c>
      <c r="B14" s="2935">
        <f t="shared" si="19"/>
        <v>322.34053690220776</v>
      </c>
      <c r="C14" s="2935">
        <f t="shared" si="19"/>
        <v>271.46160770422546</v>
      </c>
      <c r="D14" s="2935">
        <f t="shared" si="16"/>
        <v>271.46160770422546</v>
      </c>
      <c r="E14" s="2935">
        <f t="shared" si="20"/>
        <v>442.69434542172456</v>
      </c>
      <c r="F14" s="2935">
        <f t="shared" si="20"/>
        <v>241.34030753190925</v>
      </c>
      <c r="G14" s="3788"/>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1154</v>
      </c>
      <c r="B15" s="2935">
        <f t="shared" si="19"/>
        <v>319.87748030386797</v>
      </c>
      <c r="C15" s="2935">
        <f t="shared" si="19"/>
        <v>269.60135833173649</v>
      </c>
      <c r="D15" s="2935">
        <f t="shared" si="16"/>
        <v>269.60135833173649</v>
      </c>
      <c r="E15" s="2935">
        <f t="shared" si="20"/>
        <v>439.18089823583784</v>
      </c>
      <c r="F15" s="2935">
        <f t="shared" si="20"/>
        <v>239.23503918706311</v>
      </c>
      <c r="G15" s="3789"/>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1153</v>
      </c>
      <c r="B16" s="2948">
        <v>318</v>
      </c>
      <c r="C16" s="2948">
        <v>268</v>
      </c>
      <c r="D16" s="2948">
        <f t="shared" si="16"/>
        <v>268</v>
      </c>
      <c r="E16" s="2948">
        <v>437</v>
      </c>
      <c r="F16" s="2949">
        <v>237</v>
      </c>
      <c r="G16" s="3787">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1152</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88"/>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1151</v>
      </c>
      <c r="B18" s="2935">
        <f t="shared" si="21"/>
        <v>314.72141172386546</v>
      </c>
      <c r="C18" s="2935">
        <f t="shared" si="21"/>
        <v>263.03901319069001</v>
      </c>
      <c r="D18" s="2935">
        <f t="shared" si="16"/>
        <v>263.03901319069001</v>
      </c>
      <c r="E18" s="2935">
        <f t="shared" si="22"/>
        <v>433.65745506782821</v>
      </c>
      <c r="F18" s="2935">
        <f t="shared" si="22"/>
        <v>233.23005080045735</v>
      </c>
      <c r="G18" s="3788"/>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1150</v>
      </c>
      <c r="B19" s="2953">
        <f t="shared" si="21"/>
        <v>307.34512863658733</v>
      </c>
      <c r="C19" s="2953">
        <f t="shared" si="21"/>
        <v>257.80556031626975</v>
      </c>
      <c r="D19" s="2953">
        <f t="shared" si="16"/>
        <v>257.80556031626975</v>
      </c>
      <c r="E19" s="2953">
        <f t="shared" si="22"/>
        <v>422.70928459677179</v>
      </c>
      <c r="F19" s="2953">
        <f t="shared" si="22"/>
        <v>229.73803270336617</v>
      </c>
      <c r="G19" s="3789"/>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2725</v>
      </c>
      <c r="X19" s="2963">
        <v>1</v>
      </c>
      <c r="Y19" s="2963">
        <v>1</v>
      </c>
      <c r="Z19" s="2963">
        <v>1</v>
      </c>
      <c r="AA19" s="2963">
        <v>1</v>
      </c>
      <c r="AB19" s="2963">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5" t="s">
        <v>2726</v>
      </c>
      <c r="B20" s="2927">
        <v>299</v>
      </c>
      <c r="C20" s="2927">
        <v>252</v>
      </c>
      <c r="D20" s="2927">
        <f t="shared" si="16"/>
        <v>252</v>
      </c>
      <c r="E20" s="2927">
        <v>409</v>
      </c>
      <c r="F20" s="2928">
        <v>227</v>
      </c>
      <c r="G20" s="3792">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2727</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93"/>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2728</v>
      </c>
      <c r="B22" s="2935">
        <f t="shared" si="25"/>
        <v>288.2649053828776</v>
      </c>
      <c r="C22" s="2935">
        <f t="shared" si="25"/>
        <v>243.64564425013293</v>
      </c>
      <c r="D22" s="2935">
        <f t="shared" si="16"/>
        <v>243.64564425013293</v>
      </c>
      <c r="E22" s="2935">
        <f t="shared" si="26"/>
        <v>393.31080825986544</v>
      </c>
      <c r="F22" s="2935">
        <f t="shared" si="26"/>
        <v>223.07903790551154</v>
      </c>
      <c r="G22" s="3793"/>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2729</v>
      </c>
      <c r="B23" s="2935">
        <f t="shared" si="25"/>
        <v>282.50186729015837</v>
      </c>
      <c r="C23" s="2935">
        <f t="shared" si="25"/>
        <v>238.09796174155468</v>
      </c>
      <c r="D23" s="2935">
        <f t="shared" si="16"/>
        <v>238.09796174155468</v>
      </c>
      <c r="E23" s="2935">
        <f t="shared" si="26"/>
        <v>385.33438646014054</v>
      </c>
      <c r="F23" s="2935">
        <f t="shared" si="26"/>
        <v>221.55034055567739</v>
      </c>
      <c r="G23" s="3794"/>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2730</v>
      </c>
      <c r="B24" s="2969">
        <v>278</v>
      </c>
      <c r="C24" s="2969">
        <v>234</v>
      </c>
      <c r="D24" s="2969">
        <f t="shared" si="16"/>
        <v>234</v>
      </c>
      <c r="E24" s="2969">
        <v>379</v>
      </c>
      <c r="F24" s="2970">
        <v>220</v>
      </c>
      <c r="G24" s="3787">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2731</v>
      </c>
      <c r="B25" s="2935">
        <f>B24/(1+N24)</f>
        <v>275.49301357645425</v>
      </c>
      <c r="C25" s="2935">
        <f>C24/(1+O24)</f>
        <v>232.41954707985698</v>
      </c>
      <c r="D25" s="2935">
        <f t="shared" si="16"/>
        <v>232.41954707985698</v>
      </c>
      <c r="E25" s="2935">
        <f t="shared" ref="E25:F27" si="27">E24/(1+P24)</f>
        <v>375.32184591008121</v>
      </c>
      <c r="F25" s="2935">
        <f t="shared" si="27"/>
        <v>218.03766105054513</v>
      </c>
      <c r="G25" s="3788"/>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2732</v>
      </c>
      <c r="B26" s="2935">
        <f>B25/(1+N25)</f>
        <v>275.24529281292263</v>
      </c>
      <c r="C26" s="2935">
        <f>C25/(1+O25)</f>
        <v>231.74747938962707</v>
      </c>
      <c r="D26" s="2935">
        <f t="shared" si="16"/>
        <v>231.74747938962707</v>
      </c>
      <c r="E26" s="2935">
        <f t="shared" si="27"/>
        <v>375.35938184826603</v>
      </c>
      <c r="F26" s="2935">
        <f t="shared" si="27"/>
        <v>216.78033510692495</v>
      </c>
      <c r="G26" s="3788"/>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2733</v>
      </c>
      <c r="B27" s="2935">
        <f>B26/(1+N26)</f>
        <v>275.19025476197027</v>
      </c>
      <c r="C27" s="2971">
        <v>232</v>
      </c>
      <c r="D27" s="2971">
        <f t="shared" si="16"/>
        <v>232</v>
      </c>
      <c r="E27" s="2935">
        <f t="shared" si="27"/>
        <v>375.65990977608692</v>
      </c>
      <c r="F27" s="2935">
        <f t="shared" si="27"/>
        <v>214.12518283971252</v>
      </c>
      <c r="G27" s="3789"/>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2734</v>
      </c>
      <c r="B28" s="2927">
        <v>275</v>
      </c>
      <c r="C28" s="2927">
        <v>232</v>
      </c>
      <c r="D28" s="2927">
        <f t="shared" si="16"/>
        <v>232</v>
      </c>
      <c r="E28" s="2927">
        <v>376</v>
      </c>
      <c r="F28" s="2928">
        <v>213</v>
      </c>
      <c r="G28" s="3787">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2735</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88">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2736</v>
      </c>
      <c r="B30" s="2935">
        <f t="shared" si="28"/>
        <v>275.19335084830601</v>
      </c>
      <c r="C30" s="2935">
        <f t="shared" si="28"/>
        <v>230.18088050139744</v>
      </c>
      <c r="D30" s="2935">
        <f t="shared" si="16"/>
        <v>230.18088050139744</v>
      </c>
      <c r="E30" s="2935">
        <f t="shared" si="29"/>
        <v>377.58482925212331</v>
      </c>
      <c r="F30" s="2935">
        <f t="shared" si="29"/>
        <v>210.90687997847917</v>
      </c>
      <c r="G30" s="3788">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2737</v>
      </c>
      <c r="B31" s="2935">
        <f t="shared" si="28"/>
        <v>276.29854502841971</v>
      </c>
      <c r="C31" s="2935">
        <f t="shared" si="28"/>
        <v>229.79023709833027</v>
      </c>
      <c r="D31" s="2935">
        <f t="shared" si="16"/>
        <v>229.79023709833027</v>
      </c>
      <c r="E31" s="2935">
        <f t="shared" si="29"/>
        <v>379.78759731655936</v>
      </c>
      <c r="F31" s="2935">
        <f t="shared" si="29"/>
        <v>211.32953905659235</v>
      </c>
      <c r="G31" s="3789">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2738</v>
      </c>
      <c r="B32" s="2927">
        <v>269</v>
      </c>
      <c r="C32" s="2927">
        <v>221</v>
      </c>
      <c r="D32" s="2927">
        <f t="shared" si="16"/>
        <v>221</v>
      </c>
      <c r="E32" s="2927">
        <v>373</v>
      </c>
      <c r="F32" s="2928">
        <v>196</v>
      </c>
      <c r="G32" s="3787">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2739</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88">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2740</v>
      </c>
      <c r="B34" s="2935">
        <f t="shared" si="30"/>
        <v>242.95398227588385</v>
      </c>
      <c r="C34" s="2935">
        <f t="shared" si="30"/>
        <v>199.59137053614126</v>
      </c>
      <c r="D34" s="2935">
        <f t="shared" si="16"/>
        <v>199.59137053614126</v>
      </c>
      <c r="E34" s="2935">
        <f t="shared" si="31"/>
        <v>335.92189522342125</v>
      </c>
      <c r="F34" s="2935">
        <f t="shared" si="31"/>
        <v>183.10139991109489</v>
      </c>
      <c r="G34" s="3788">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2741</v>
      </c>
      <c r="B35" s="2935">
        <f t="shared" si="30"/>
        <v>232.06990378821649</v>
      </c>
      <c r="C35" s="2935">
        <f t="shared" si="30"/>
        <v>192.74878854286936</v>
      </c>
      <c r="D35" s="2935">
        <f t="shared" si="16"/>
        <v>192.74878854286936</v>
      </c>
      <c r="E35" s="2935">
        <f t="shared" si="31"/>
        <v>319.71247284992984</v>
      </c>
      <c r="F35" s="2935">
        <f t="shared" si="31"/>
        <v>175.67053622862409</v>
      </c>
      <c r="G35" s="3789">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2742</v>
      </c>
      <c r="B36" s="2927">
        <v>220</v>
      </c>
      <c r="C36" s="2927">
        <v>187</v>
      </c>
      <c r="D36" s="2927">
        <f t="shared" si="16"/>
        <v>187</v>
      </c>
      <c r="E36" s="2927">
        <v>301</v>
      </c>
      <c r="F36" s="2928">
        <v>168</v>
      </c>
      <c r="G36" s="3787">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2743</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88">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2744</v>
      </c>
      <c r="B38" s="2935">
        <f t="shared" si="32"/>
        <v>210.630522469011</v>
      </c>
      <c r="C38" s="2935">
        <f t="shared" si="32"/>
        <v>181.69567812247232</v>
      </c>
      <c r="D38" s="2935">
        <f t="shared" si="16"/>
        <v>181.69567812247232</v>
      </c>
      <c r="E38" s="2935">
        <f t="shared" si="33"/>
        <v>286.13517466736738</v>
      </c>
      <c r="F38" s="2935">
        <f t="shared" si="33"/>
        <v>165.47535084591149</v>
      </c>
      <c r="G38" s="3788">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2745</v>
      </c>
      <c r="B39" s="2935">
        <f t="shared" si="32"/>
        <v>208.83454537875372</v>
      </c>
      <c r="C39" s="2935">
        <f t="shared" si="32"/>
        <v>183.77230517090351</v>
      </c>
      <c r="D39" s="2935">
        <f t="shared" si="16"/>
        <v>183.77230517090351</v>
      </c>
      <c r="E39" s="2935">
        <f t="shared" si="33"/>
        <v>281.10342338870947</v>
      </c>
      <c r="F39" s="2935">
        <f t="shared" si="33"/>
        <v>168.97309388942256</v>
      </c>
      <c r="G39" s="3789">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2746</v>
      </c>
      <c r="B40" s="2969">
        <v>214</v>
      </c>
      <c r="C40" s="2969">
        <v>188</v>
      </c>
      <c r="D40" s="2969">
        <f t="shared" si="16"/>
        <v>188</v>
      </c>
      <c r="E40" s="2969">
        <v>289</v>
      </c>
      <c r="F40" s="2970">
        <v>166</v>
      </c>
      <c r="G40" s="3787">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2747</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88">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2748</v>
      </c>
      <c r="B42" s="2935">
        <f t="shared" si="34"/>
        <v>206.31694671589116</v>
      </c>
      <c r="C42" s="2935">
        <f t="shared" si="34"/>
        <v>183.61041121036101</v>
      </c>
      <c r="D42" s="2935">
        <f t="shared" si="16"/>
        <v>183.61041121036101</v>
      </c>
      <c r="E42" s="2935">
        <f t="shared" si="35"/>
        <v>276.66850301795557</v>
      </c>
      <c r="F42" s="2935">
        <f t="shared" si="35"/>
        <v>165.1360938278614</v>
      </c>
      <c r="G42" s="3788">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2749</v>
      </c>
      <c r="B43" s="2972">
        <f t="shared" si="34"/>
        <v>196.62341248059772</v>
      </c>
      <c r="C43" s="2972">
        <f t="shared" si="34"/>
        <v>170.99125648199012</v>
      </c>
      <c r="D43" s="2972">
        <f t="shared" si="16"/>
        <v>170.99125648199012</v>
      </c>
      <c r="E43" s="2972">
        <f t="shared" si="35"/>
        <v>266.07857570490052</v>
      </c>
      <c r="F43" s="2972">
        <f t="shared" si="35"/>
        <v>154.53499328828505</v>
      </c>
      <c r="G43" s="3789">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2750</v>
      </c>
      <c r="B44" s="2927">
        <v>188</v>
      </c>
      <c r="C44" s="2927">
        <v>165</v>
      </c>
      <c r="D44" s="2927">
        <f t="shared" si="16"/>
        <v>165</v>
      </c>
      <c r="E44" s="2927">
        <v>254</v>
      </c>
      <c r="F44" s="2928">
        <v>148</v>
      </c>
      <c r="G44" s="3787">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2751</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88">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2752</v>
      </c>
      <c r="B46" s="2935">
        <f t="shared" si="38"/>
        <v>168.82017748715555</v>
      </c>
      <c r="C46" s="2935">
        <f t="shared" si="38"/>
        <v>148.06267029972753</v>
      </c>
      <c r="D46" s="2935">
        <f t="shared" si="16"/>
        <v>148.06267029972753</v>
      </c>
      <c r="E46" s="2935">
        <f t="shared" si="39"/>
        <v>216.46288379323747</v>
      </c>
      <c r="F46" s="2935">
        <f t="shared" si="39"/>
        <v>134.23529411764704</v>
      </c>
      <c r="G46" s="3788">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2753</v>
      </c>
      <c r="B47" s="2935">
        <f t="shared" si="38"/>
        <v>163.84913591779542</v>
      </c>
      <c r="C47" s="2935">
        <f t="shared" si="38"/>
        <v>145.0283378746594</v>
      </c>
      <c r="D47" s="2935">
        <f t="shared" si="16"/>
        <v>145.0283378746594</v>
      </c>
      <c r="E47" s="2935">
        <f t="shared" si="39"/>
        <v>204.95180722891567</v>
      </c>
      <c r="F47" s="2935">
        <f t="shared" si="39"/>
        <v>125.95920303605313</v>
      </c>
      <c r="G47" s="3789">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2754</v>
      </c>
      <c r="B48" s="2948">
        <v>159</v>
      </c>
      <c r="C48" s="2948">
        <v>141</v>
      </c>
      <c r="D48" s="2948">
        <f t="shared" si="16"/>
        <v>141</v>
      </c>
      <c r="E48" s="2948">
        <v>195</v>
      </c>
      <c r="F48" s="2949">
        <v>122</v>
      </c>
      <c r="G48" s="3787">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2755</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88">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2756</v>
      </c>
      <c r="B50" s="2935">
        <f t="shared" si="42"/>
        <v>146.57412060301507</v>
      </c>
      <c r="C50" s="2935">
        <f t="shared" si="42"/>
        <v>136.46831955922866</v>
      </c>
      <c r="D50" s="2935">
        <f t="shared" si="16"/>
        <v>136.46831955922866</v>
      </c>
      <c r="E50" s="2935">
        <f t="shared" si="43"/>
        <v>166.73864894795128</v>
      </c>
      <c r="F50" s="2935">
        <f t="shared" si="43"/>
        <v>115.05882352941177</v>
      </c>
      <c r="G50" s="3788">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2757</v>
      </c>
      <c r="B51" s="2935">
        <f t="shared" si="42"/>
        <v>144.04145728643215</v>
      </c>
      <c r="C51" s="2935">
        <f t="shared" si="42"/>
        <v>136.12396694214877</v>
      </c>
      <c r="D51" s="2935">
        <f t="shared" si="16"/>
        <v>136.12396694214877</v>
      </c>
      <c r="E51" s="2935">
        <f t="shared" si="43"/>
        <v>158.32225913621264</v>
      </c>
      <c r="F51" s="2935">
        <f t="shared" si="43"/>
        <v>114.04278074866311</v>
      </c>
      <c r="G51" s="3789">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2758</v>
      </c>
      <c r="B52" s="2948">
        <v>138</v>
      </c>
      <c r="C52" s="2948">
        <v>131</v>
      </c>
      <c r="D52" s="2948">
        <f t="shared" si="16"/>
        <v>131</v>
      </c>
      <c r="E52" s="2948">
        <v>155</v>
      </c>
      <c r="F52" s="2949">
        <v>114</v>
      </c>
      <c r="G52" s="3787">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2759</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88">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2760</v>
      </c>
      <c r="B54" s="2935">
        <f t="shared" si="46"/>
        <v>124.29032258064517</v>
      </c>
      <c r="C54" s="2935">
        <f t="shared" si="46"/>
        <v>123.8968609865471</v>
      </c>
      <c r="D54" s="2935">
        <f t="shared" si="16"/>
        <v>123.8968609865471</v>
      </c>
      <c r="E54" s="2935">
        <f t="shared" si="47"/>
        <v>138.00507614213197</v>
      </c>
      <c r="F54" s="2935">
        <f t="shared" si="47"/>
        <v>107.96106557377048</v>
      </c>
      <c r="G54" s="3788">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2761</v>
      </c>
      <c r="B55" s="2935">
        <f t="shared" si="46"/>
        <v>122.57204301075269</v>
      </c>
      <c r="C55" s="2935">
        <f t="shared" si="46"/>
        <v>123.4932735426009</v>
      </c>
      <c r="D55" s="2935">
        <f t="shared" si="16"/>
        <v>123.4932735426009</v>
      </c>
      <c r="E55" s="2935">
        <f t="shared" si="47"/>
        <v>129.82233502538071</v>
      </c>
      <c r="F55" s="2935">
        <f t="shared" si="47"/>
        <v>107.39446721311475</v>
      </c>
      <c r="G55" s="3789">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2762</v>
      </c>
      <c r="B56" s="2969">
        <v>121</v>
      </c>
      <c r="C56" s="2969">
        <v>122</v>
      </c>
      <c r="D56" s="2969">
        <f t="shared" si="16"/>
        <v>122</v>
      </c>
      <c r="E56" s="2969">
        <v>124</v>
      </c>
      <c r="F56" s="2970">
        <v>107</v>
      </c>
      <c r="G56" s="3787">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2763</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88">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2764</v>
      </c>
      <c r="B58" s="2935">
        <f t="shared" si="50"/>
        <v>116.99099099099099</v>
      </c>
      <c r="C58" s="2935">
        <f t="shared" si="50"/>
        <v>118.84848484848486</v>
      </c>
      <c r="D58" s="2935">
        <f t="shared" si="16"/>
        <v>118.84848484848486</v>
      </c>
      <c r="E58" s="2935">
        <f t="shared" si="51"/>
        <v>117.60960960960961</v>
      </c>
      <c r="F58" s="2935">
        <f t="shared" si="51"/>
        <v>104</v>
      </c>
      <c r="G58" s="3788">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2765</v>
      </c>
      <c r="B59" s="2972">
        <f t="shared" si="50"/>
        <v>112.48648648648648</v>
      </c>
      <c r="C59" s="2972">
        <f t="shared" si="50"/>
        <v>115.21212121212122</v>
      </c>
      <c r="D59" s="2972">
        <f t="shared" si="16"/>
        <v>115.21212121212122</v>
      </c>
      <c r="E59" s="2972">
        <f t="shared" si="51"/>
        <v>110.4024024024024</v>
      </c>
      <c r="F59" s="2972">
        <f t="shared" si="51"/>
        <v>104</v>
      </c>
      <c r="G59" s="3789">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2766</v>
      </c>
      <c r="B60" s="2990">
        <v>111</v>
      </c>
      <c r="C60" s="2990">
        <v>114</v>
      </c>
      <c r="D60" s="2990">
        <f t="shared" si="16"/>
        <v>114</v>
      </c>
      <c r="E60" s="2990">
        <v>108</v>
      </c>
      <c r="F60" s="2991">
        <v>104</v>
      </c>
      <c r="G60" s="3787">
        <v>2003</v>
      </c>
      <c r="H60" s="2980">
        <v>4</v>
      </c>
      <c r="I60" s="2992"/>
      <c r="J60" s="2992"/>
      <c r="K60" s="2992"/>
      <c r="L60" s="2992"/>
      <c r="N60" s="2993"/>
      <c r="O60" s="2992"/>
      <c r="P60" s="2992"/>
      <c r="Q60" s="2992"/>
      <c r="S60" s="2993"/>
      <c r="T60" s="2992"/>
      <c r="U60" s="2992"/>
      <c r="V60" s="2992"/>
      <c r="X60" s="2984"/>
      <c r="Y60" s="2984"/>
      <c r="Z60" s="2984"/>
    </row>
    <row r="61" spans="1:26">
      <c r="A61" s="2915" t="s">
        <v>2767</v>
      </c>
      <c r="B61" s="2994">
        <f t="shared" ref="B61:C63" si="52">B62+(B$60-B$64)/4</f>
        <v>109.75</v>
      </c>
      <c r="C61" s="2994">
        <f t="shared" si="52"/>
        <v>112.25</v>
      </c>
      <c r="D61" s="2994">
        <f t="shared" si="16"/>
        <v>112.25</v>
      </c>
      <c r="E61" s="2994">
        <f t="shared" ref="E61:F63" si="53">E62+(E$60-E$64)/4</f>
        <v>107.25</v>
      </c>
      <c r="F61" s="2994">
        <f t="shared" si="53"/>
        <v>103.5</v>
      </c>
      <c r="G61" s="3788">
        <v>2003</v>
      </c>
      <c r="H61" s="2945">
        <v>3</v>
      </c>
      <c r="I61" s="2992"/>
      <c r="J61" s="2992"/>
      <c r="K61" s="2992"/>
      <c r="L61" s="2992"/>
      <c r="X61" s="2984"/>
      <c r="Y61" s="2984"/>
      <c r="Z61" s="2984"/>
    </row>
    <row r="62" spans="1:26">
      <c r="A62" s="2915" t="s">
        <v>2768</v>
      </c>
      <c r="B62" s="2994">
        <f t="shared" si="52"/>
        <v>108.5</v>
      </c>
      <c r="C62" s="2994">
        <f t="shared" si="52"/>
        <v>110.5</v>
      </c>
      <c r="D62" s="2994">
        <f t="shared" si="16"/>
        <v>110.5</v>
      </c>
      <c r="E62" s="2994">
        <f t="shared" si="53"/>
        <v>106.5</v>
      </c>
      <c r="F62" s="2994">
        <f t="shared" si="53"/>
        <v>103</v>
      </c>
      <c r="G62" s="3788">
        <v>2003</v>
      </c>
      <c r="H62" s="2921">
        <v>2</v>
      </c>
      <c r="I62" s="2992"/>
      <c r="J62" s="2992"/>
      <c r="K62" s="2992"/>
      <c r="L62" s="2992"/>
      <c r="X62" s="2984"/>
      <c r="Y62" s="2984"/>
      <c r="Z62" s="2984"/>
    </row>
    <row r="63" spans="1:26" ht="13.5" thickBot="1">
      <c r="A63" s="2915" t="s">
        <v>2769</v>
      </c>
      <c r="B63" s="2994">
        <f t="shared" si="52"/>
        <v>107.25</v>
      </c>
      <c r="C63" s="2994">
        <f t="shared" si="52"/>
        <v>108.75</v>
      </c>
      <c r="D63" s="2994">
        <f t="shared" si="16"/>
        <v>108.75</v>
      </c>
      <c r="E63" s="2994">
        <f t="shared" si="53"/>
        <v>105.75</v>
      </c>
      <c r="F63" s="2994">
        <f t="shared" si="53"/>
        <v>102.5</v>
      </c>
      <c r="G63" s="3789">
        <v>2003</v>
      </c>
      <c r="H63" s="2995">
        <v>1</v>
      </c>
      <c r="I63" s="2992"/>
      <c r="J63" s="2992"/>
      <c r="K63" s="2992"/>
      <c r="L63" s="2992"/>
      <c r="S63" s="2930"/>
      <c r="T63" s="2931"/>
      <c r="U63" s="2931"/>
      <c r="X63" s="2984"/>
      <c r="Y63" s="2984"/>
      <c r="Z63" s="2984"/>
    </row>
    <row r="64" spans="1:26" ht="13.5" thickBot="1">
      <c r="A64" s="2915" t="s">
        <v>2770</v>
      </c>
      <c r="B64" s="2996">
        <v>106</v>
      </c>
      <c r="C64" s="2996">
        <v>107</v>
      </c>
      <c r="D64" s="2996">
        <f t="shared" si="16"/>
        <v>107</v>
      </c>
      <c r="E64" s="2996">
        <v>105</v>
      </c>
      <c r="F64" s="2997">
        <v>102</v>
      </c>
      <c r="G64" s="3787">
        <v>2002</v>
      </c>
      <c r="H64" s="2940">
        <v>4</v>
      </c>
      <c r="I64" s="2992"/>
      <c r="J64" s="2992"/>
      <c r="K64" s="2992"/>
      <c r="L64" s="2992"/>
      <c r="N64" s="2993"/>
      <c r="O64" s="2992"/>
      <c r="P64" s="2992"/>
      <c r="Q64" s="2992"/>
      <c r="S64" s="2993"/>
      <c r="T64" s="2992"/>
      <c r="U64" s="2992"/>
      <c r="V64" s="2992"/>
      <c r="X64" s="2984"/>
      <c r="Y64" s="2984"/>
      <c r="Z64" s="2984"/>
    </row>
    <row r="65" spans="1:26">
      <c r="A65" s="2915" t="s">
        <v>2771</v>
      </c>
      <c r="B65" s="2994">
        <f t="shared" ref="B65:C67" si="54">B66+(B$64-B$68)/4</f>
        <v>105</v>
      </c>
      <c r="C65" s="2994">
        <f t="shared" si="54"/>
        <v>106</v>
      </c>
      <c r="D65" s="2994">
        <f t="shared" si="16"/>
        <v>106</v>
      </c>
      <c r="E65" s="2994">
        <f t="shared" ref="E65:F67" si="55">E66+(E$64-E$68)/4</f>
        <v>104.5</v>
      </c>
      <c r="F65" s="2994">
        <f t="shared" si="55"/>
        <v>101.5</v>
      </c>
      <c r="G65" s="3788">
        <v>2002</v>
      </c>
      <c r="H65" s="2945">
        <v>3</v>
      </c>
      <c r="I65" s="2992"/>
      <c r="J65" s="2992"/>
      <c r="K65" s="2992"/>
      <c r="L65" s="2992"/>
      <c r="X65" s="2984"/>
      <c r="Y65" s="2984"/>
      <c r="Z65" s="2984"/>
    </row>
    <row r="66" spans="1:26">
      <c r="A66" s="2915" t="s">
        <v>2772</v>
      </c>
      <c r="B66" s="2994">
        <f t="shared" si="54"/>
        <v>104</v>
      </c>
      <c r="C66" s="2994">
        <f t="shared" si="54"/>
        <v>105</v>
      </c>
      <c r="D66" s="2994">
        <f t="shared" si="16"/>
        <v>105</v>
      </c>
      <c r="E66" s="2994">
        <f t="shared" si="55"/>
        <v>104</v>
      </c>
      <c r="F66" s="2994">
        <f t="shared" si="55"/>
        <v>101</v>
      </c>
      <c r="G66" s="3788">
        <v>2002</v>
      </c>
      <c r="H66" s="2921">
        <v>2</v>
      </c>
      <c r="I66" s="2992"/>
      <c r="J66" s="2992"/>
      <c r="K66" s="2992"/>
      <c r="L66" s="2992"/>
      <c r="X66" s="2984"/>
      <c r="Y66" s="2984"/>
      <c r="Z66" s="2984"/>
    </row>
    <row r="67" spans="1:26" s="2956" customFormat="1" ht="13.5" thickBot="1">
      <c r="A67" s="2952" t="s">
        <v>2773</v>
      </c>
      <c r="B67" s="2998">
        <f t="shared" si="54"/>
        <v>103</v>
      </c>
      <c r="C67" s="2998">
        <f t="shared" si="54"/>
        <v>104</v>
      </c>
      <c r="D67" s="2998">
        <f t="shared" si="16"/>
        <v>104</v>
      </c>
      <c r="E67" s="2998">
        <f t="shared" si="55"/>
        <v>103.5</v>
      </c>
      <c r="F67" s="2998">
        <f t="shared" si="55"/>
        <v>100.5</v>
      </c>
      <c r="G67" s="3789">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2774</v>
      </c>
      <c r="G70" s="3008"/>
      <c r="N70" s="3008"/>
      <c r="S70" s="3008"/>
    </row>
    <row r="71" spans="1:26" s="3007" customFormat="1">
      <c r="A71" s="3007" t="s">
        <v>2775</v>
      </c>
      <c r="G71" s="3008"/>
      <c r="N71" s="3008"/>
      <c r="S71" s="3008"/>
    </row>
    <row r="72" spans="1:26" s="3007" customFormat="1">
      <c r="A72" s="3007" t="s">
        <v>2776</v>
      </c>
      <c r="G72" s="3008"/>
      <c r="I72" s="3009"/>
      <c r="J72" s="3009"/>
      <c r="K72" s="3009"/>
      <c r="L72" s="3009"/>
      <c r="N72" s="3010"/>
      <c r="O72" s="3009"/>
      <c r="P72" s="3009"/>
      <c r="Q72" s="3009"/>
      <c r="S72" s="3010"/>
      <c r="T72" s="3009"/>
      <c r="U72" s="3009"/>
      <c r="V72" s="3009"/>
    </row>
    <row r="73" spans="1:26" s="3007" customFormat="1">
      <c r="A73" s="3007" t="s">
        <v>2777</v>
      </c>
      <c r="G73" s="3008"/>
      <c r="N73" s="3008"/>
      <c r="S73" s="3008"/>
    </row>
    <row r="80" spans="1:26" ht="13.5" thickBot="1"/>
    <row r="81" spans="14:22" s="2929" customFormat="1">
      <c r="N81" s="2944"/>
      <c r="S81" s="3011" t="s">
        <v>2778</v>
      </c>
      <c r="T81" s="3012" t="s">
        <v>2779</v>
      </c>
      <c r="U81" s="3012" t="s">
        <v>2780</v>
      </c>
      <c r="V81" s="3012" t="s">
        <v>2781</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41" t="s">
        <v>2381</v>
      </c>
      <c r="C1" s="3798" t="s">
        <v>2382</v>
      </c>
      <c r="D1" s="3799"/>
      <c r="E1" s="3799"/>
      <c r="F1" s="3799"/>
      <c r="G1" s="3799"/>
      <c r="H1" s="3799"/>
      <c r="I1" s="3799"/>
      <c r="J1" s="3799"/>
      <c r="K1" s="3799"/>
      <c r="L1" s="3799"/>
      <c r="M1" s="3799"/>
      <c r="N1" s="3799"/>
      <c r="O1" s="3799"/>
      <c r="P1" s="3799"/>
      <c r="Q1" s="3799"/>
      <c r="R1" s="3799"/>
      <c r="S1" s="3800"/>
      <c r="T1" s="2441" t="s">
        <v>2383</v>
      </c>
    </row>
    <row r="2" spans="1:45" s="1115" customFormat="1">
      <c r="A2" s="2442"/>
      <c r="B2" s="1111" t="s">
        <v>2384</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3"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4"/>
      <c r="B3" s="1116"/>
      <c r="C3" s="1117"/>
      <c r="D3" s="1118"/>
      <c r="E3" s="1118"/>
      <c r="F3" s="3207"/>
      <c r="G3" s="3207"/>
      <c r="H3" s="3207"/>
      <c r="I3" s="3207"/>
      <c r="J3" s="3207"/>
      <c r="K3" s="3207"/>
      <c r="L3" s="3208"/>
      <c r="M3" s="3209"/>
      <c r="N3" s="3209"/>
      <c r="O3" s="3207"/>
      <c r="P3" s="3207"/>
      <c r="Q3" s="3207"/>
      <c r="R3" s="3207"/>
      <c r="S3" s="3210"/>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5"/>
      <c r="B4" s="2446"/>
      <c r="C4" s="2447"/>
      <c r="D4" s="2448"/>
      <c r="E4" s="2448"/>
      <c r="F4" s="3211"/>
      <c r="G4" s="3211"/>
      <c r="H4" s="3211"/>
      <c r="I4" s="3211"/>
      <c r="J4" s="3211"/>
      <c r="K4" s="3211"/>
      <c r="L4" s="3211"/>
      <c r="M4" s="3212"/>
      <c r="N4" s="3212"/>
      <c r="O4" s="3211"/>
      <c r="P4" s="3211"/>
      <c r="Q4" s="3211"/>
      <c r="R4" s="3211"/>
      <c r="S4" s="3213"/>
      <c r="T4" s="2451"/>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2"/>
      <c r="B5" s="3305" t="s">
        <v>3029</v>
      </c>
      <c r="C5" s="2453"/>
      <c r="D5" s="2454"/>
      <c r="E5" s="2454"/>
      <c r="F5" s="3214"/>
      <c r="G5" s="3214"/>
      <c r="H5" s="3214"/>
      <c r="I5" s="3214"/>
      <c r="J5" s="3214"/>
      <c r="K5" s="3214"/>
      <c r="L5" s="3215"/>
      <c r="M5" s="3216"/>
      <c r="N5" s="3216"/>
      <c r="O5" s="3214"/>
      <c r="P5" s="3214"/>
      <c r="Q5" s="3214"/>
      <c r="R5" s="3214"/>
      <c r="S5" s="3217"/>
      <c r="T5" s="2456"/>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2"/>
      <c r="B6" s="2203"/>
      <c r="C6" s="2209">
        <v>100</v>
      </c>
      <c r="D6" s="2206">
        <f>C6-$T5</f>
        <v>100</v>
      </c>
      <c r="E6" s="2206">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2"/>
      <c r="B7" s="3306" t="s">
        <v>3028</v>
      </c>
      <c r="C7" s="2208"/>
      <c r="D7" s="2202"/>
      <c r="E7" s="2202"/>
      <c r="F7" s="3219"/>
      <c r="G7" s="3219"/>
      <c r="H7" s="3219"/>
      <c r="I7" s="3219"/>
      <c r="J7" s="3219"/>
      <c r="K7" s="3219"/>
      <c r="L7" s="3219"/>
      <c r="M7" s="3220"/>
      <c r="N7" s="3221"/>
      <c r="O7" s="3222"/>
      <c r="P7" s="3223"/>
      <c r="Q7" s="3224"/>
      <c r="R7" s="3225"/>
      <c r="S7" s="3226"/>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2"/>
      <c r="B8" s="2203"/>
      <c r="C8" s="2209">
        <v>100</v>
      </c>
      <c r="D8" s="2206">
        <f>C8-$T7</f>
        <v>100</v>
      </c>
      <c r="E8" s="2206">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2"/>
      <c r="B9" s="3306" t="s">
        <v>3027</v>
      </c>
      <c r="C9" s="2208"/>
      <c r="D9" s="2202"/>
      <c r="E9" s="2202"/>
      <c r="F9" s="3219"/>
      <c r="G9" s="3219"/>
      <c r="H9" s="3219"/>
      <c r="I9" s="3219"/>
      <c r="J9" s="3219"/>
      <c r="K9" s="3219"/>
      <c r="L9" s="3227"/>
      <c r="M9" s="3220"/>
      <c r="N9" s="3221"/>
      <c r="O9" s="3222"/>
      <c r="P9" s="3223"/>
      <c r="Q9" s="3224"/>
      <c r="R9" s="3225"/>
      <c r="S9" s="3226"/>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2"/>
      <c r="B10" s="2446"/>
      <c r="C10" s="2457">
        <v>100</v>
      </c>
      <c r="D10" s="2458">
        <f>C10-$T9</f>
        <v>100</v>
      </c>
      <c r="E10" s="2458">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51"/>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2"/>
      <c r="B11" s="3305" t="s">
        <v>3026</v>
      </c>
      <c r="C11" s="2453"/>
      <c r="D11" s="2454"/>
      <c r="E11" s="2454"/>
      <c r="F11" s="2454"/>
      <c r="G11" s="2454"/>
      <c r="H11" s="2454"/>
      <c r="I11" s="2454"/>
      <c r="J11" s="2454"/>
      <c r="K11" s="2454"/>
      <c r="L11" s="2454"/>
      <c r="M11" s="2455"/>
      <c r="N11" s="2459"/>
      <c r="O11" s="2460"/>
      <c r="P11" s="2461"/>
      <c r="Q11" s="2462"/>
      <c r="R11" s="2463"/>
      <c r="S11" s="2464"/>
      <c r="T11" s="2456"/>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2"/>
      <c r="B13" s="3305" t="s">
        <v>3025</v>
      </c>
      <c r="C13" s="2453"/>
      <c r="D13" s="2454"/>
      <c r="E13" s="2454"/>
      <c r="F13" s="2454"/>
      <c r="G13" s="2454"/>
      <c r="H13" s="2454"/>
      <c r="I13" s="2454"/>
      <c r="J13" s="2454"/>
      <c r="K13" s="2454"/>
      <c r="L13" s="2454"/>
      <c r="M13" s="2455"/>
      <c r="N13" s="2459"/>
      <c r="O13" s="2460"/>
      <c r="P13" s="2461"/>
      <c r="Q13" s="2462"/>
      <c r="R13" s="2463"/>
      <c r="S13" s="2464"/>
      <c r="T13" s="2465"/>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2"/>
      <c r="B15" s="3305" t="s">
        <v>3024</v>
      </c>
      <c r="C15" s="2453"/>
      <c r="D15" s="2454"/>
      <c r="E15" s="2454"/>
      <c r="F15" s="2454"/>
      <c r="G15" s="2454"/>
      <c r="H15" s="2454"/>
      <c r="I15" s="2454"/>
      <c r="J15" s="2454"/>
      <c r="K15" s="2454"/>
      <c r="L15" s="2454"/>
      <c r="M15" s="2455"/>
      <c r="N15" s="2459"/>
      <c r="O15" s="2460"/>
      <c r="P15" s="2461"/>
      <c r="Q15" s="2462"/>
      <c r="R15" s="2463"/>
      <c r="S15" s="2464"/>
      <c r="T15" s="2465"/>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4" t="s">
        <v>2385</v>
      </c>
      <c r="B17" s="2485" t="s">
        <v>2386</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3"/>
      <c r="AS17" s="1463"/>
    </row>
    <row r="18" spans="1:45" s="1115"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3"/>
      <c r="AS18" s="1463"/>
    </row>
    <row r="19" spans="1:45">
      <c r="A19" s="469"/>
      <c r="B19" s="500"/>
      <c r="C19" s="500"/>
      <c r="D19" s="3356" t="s">
        <v>3062</v>
      </c>
      <c r="E19" s="3351"/>
      <c r="F19" s="3351"/>
      <c r="G19" s="3351"/>
      <c r="H19" s="2538"/>
      <c r="I19" s="500"/>
      <c r="J19" s="500"/>
      <c r="K19" s="500"/>
      <c r="L19" s="500"/>
      <c r="M19" s="500"/>
      <c r="N19" s="500"/>
      <c r="O19" s="500"/>
      <c r="P19" s="500"/>
      <c r="Q19" s="500"/>
      <c r="R19" s="1415"/>
      <c r="S19" s="469"/>
    </row>
    <row r="20" spans="1:45" ht="16.5" thickBot="1">
      <c r="A20" s="1123" t="s">
        <v>520</v>
      </c>
      <c r="B20" s="673" t="e">
        <f ca="1">IF(D20="——",S22,S22-F20)</f>
        <v>#REF!</v>
      </c>
      <c r="C20" s="500"/>
      <c r="D20" s="3352" t="s">
        <v>3063</v>
      </c>
      <c r="E20" s="3353"/>
      <c r="F20" s="2441" t="e">
        <f ca="1">SUMIF(INDIRECT("'"&amp;H20&amp;"'"&amp;"!A:A"),"承租人权益价值",INDIRECT("'"&amp;H20&amp;"'"&amp;"!c:c"))</f>
        <v>#REF!</v>
      </c>
      <c r="G20" s="3354" t="s">
        <v>3050</v>
      </c>
      <c r="H20" s="3355"/>
      <c r="I20" s="500"/>
      <c r="J20" s="500"/>
      <c r="K20" s="500"/>
      <c r="L20" s="500"/>
      <c r="M20" s="500"/>
      <c r="N20" s="500"/>
      <c r="O20" s="500"/>
      <c r="P20" s="500"/>
      <c r="Q20" s="500"/>
      <c r="R20" s="1415"/>
      <c r="S20" s="469"/>
    </row>
    <row r="21" spans="1:45" ht="15.75">
      <c r="A21" s="1123" t="s">
        <v>521</v>
      </c>
      <c r="B21" s="673">
        <f>R22</f>
        <v>10000</v>
      </c>
      <c r="C21" s="500"/>
      <c r="D21" s="500"/>
      <c r="E21" s="500"/>
      <c r="F21" s="500"/>
      <c r="G21" s="500"/>
      <c r="H21" s="500"/>
      <c r="I21" s="500"/>
      <c r="J21" s="500"/>
      <c r="K21" s="500"/>
      <c r="L21" s="500"/>
      <c r="M21" s="500"/>
      <c r="N21" s="500"/>
      <c r="O21" s="500"/>
      <c r="P21" s="500"/>
      <c r="Q21" s="500"/>
      <c r="R21" s="1415"/>
      <c r="S21" s="469"/>
    </row>
    <row r="22" spans="1:45">
      <c r="A22" s="698" t="s">
        <v>522</v>
      </c>
      <c r="B22" s="313">
        <f>SUM(B24:B10000)</f>
        <v>100</v>
      </c>
      <c r="C22" s="3795" t="s">
        <v>168</v>
      </c>
      <c r="D22" s="3796"/>
      <c r="E22" s="3796"/>
      <c r="F22" s="3796"/>
      <c r="G22" s="3796"/>
      <c r="H22" s="3796"/>
      <c r="I22" s="3796"/>
      <c r="J22" s="3796"/>
      <c r="K22" s="3796"/>
      <c r="L22" s="3796"/>
      <c r="M22" s="3796"/>
      <c r="N22" s="3796"/>
      <c r="O22" s="3796"/>
      <c r="P22" s="3796"/>
      <c r="Q22" s="3797"/>
      <c r="R22" s="1124">
        <f>ROUND(S22*10000/B22,0)</f>
        <v>10000</v>
      </c>
      <c r="S22" s="313">
        <f>SUM(S24:S10000)</f>
        <v>100</v>
      </c>
    </row>
    <row r="23" spans="1:45" s="300" customFormat="1" ht="24">
      <c r="A23" s="299" t="s">
        <v>523</v>
      </c>
      <c r="B23" s="299" t="s">
        <v>524</v>
      </c>
      <c r="C23" s="299" t="s">
        <v>525</v>
      </c>
      <c r="D23" s="299" t="str">
        <f>B5</f>
        <v>修正项2</v>
      </c>
      <c r="E23" s="299" t="s">
        <v>525</v>
      </c>
      <c r="F23" s="299" t="str">
        <f>B7</f>
        <v>修正项3</v>
      </c>
      <c r="G23" s="299" t="s">
        <v>525</v>
      </c>
      <c r="H23" s="299" t="str">
        <f>B9</f>
        <v>修正项4</v>
      </c>
      <c r="I23" s="299" t="s">
        <v>525</v>
      </c>
      <c r="J23" s="299" t="str">
        <f>B11</f>
        <v>修正项5</v>
      </c>
      <c r="K23" s="299" t="s">
        <v>525</v>
      </c>
      <c r="L23" s="299" t="str">
        <f>B13</f>
        <v>修正项6</v>
      </c>
      <c r="M23" s="299" t="s">
        <v>525</v>
      </c>
      <c r="N23" s="299" t="str">
        <f>B15</f>
        <v>修正项7</v>
      </c>
      <c r="O23" s="299" t="s">
        <v>525</v>
      </c>
      <c r="P23" s="299" t="str">
        <f>B17</f>
        <v>楼层</v>
      </c>
      <c r="Q23" s="299" t="s">
        <v>525</v>
      </c>
      <c r="R23" s="1125" t="s">
        <v>526</v>
      </c>
      <c r="S23" s="299" t="s">
        <v>527</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528</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1"/>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8">
        <f t="shared" si="11"/>
        <v>0</v>
      </c>
    </row>
    <row r="26" spans="1:45">
      <c r="A26" s="491"/>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8">
        <f t="shared" si="11"/>
        <v>0</v>
      </c>
    </row>
    <row r="27" spans="1:45">
      <c r="A27" s="491"/>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8">
        <f t="shared" si="11"/>
        <v>0</v>
      </c>
    </row>
    <row r="28" spans="1:45">
      <c r="A28" s="491"/>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8">
        <f t="shared" si="11"/>
        <v>0</v>
      </c>
    </row>
    <row r="29" spans="1:45">
      <c r="A29" s="491"/>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8">
        <f t="shared" si="11"/>
        <v>0</v>
      </c>
    </row>
    <row r="30" spans="1:45">
      <c r="A30" s="491"/>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8">
        <f t="shared" si="11"/>
        <v>0</v>
      </c>
    </row>
    <row r="31" spans="1:45">
      <c r="A31" s="491"/>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8">
        <f t="shared" si="11"/>
        <v>0</v>
      </c>
    </row>
    <row r="32" spans="1:45">
      <c r="A32" s="491"/>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8">
        <f t="shared" si="11"/>
        <v>0</v>
      </c>
    </row>
    <row r="33" spans="1:19">
      <c r="A33" s="491"/>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8">
        <f t="shared" si="11"/>
        <v>0</v>
      </c>
    </row>
    <row r="34" spans="1:19">
      <c r="A34" s="491"/>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8">
        <f t="shared" si="11"/>
        <v>0</v>
      </c>
    </row>
    <row r="35" spans="1:19">
      <c r="A35" s="491"/>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8">
        <f t="shared" si="11"/>
        <v>0</v>
      </c>
    </row>
    <row r="36" spans="1:19">
      <c r="A36" s="491"/>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8">
        <f t="shared" si="11"/>
        <v>0</v>
      </c>
    </row>
    <row r="37" spans="1:19">
      <c r="A37" s="491"/>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8">
        <f t="shared" si="11"/>
        <v>0</v>
      </c>
    </row>
    <row r="38" spans="1:19">
      <c r="A38" s="491"/>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8">
        <f t="shared" si="11"/>
        <v>0</v>
      </c>
    </row>
    <row r="39" spans="1:19">
      <c r="A39" s="491"/>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8">
        <f t="shared" si="11"/>
        <v>0</v>
      </c>
    </row>
    <row r="40" spans="1:19">
      <c r="A40" s="491"/>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8">
        <f t="shared" si="11"/>
        <v>0</v>
      </c>
    </row>
    <row r="41" spans="1:19">
      <c r="A41" s="491"/>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8">
        <f t="shared" si="11"/>
        <v>0</v>
      </c>
    </row>
    <row r="42" spans="1:19">
      <c r="A42" s="491"/>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8">
        <f t="shared" si="11"/>
        <v>0</v>
      </c>
    </row>
    <row r="43" spans="1:19">
      <c r="A43" s="491"/>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8">
        <f t="shared" si="11"/>
        <v>0</v>
      </c>
    </row>
    <row r="44" spans="1:19">
      <c r="A44" s="491"/>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8">
        <f t="shared" si="11"/>
        <v>0</v>
      </c>
    </row>
    <row r="45" spans="1:19">
      <c r="A45" s="491"/>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8">
        <f t="shared" si="11"/>
        <v>0</v>
      </c>
    </row>
    <row r="46" spans="1:19">
      <c r="A46" s="491"/>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8">
        <f t="shared" si="11"/>
        <v>0</v>
      </c>
    </row>
    <row r="47" spans="1:19">
      <c r="A47" s="491"/>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8">
        <f t="shared" si="11"/>
        <v>0</v>
      </c>
    </row>
    <row r="48" spans="1:19">
      <c r="A48" s="491"/>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8">
        <f t="shared" si="11"/>
        <v>0</v>
      </c>
    </row>
    <row r="49" spans="1:19">
      <c r="A49" s="491"/>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8">
        <f t="shared" si="11"/>
        <v>0</v>
      </c>
    </row>
    <row r="50" spans="1:19">
      <c r="A50" s="491"/>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8">
        <f t="shared" si="11"/>
        <v>0</v>
      </c>
    </row>
    <row r="51" spans="1:19">
      <c r="A51" s="491"/>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8">
        <f t="shared" si="11"/>
        <v>0</v>
      </c>
    </row>
    <row r="52" spans="1:19">
      <c r="A52" s="491"/>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8">
        <f t="shared" si="11"/>
        <v>0</v>
      </c>
    </row>
    <row r="53" spans="1:19">
      <c r="A53" s="491"/>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8">
        <f t="shared" si="11"/>
        <v>0</v>
      </c>
    </row>
    <row r="54" spans="1:19">
      <c r="A54" s="491"/>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8">
        <f t="shared" si="11"/>
        <v>0</v>
      </c>
    </row>
    <row r="55" spans="1:19">
      <c r="A55" s="491"/>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8">
        <f t="shared" ref="S55:S77" si="21">ROUND(R55*B55/10000,0)</f>
        <v>0</v>
      </c>
    </row>
    <row r="56" spans="1:19">
      <c r="A56" s="491"/>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8">
        <f t="shared" si="21"/>
        <v>0</v>
      </c>
    </row>
    <row r="57" spans="1:19">
      <c r="A57" s="491"/>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8">
        <f t="shared" si="21"/>
        <v>0</v>
      </c>
    </row>
    <row r="58" spans="1:19">
      <c r="A58" s="491"/>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8">
        <f t="shared" si="21"/>
        <v>0</v>
      </c>
    </row>
    <row r="59" spans="1:19">
      <c r="A59" s="491"/>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8">
        <f t="shared" si="21"/>
        <v>0</v>
      </c>
    </row>
    <row r="60" spans="1:19">
      <c r="A60" s="491"/>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8">
        <f t="shared" si="21"/>
        <v>0</v>
      </c>
    </row>
    <row r="61" spans="1:19">
      <c r="A61" s="491"/>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8">
        <f t="shared" si="21"/>
        <v>0</v>
      </c>
    </row>
    <row r="62" spans="1:19">
      <c r="A62" s="491"/>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8">
        <f t="shared" si="21"/>
        <v>0</v>
      </c>
    </row>
    <row r="63" spans="1:19">
      <c r="A63" s="491"/>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8">
        <f t="shared" si="21"/>
        <v>0</v>
      </c>
    </row>
    <row r="64" spans="1:19">
      <c r="A64" s="491"/>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8">
        <f t="shared" si="21"/>
        <v>0</v>
      </c>
    </row>
    <row r="65" spans="1:19">
      <c r="A65" s="491"/>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8">
        <f t="shared" si="21"/>
        <v>0</v>
      </c>
    </row>
    <row r="66" spans="1:19">
      <c r="A66" s="491"/>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8">
        <f t="shared" si="21"/>
        <v>0</v>
      </c>
    </row>
    <row r="67" spans="1:19">
      <c r="A67" s="491"/>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8">
        <f t="shared" si="21"/>
        <v>0</v>
      </c>
    </row>
    <row r="68" spans="1:19">
      <c r="A68" s="491"/>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8">
        <f t="shared" si="21"/>
        <v>0</v>
      </c>
    </row>
    <row r="69" spans="1:19">
      <c r="A69" s="491"/>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8">
        <f t="shared" si="21"/>
        <v>0</v>
      </c>
    </row>
    <row r="70" spans="1:19">
      <c r="A70" s="491"/>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8">
        <f t="shared" si="21"/>
        <v>0</v>
      </c>
    </row>
    <row r="71" spans="1:19">
      <c r="A71" s="491"/>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8">
        <f t="shared" si="21"/>
        <v>0</v>
      </c>
    </row>
    <row r="72" spans="1:19">
      <c r="A72" s="491"/>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8">
        <f t="shared" si="21"/>
        <v>0</v>
      </c>
    </row>
    <row r="73" spans="1:19">
      <c r="A73" s="491"/>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8">
        <f t="shared" si="21"/>
        <v>0</v>
      </c>
    </row>
    <row r="74" spans="1:19">
      <c r="A74" s="491"/>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8">
        <f t="shared" si="21"/>
        <v>0</v>
      </c>
    </row>
    <row r="75" spans="1:19">
      <c r="A75" s="491"/>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8">
        <f t="shared" si="21"/>
        <v>0</v>
      </c>
    </row>
    <row r="76" spans="1:19">
      <c r="A76" s="491"/>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8">
        <f t="shared" si="21"/>
        <v>0</v>
      </c>
    </row>
    <row r="77" spans="1:19">
      <c r="A77" s="491"/>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8">
        <f t="shared" si="21"/>
        <v>0</v>
      </c>
    </row>
    <row r="78" spans="1:19">
      <c r="A78" s="491"/>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8">
        <f t="shared" ref="S78:S122" si="22">ROUND(R78*B78/10000,0)</f>
        <v>0</v>
      </c>
    </row>
    <row r="79" spans="1:19">
      <c r="A79" s="491"/>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8">
        <f t="shared" si="22"/>
        <v>0</v>
      </c>
    </row>
    <row r="80" spans="1:19">
      <c r="A80" s="491"/>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8">
        <f t="shared" si="22"/>
        <v>0</v>
      </c>
    </row>
    <row r="81" spans="1:19">
      <c r="A81" s="491"/>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8">
        <f t="shared" si="22"/>
        <v>0</v>
      </c>
    </row>
    <row r="82" spans="1:19">
      <c r="A82" s="491"/>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8">
        <f t="shared" si="22"/>
        <v>0</v>
      </c>
    </row>
    <row r="83" spans="1:19">
      <c r="A83" s="491"/>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8">
        <f t="shared" si="22"/>
        <v>0</v>
      </c>
    </row>
    <row r="84" spans="1:19">
      <c r="A84" s="491"/>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8">
        <f t="shared" si="22"/>
        <v>0</v>
      </c>
    </row>
    <row r="85" spans="1:19">
      <c r="A85" s="491"/>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8">
        <f t="shared" si="22"/>
        <v>0</v>
      </c>
    </row>
    <row r="86" spans="1:19">
      <c r="A86" s="491"/>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8">
        <f t="shared" si="22"/>
        <v>0</v>
      </c>
    </row>
    <row r="87" spans="1:19">
      <c r="A87" s="491"/>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8">
        <f t="shared" si="22"/>
        <v>0</v>
      </c>
    </row>
    <row r="88" spans="1:19">
      <c r="A88" s="491"/>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8">
        <f t="shared" si="22"/>
        <v>0</v>
      </c>
    </row>
    <row r="89" spans="1:19">
      <c r="A89" s="491"/>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8">
        <f t="shared" si="22"/>
        <v>0</v>
      </c>
    </row>
    <row r="90" spans="1:19">
      <c r="A90" s="491"/>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8">
        <f t="shared" si="22"/>
        <v>0</v>
      </c>
    </row>
    <row r="91" spans="1:19">
      <c r="A91" s="491"/>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8">
        <f t="shared" si="22"/>
        <v>0</v>
      </c>
    </row>
    <row r="92" spans="1:19">
      <c r="A92" s="491"/>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8">
        <f t="shared" si="22"/>
        <v>0</v>
      </c>
    </row>
    <row r="93" spans="1:19">
      <c r="A93" s="491"/>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8">
        <f t="shared" si="22"/>
        <v>0</v>
      </c>
    </row>
    <row r="94" spans="1:19">
      <c r="A94" s="491"/>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8">
        <f t="shared" si="22"/>
        <v>0</v>
      </c>
    </row>
    <row r="95" spans="1:19">
      <c r="A95" s="491"/>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8">
        <f t="shared" si="22"/>
        <v>0</v>
      </c>
    </row>
    <row r="96" spans="1:19">
      <c r="A96" s="491"/>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8">
        <f t="shared" si="22"/>
        <v>0</v>
      </c>
    </row>
    <row r="97" spans="1:19">
      <c r="A97" s="491"/>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8">
        <f t="shared" si="22"/>
        <v>0</v>
      </c>
    </row>
    <row r="98" spans="1:19">
      <c r="A98" s="491"/>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8">
        <f t="shared" si="22"/>
        <v>0</v>
      </c>
    </row>
    <row r="99" spans="1:19">
      <c r="A99" s="491"/>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8">
        <f t="shared" si="22"/>
        <v>0</v>
      </c>
    </row>
    <row r="100" spans="1:19">
      <c r="A100" s="491"/>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8">
        <f t="shared" si="22"/>
        <v>0</v>
      </c>
    </row>
    <row r="101" spans="1:19">
      <c r="A101" s="491"/>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8">
        <f t="shared" si="22"/>
        <v>0</v>
      </c>
    </row>
    <row r="102" spans="1:19">
      <c r="A102" s="491"/>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8">
        <f t="shared" si="22"/>
        <v>0</v>
      </c>
    </row>
    <row r="103" spans="1:19">
      <c r="A103" s="491"/>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8">
        <f t="shared" si="22"/>
        <v>0</v>
      </c>
    </row>
    <row r="104" spans="1:19">
      <c r="A104" s="491"/>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8">
        <f t="shared" si="22"/>
        <v>0</v>
      </c>
    </row>
    <row r="105" spans="1:19">
      <c r="A105" s="491"/>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8">
        <f t="shared" si="22"/>
        <v>0</v>
      </c>
    </row>
    <row r="106" spans="1:19">
      <c r="A106" s="491"/>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8">
        <f t="shared" si="22"/>
        <v>0</v>
      </c>
    </row>
    <row r="107" spans="1:19">
      <c r="A107" s="491"/>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8">
        <f t="shared" si="22"/>
        <v>0</v>
      </c>
    </row>
    <row r="108" spans="1:19">
      <c r="A108" s="491"/>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8">
        <f t="shared" si="22"/>
        <v>0</v>
      </c>
    </row>
    <row r="109" spans="1:19">
      <c r="A109" s="491"/>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8">
        <f t="shared" si="22"/>
        <v>0</v>
      </c>
    </row>
    <row r="110" spans="1:19">
      <c r="A110" s="491"/>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8">
        <f t="shared" si="22"/>
        <v>0</v>
      </c>
    </row>
    <row r="111" spans="1:19">
      <c r="A111" s="491"/>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8">
        <f t="shared" si="22"/>
        <v>0</v>
      </c>
    </row>
    <row r="112" spans="1:19">
      <c r="A112" s="491"/>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8">
        <f t="shared" si="22"/>
        <v>0</v>
      </c>
    </row>
    <row r="113" spans="1:19">
      <c r="A113" s="491"/>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8">
        <f t="shared" si="22"/>
        <v>0</v>
      </c>
    </row>
    <row r="114" spans="1:19">
      <c r="A114" s="491"/>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8">
        <f t="shared" si="22"/>
        <v>0</v>
      </c>
    </row>
    <row r="115" spans="1:19">
      <c r="A115" s="491"/>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8">
        <f t="shared" si="22"/>
        <v>0</v>
      </c>
    </row>
    <row r="116" spans="1:19">
      <c r="A116" s="491"/>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8">
        <f t="shared" si="22"/>
        <v>0</v>
      </c>
    </row>
    <row r="117" spans="1:19">
      <c r="A117" s="491"/>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8">
        <f t="shared" si="22"/>
        <v>0</v>
      </c>
    </row>
    <row r="118" spans="1:19">
      <c r="A118" s="491"/>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8">
        <f t="shared" si="22"/>
        <v>0</v>
      </c>
    </row>
    <row r="119" spans="1:19">
      <c r="A119" s="491"/>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8">
        <f t="shared" si="22"/>
        <v>0</v>
      </c>
    </row>
    <row r="120" spans="1:19">
      <c r="A120" s="491"/>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8">
        <f t="shared" si="22"/>
        <v>0</v>
      </c>
    </row>
    <row r="121" spans="1:19">
      <c r="A121" s="491"/>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8">
        <f t="shared" si="22"/>
        <v>0</v>
      </c>
    </row>
    <row r="122" spans="1:19">
      <c r="A122" s="491"/>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8">
        <f t="shared" si="22"/>
        <v>0</v>
      </c>
    </row>
    <row r="123" spans="1:19">
      <c r="A123" s="491"/>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8">
        <f t="shared" ref="S123:S186" si="32">ROUND(R123*B123/10000,0)</f>
        <v>0</v>
      </c>
    </row>
    <row r="124" spans="1:19">
      <c r="A124" s="491"/>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8">
        <f t="shared" si="32"/>
        <v>0</v>
      </c>
    </row>
    <row r="125" spans="1:19">
      <c r="A125" s="491"/>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8">
        <f t="shared" si="32"/>
        <v>0</v>
      </c>
    </row>
    <row r="126" spans="1:19">
      <c r="A126" s="491"/>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8">
        <f t="shared" si="32"/>
        <v>0</v>
      </c>
    </row>
    <row r="127" spans="1:19">
      <c r="A127" s="491"/>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8">
        <f t="shared" si="32"/>
        <v>0</v>
      </c>
    </row>
    <row r="128" spans="1:19">
      <c r="A128" s="491"/>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8">
        <f t="shared" si="32"/>
        <v>0</v>
      </c>
    </row>
    <row r="129" spans="1:19">
      <c r="A129" s="491"/>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8">
        <f t="shared" si="32"/>
        <v>0</v>
      </c>
    </row>
    <row r="130" spans="1:19">
      <c r="A130" s="491"/>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8">
        <f t="shared" si="32"/>
        <v>0</v>
      </c>
    </row>
    <row r="131" spans="1:19">
      <c r="A131" s="491"/>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8">
        <f t="shared" si="32"/>
        <v>0</v>
      </c>
    </row>
    <row r="132" spans="1:19">
      <c r="A132" s="491"/>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8">
        <f t="shared" si="32"/>
        <v>0</v>
      </c>
    </row>
    <row r="133" spans="1:19">
      <c r="A133" s="491"/>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8">
        <f t="shared" si="32"/>
        <v>0</v>
      </c>
    </row>
    <row r="134" spans="1:19">
      <c r="A134" s="491"/>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8">
        <f t="shared" si="32"/>
        <v>0</v>
      </c>
    </row>
    <row r="135" spans="1:19">
      <c r="A135" s="491"/>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8">
        <f t="shared" si="32"/>
        <v>0</v>
      </c>
    </row>
    <row r="136" spans="1:19">
      <c r="A136" s="491"/>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8">
        <f t="shared" si="32"/>
        <v>0</v>
      </c>
    </row>
    <row r="137" spans="1:19">
      <c r="A137" s="491"/>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8">
        <f t="shared" si="32"/>
        <v>0</v>
      </c>
    </row>
    <row r="138" spans="1:19">
      <c r="A138" s="491"/>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8">
        <f t="shared" si="32"/>
        <v>0</v>
      </c>
    </row>
    <row r="139" spans="1:19">
      <c r="A139" s="491"/>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8">
        <f t="shared" si="32"/>
        <v>0</v>
      </c>
    </row>
    <row r="140" spans="1:19">
      <c r="A140" s="491"/>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8">
        <f t="shared" si="32"/>
        <v>0</v>
      </c>
    </row>
    <row r="141" spans="1:19">
      <c r="A141" s="491"/>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8">
        <f t="shared" si="32"/>
        <v>0</v>
      </c>
    </row>
    <row r="142" spans="1:19">
      <c r="A142" s="491"/>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8">
        <f t="shared" si="32"/>
        <v>0</v>
      </c>
    </row>
    <row r="143" spans="1:19">
      <c r="A143" s="491"/>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8">
        <f t="shared" si="32"/>
        <v>0</v>
      </c>
    </row>
    <row r="144" spans="1:19">
      <c r="A144" s="491"/>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8">
        <f t="shared" si="32"/>
        <v>0</v>
      </c>
    </row>
    <row r="145" spans="1:19">
      <c r="A145" s="491"/>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8">
        <f t="shared" si="32"/>
        <v>0</v>
      </c>
    </row>
    <row r="146" spans="1:19">
      <c r="A146" s="491"/>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8">
        <f t="shared" si="32"/>
        <v>0</v>
      </c>
    </row>
    <row r="147" spans="1:19">
      <c r="A147" s="491"/>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8">
        <f t="shared" si="32"/>
        <v>0</v>
      </c>
    </row>
    <row r="148" spans="1:19">
      <c r="A148" s="491"/>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8">
        <f t="shared" si="32"/>
        <v>0</v>
      </c>
    </row>
    <row r="149" spans="1:19">
      <c r="A149" s="491"/>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8">
        <f t="shared" si="32"/>
        <v>0</v>
      </c>
    </row>
    <row r="150" spans="1:19">
      <c r="A150" s="491"/>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8">
        <f t="shared" si="32"/>
        <v>0</v>
      </c>
    </row>
    <row r="151" spans="1:19">
      <c r="A151" s="491"/>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8">
        <f t="shared" si="32"/>
        <v>0</v>
      </c>
    </row>
    <row r="152" spans="1:19">
      <c r="A152" s="491"/>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8">
        <f t="shared" si="32"/>
        <v>0</v>
      </c>
    </row>
    <row r="153" spans="1:19">
      <c r="A153" s="491"/>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8">
        <f t="shared" si="32"/>
        <v>0</v>
      </c>
    </row>
    <row r="154" spans="1:19">
      <c r="A154" s="491"/>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8">
        <f t="shared" si="32"/>
        <v>0</v>
      </c>
    </row>
    <row r="155" spans="1:19">
      <c r="A155" s="491"/>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8">
        <f t="shared" si="32"/>
        <v>0</v>
      </c>
    </row>
    <row r="156" spans="1:19">
      <c r="A156" s="491"/>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8">
        <f t="shared" si="32"/>
        <v>0</v>
      </c>
    </row>
    <row r="157" spans="1:19">
      <c r="A157" s="491"/>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8">
        <f t="shared" si="32"/>
        <v>0</v>
      </c>
    </row>
    <row r="158" spans="1:19">
      <c r="A158" s="491"/>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8">
        <f t="shared" si="32"/>
        <v>0</v>
      </c>
    </row>
    <row r="159" spans="1:19">
      <c r="A159" s="491"/>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8">
        <f t="shared" si="32"/>
        <v>0</v>
      </c>
    </row>
    <row r="160" spans="1:19">
      <c r="A160" s="491"/>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8">
        <f t="shared" si="32"/>
        <v>0</v>
      </c>
    </row>
    <row r="161" spans="1:19">
      <c r="A161" s="491"/>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8">
        <f t="shared" si="32"/>
        <v>0</v>
      </c>
    </row>
    <row r="162" spans="1:19">
      <c r="A162" s="491"/>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8">
        <f t="shared" si="32"/>
        <v>0</v>
      </c>
    </row>
    <row r="163" spans="1:19">
      <c r="A163" s="491"/>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8">
        <f t="shared" si="32"/>
        <v>0</v>
      </c>
    </row>
    <row r="164" spans="1:19">
      <c r="A164" s="491"/>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8">
        <f t="shared" si="32"/>
        <v>0</v>
      </c>
    </row>
    <row r="165" spans="1:19">
      <c r="A165" s="491"/>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8">
        <f t="shared" si="32"/>
        <v>0</v>
      </c>
    </row>
    <row r="166" spans="1:19">
      <c r="A166" s="491"/>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8">
        <f t="shared" si="32"/>
        <v>0</v>
      </c>
    </row>
    <row r="167" spans="1:19">
      <c r="A167" s="491"/>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8">
        <f t="shared" si="32"/>
        <v>0</v>
      </c>
    </row>
    <row r="168" spans="1:19">
      <c r="A168" s="491"/>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8">
        <f t="shared" si="32"/>
        <v>0</v>
      </c>
    </row>
    <row r="169" spans="1:19">
      <c r="A169" s="491"/>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8">
        <f t="shared" si="32"/>
        <v>0</v>
      </c>
    </row>
    <row r="170" spans="1:19">
      <c r="A170" s="491"/>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8">
        <f t="shared" si="32"/>
        <v>0</v>
      </c>
    </row>
    <row r="171" spans="1:19">
      <c r="A171" s="491"/>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8">
        <f t="shared" si="32"/>
        <v>0</v>
      </c>
    </row>
    <row r="172" spans="1:19">
      <c r="A172" s="491"/>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8">
        <f t="shared" si="32"/>
        <v>0</v>
      </c>
    </row>
    <row r="173" spans="1:19">
      <c r="A173" s="491"/>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8">
        <f t="shared" si="32"/>
        <v>0</v>
      </c>
    </row>
    <row r="174" spans="1:19">
      <c r="A174" s="491"/>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8">
        <f t="shared" si="32"/>
        <v>0</v>
      </c>
    </row>
    <row r="175" spans="1:19">
      <c r="A175" s="491"/>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8">
        <f t="shared" si="32"/>
        <v>0</v>
      </c>
    </row>
    <row r="176" spans="1:19">
      <c r="A176" s="491"/>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8">
        <f t="shared" si="32"/>
        <v>0</v>
      </c>
    </row>
    <row r="177" spans="1:19">
      <c r="A177" s="491"/>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8">
        <f t="shared" si="32"/>
        <v>0</v>
      </c>
    </row>
    <row r="178" spans="1:19">
      <c r="A178" s="491"/>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8">
        <f t="shared" si="32"/>
        <v>0</v>
      </c>
    </row>
    <row r="179" spans="1:19">
      <c r="A179" s="491"/>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8">
        <f t="shared" si="32"/>
        <v>0</v>
      </c>
    </row>
    <row r="180" spans="1:19">
      <c r="A180" s="491"/>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8">
        <f t="shared" si="32"/>
        <v>0</v>
      </c>
    </row>
    <row r="181" spans="1:19">
      <c r="A181" s="491"/>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8">
        <f t="shared" si="32"/>
        <v>0</v>
      </c>
    </row>
    <row r="182" spans="1:19">
      <c r="A182" s="491"/>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8">
        <f t="shared" si="32"/>
        <v>0</v>
      </c>
    </row>
    <row r="183" spans="1:19">
      <c r="A183" s="491"/>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8">
        <f t="shared" si="32"/>
        <v>0</v>
      </c>
    </row>
    <row r="184" spans="1:19">
      <c r="A184" s="491"/>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8">
        <f t="shared" si="32"/>
        <v>0</v>
      </c>
    </row>
    <row r="185" spans="1:19">
      <c r="A185" s="491"/>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8">
        <f t="shared" si="32"/>
        <v>0</v>
      </c>
    </row>
    <row r="186" spans="1:19">
      <c r="A186" s="491"/>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8">
        <f t="shared" si="32"/>
        <v>0</v>
      </c>
    </row>
    <row r="187" spans="1:19">
      <c r="A187" s="491"/>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8">
        <f t="shared" ref="S187:S222" si="42">ROUND(R187*B187/10000,0)</f>
        <v>0</v>
      </c>
    </row>
    <row r="188" spans="1:19">
      <c r="A188" s="491"/>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8">
        <f t="shared" si="42"/>
        <v>0</v>
      </c>
    </row>
    <row r="189" spans="1:19">
      <c r="A189" s="491"/>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8">
        <f t="shared" si="42"/>
        <v>0</v>
      </c>
    </row>
    <row r="190" spans="1:19">
      <c r="A190" s="491"/>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8">
        <f t="shared" si="42"/>
        <v>0</v>
      </c>
    </row>
    <row r="191" spans="1:19">
      <c r="A191" s="491"/>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8">
        <f t="shared" si="42"/>
        <v>0</v>
      </c>
    </row>
    <row r="192" spans="1:19">
      <c r="A192" s="491"/>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8">
        <f t="shared" si="42"/>
        <v>0</v>
      </c>
    </row>
    <row r="193" spans="1:19">
      <c r="A193" s="491"/>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8">
        <f t="shared" si="42"/>
        <v>0</v>
      </c>
    </row>
    <row r="194" spans="1:19">
      <c r="A194" s="491"/>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8">
        <f t="shared" si="42"/>
        <v>0</v>
      </c>
    </row>
    <row r="195" spans="1:19">
      <c r="A195" s="491"/>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8">
        <f t="shared" si="42"/>
        <v>0</v>
      </c>
    </row>
    <row r="196" spans="1:19">
      <c r="A196" s="491"/>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8">
        <f t="shared" si="42"/>
        <v>0</v>
      </c>
    </row>
    <row r="197" spans="1:19">
      <c r="A197" s="491"/>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8">
        <f t="shared" si="42"/>
        <v>0</v>
      </c>
    </row>
    <row r="198" spans="1:19">
      <c r="A198" s="491"/>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8">
        <f t="shared" si="42"/>
        <v>0</v>
      </c>
    </row>
    <row r="199" spans="1:19">
      <c r="A199" s="491"/>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8">
        <f t="shared" si="42"/>
        <v>0</v>
      </c>
    </row>
    <row r="200" spans="1:19">
      <c r="A200" s="491"/>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8">
        <f t="shared" si="42"/>
        <v>0</v>
      </c>
    </row>
    <row r="201" spans="1:19">
      <c r="A201" s="491"/>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8">
        <f t="shared" si="42"/>
        <v>0</v>
      </c>
    </row>
    <row r="202" spans="1:19">
      <c r="A202" s="491"/>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8">
        <f t="shared" si="42"/>
        <v>0</v>
      </c>
    </row>
    <row r="203" spans="1:19">
      <c r="A203" s="491"/>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8">
        <f t="shared" si="42"/>
        <v>0</v>
      </c>
    </row>
    <row r="204" spans="1:19">
      <c r="A204" s="491"/>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8">
        <f t="shared" si="42"/>
        <v>0</v>
      </c>
    </row>
    <row r="205" spans="1:19">
      <c r="A205" s="491"/>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8">
        <f t="shared" si="42"/>
        <v>0</v>
      </c>
    </row>
    <row r="206" spans="1:19">
      <c r="A206" s="491"/>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8">
        <f t="shared" si="42"/>
        <v>0</v>
      </c>
    </row>
    <row r="207" spans="1:19">
      <c r="A207" s="491"/>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8">
        <f t="shared" si="42"/>
        <v>0</v>
      </c>
    </row>
    <row r="208" spans="1:19">
      <c r="A208" s="491"/>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8">
        <f t="shared" si="42"/>
        <v>0</v>
      </c>
    </row>
    <row r="209" spans="1:19">
      <c r="A209" s="491"/>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8">
        <f t="shared" si="42"/>
        <v>0</v>
      </c>
    </row>
    <row r="210" spans="1:19">
      <c r="A210" s="491"/>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8">
        <f t="shared" si="42"/>
        <v>0</v>
      </c>
    </row>
    <row r="211" spans="1:19">
      <c r="A211" s="491"/>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8">
        <f t="shared" si="42"/>
        <v>0</v>
      </c>
    </row>
    <row r="212" spans="1:19">
      <c r="A212" s="491"/>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8">
        <f t="shared" si="42"/>
        <v>0</v>
      </c>
    </row>
    <row r="213" spans="1:19">
      <c r="A213" s="491"/>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8">
        <f t="shared" si="42"/>
        <v>0</v>
      </c>
    </row>
    <row r="214" spans="1:19">
      <c r="A214" s="491"/>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8">
        <f t="shared" si="42"/>
        <v>0</v>
      </c>
    </row>
    <row r="215" spans="1:19">
      <c r="A215" s="491"/>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8">
        <f t="shared" si="42"/>
        <v>0</v>
      </c>
    </row>
    <row r="216" spans="1:19">
      <c r="A216" s="491"/>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8">
        <f t="shared" si="42"/>
        <v>0</v>
      </c>
    </row>
    <row r="217" spans="1:19">
      <c r="A217" s="491"/>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8">
        <f t="shared" si="42"/>
        <v>0</v>
      </c>
    </row>
    <row r="218" spans="1:19">
      <c r="A218" s="491"/>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8">
        <f t="shared" si="42"/>
        <v>0</v>
      </c>
    </row>
    <row r="219" spans="1:19">
      <c r="A219" s="491"/>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8">
        <f t="shared" si="42"/>
        <v>0</v>
      </c>
    </row>
    <row r="220" spans="1:19">
      <c r="A220" s="491"/>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8">
        <f t="shared" si="42"/>
        <v>0</v>
      </c>
    </row>
    <row r="221" spans="1:19">
      <c r="A221" s="491"/>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8">
        <f t="shared" si="42"/>
        <v>0</v>
      </c>
    </row>
    <row r="222" spans="1:19">
      <c r="A222" s="491"/>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8">
        <f t="shared" si="42"/>
        <v>0</v>
      </c>
    </row>
    <row r="223" spans="1:19">
      <c r="A223" s="491"/>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8">
        <f t="shared" ref="S223:S286" si="52">ROUND(R223*B223/10000,0)</f>
        <v>0</v>
      </c>
    </row>
    <row r="224" spans="1:19">
      <c r="A224" s="491"/>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8">
        <f t="shared" si="52"/>
        <v>0</v>
      </c>
    </row>
    <row r="225" spans="1:19">
      <c r="A225" s="491"/>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8">
        <f t="shared" si="52"/>
        <v>0</v>
      </c>
    </row>
    <row r="226" spans="1:19">
      <c r="A226" s="491"/>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8">
        <f t="shared" si="52"/>
        <v>0</v>
      </c>
    </row>
    <row r="227" spans="1:19">
      <c r="A227" s="491"/>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8">
        <f t="shared" si="52"/>
        <v>0</v>
      </c>
    </row>
    <row r="228" spans="1:19">
      <c r="A228" s="491"/>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8">
        <f t="shared" si="52"/>
        <v>0</v>
      </c>
    </row>
    <row r="229" spans="1:19">
      <c r="A229" s="491"/>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8">
        <f t="shared" si="52"/>
        <v>0</v>
      </c>
    </row>
    <row r="230" spans="1:19">
      <c r="A230" s="491"/>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8">
        <f t="shared" si="52"/>
        <v>0</v>
      </c>
    </row>
    <row r="231" spans="1:19">
      <c r="A231" s="491"/>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8">
        <f t="shared" si="52"/>
        <v>0</v>
      </c>
    </row>
    <row r="232" spans="1:19">
      <c r="A232" s="491"/>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8">
        <f t="shared" si="52"/>
        <v>0</v>
      </c>
    </row>
    <row r="233" spans="1:19">
      <c r="A233" s="491"/>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8">
        <f t="shared" si="52"/>
        <v>0</v>
      </c>
    </row>
    <row r="234" spans="1:19">
      <c r="A234" s="491"/>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8">
        <f t="shared" si="52"/>
        <v>0</v>
      </c>
    </row>
    <row r="235" spans="1:19">
      <c r="A235" s="491"/>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8">
        <f t="shared" si="52"/>
        <v>0</v>
      </c>
    </row>
    <row r="236" spans="1:19">
      <c r="A236" s="491"/>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8">
        <f t="shared" si="52"/>
        <v>0</v>
      </c>
    </row>
    <row r="237" spans="1:19">
      <c r="A237" s="491"/>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8">
        <f t="shared" si="52"/>
        <v>0</v>
      </c>
    </row>
    <row r="238" spans="1:19">
      <c r="A238" s="491"/>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8">
        <f t="shared" si="52"/>
        <v>0</v>
      </c>
    </row>
    <row r="239" spans="1:19">
      <c r="A239" s="491"/>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8">
        <f t="shared" si="52"/>
        <v>0</v>
      </c>
    </row>
    <row r="240" spans="1:19">
      <c r="A240" s="491"/>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8">
        <f t="shared" si="52"/>
        <v>0</v>
      </c>
    </row>
    <row r="241" spans="1:19">
      <c r="A241" s="491"/>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8">
        <f t="shared" si="52"/>
        <v>0</v>
      </c>
    </row>
    <row r="242" spans="1:19">
      <c r="A242" s="491"/>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8">
        <f t="shared" si="52"/>
        <v>0</v>
      </c>
    </row>
    <row r="243" spans="1:19">
      <c r="A243" s="491"/>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8">
        <f t="shared" si="52"/>
        <v>0</v>
      </c>
    </row>
    <row r="244" spans="1:19">
      <c r="A244" s="491"/>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8">
        <f t="shared" si="52"/>
        <v>0</v>
      </c>
    </row>
    <row r="245" spans="1:19">
      <c r="A245" s="491"/>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8">
        <f t="shared" si="52"/>
        <v>0</v>
      </c>
    </row>
    <row r="246" spans="1:19">
      <c r="A246" s="491"/>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8">
        <f t="shared" si="52"/>
        <v>0</v>
      </c>
    </row>
    <row r="247" spans="1:19">
      <c r="A247" s="491"/>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8">
        <f t="shared" si="52"/>
        <v>0</v>
      </c>
    </row>
    <row r="248" spans="1:19">
      <c r="A248" s="491"/>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8">
        <f t="shared" si="52"/>
        <v>0</v>
      </c>
    </row>
    <row r="249" spans="1:19">
      <c r="A249" s="491"/>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8">
        <f t="shared" si="52"/>
        <v>0</v>
      </c>
    </row>
    <row r="250" spans="1:19">
      <c r="A250" s="491"/>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8">
        <f t="shared" si="52"/>
        <v>0</v>
      </c>
    </row>
    <row r="251" spans="1:19">
      <c r="A251" s="491"/>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8">
        <f t="shared" si="52"/>
        <v>0</v>
      </c>
    </row>
    <row r="252" spans="1:19">
      <c r="A252" s="491"/>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8">
        <f t="shared" si="52"/>
        <v>0</v>
      </c>
    </row>
    <row r="253" spans="1:19">
      <c r="A253" s="491"/>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8">
        <f t="shared" si="52"/>
        <v>0</v>
      </c>
    </row>
    <row r="254" spans="1:19">
      <c r="A254" s="491"/>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8">
        <f t="shared" si="52"/>
        <v>0</v>
      </c>
    </row>
    <row r="255" spans="1:19">
      <c r="A255" s="491"/>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8">
        <f t="shared" si="52"/>
        <v>0</v>
      </c>
    </row>
    <row r="256" spans="1:19">
      <c r="A256" s="491"/>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8">
        <f t="shared" si="52"/>
        <v>0</v>
      </c>
    </row>
    <row r="257" spans="1:19">
      <c r="A257" s="491"/>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8">
        <f t="shared" si="52"/>
        <v>0</v>
      </c>
    </row>
    <row r="258" spans="1:19">
      <c r="A258" s="491"/>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8">
        <f t="shared" si="52"/>
        <v>0</v>
      </c>
    </row>
    <row r="259" spans="1:19">
      <c r="A259" s="491"/>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8">
        <f t="shared" si="52"/>
        <v>0</v>
      </c>
    </row>
    <row r="260" spans="1:19">
      <c r="A260" s="491"/>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8">
        <f t="shared" si="52"/>
        <v>0</v>
      </c>
    </row>
    <row r="261" spans="1:19">
      <c r="A261" s="491"/>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8">
        <f t="shared" si="52"/>
        <v>0</v>
      </c>
    </row>
    <row r="262" spans="1:19">
      <c r="A262" s="491"/>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8">
        <f t="shared" si="52"/>
        <v>0</v>
      </c>
    </row>
    <row r="263" spans="1:19">
      <c r="A263" s="491"/>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8">
        <f t="shared" si="52"/>
        <v>0</v>
      </c>
    </row>
    <row r="264" spans="1:19">
      <c r="A264" s="491"/>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8">
        <f t="shared" si="52"/>
        <v>0</v>
      </c>
    </row>
    <row r="265" spans="1:19">
      <c r="A265" s="491"/>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8">
        <f t="shared" si="52"/>
        <v>0</v>
      </c>
    </row>
    <row r="266" spans="1:19">
      <c r="A266" s="491"/>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8">
        <f t="shared" si="52"/>
        <v>0</v>
      </c>
    </row>
    <row r="267" spans="1:19">
      <c r="A267" s="491"/>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8">
        <f t="shared" si="52"/>
        <v>0</v>
      </c>
    </row>
    <row r="268" spans="1:19">
      <c r="A268" s="491"/>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8">
        <f t="shared" si="52"/>
        <v>0</v>
      </c>
    </row>
    <row r="269" spans="1:19">
      <c r="A269" s="491"/>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8">
        <f t="shared" si="52"/>
        <v>0</v>
      </c>
    </row>
    <row r="270" spans="1:19">
      <c r="A270" s="491"/>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8">
        <f t="shared" si="52"/>
        <v>0</v>
      </c>
    </row>
    <row r="271" spans="1:19">
      <c r="A271" s="491"/>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8">
        <f t="shared" si="52"/>
        <v>0</v>
      </c>
    </row>
    <row r="272" spans="1:19">
      <c r="A272" s="491"/>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8">
        <f t="shared" si="52"/>
        <v>0</v>
      </c>
    </row>
    <row r="273" spans="1:19">
      <c r="A273" s="491"/>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8">
        <f t="shared" si="52"/>
        <v>0</v>
      </c>
    </row>
    <row r="274" spans="1:19">
      <c r="A274" s="491"/>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8">
        <f t="shared" si="52"/>
        <v>0</v>
      </c>
    </row>
    <row r="275" spans="1:19">
      <c r="A275" s="491"/>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8">
        <f t="shared" si="52"/>
        <v>0</v>
      </c>
    </row>
    <row r="276" spans="1:19">
      <c r="A276" s="491"/>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8">
        <f t="shared" si="52"/>
        <v>0</v>
      </c>
    </row>
    <row r="277" spans="1:19">
      <c r="A277" s="491"/>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8">
        <f t="shared" si="52"/>
        <v>0</v>
      </c>
    </row>
    <row r="278" spans="1:19">
      <c r="A278" s="491"/>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8">
        <f t="shared" si="52"/>
        <v>0</v>
      </c>
    </row>
    <row r="279" spans="1:19">
      <c r="A279" s="491"/>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8">
        <f t="shared" si="52"/>
        <v>0</v>
      </c>
    </row>
    <row r="280" spans="1:19">
      <c r="A280" s="491"/>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8">
        <f t="shared" si="52"/>
        <v>0</v>
      </c>
    </row>
    <row r="281" spans="1:19">
      <c r="A281" s="491"/>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8">
        <f t="shared" si="52"/>
        <v>0</v>
      </c>
    </row>
    <row r="282" spans="1:19">
      <c r="A282" s="491"/>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8">
        <f t="shared" si="52"/>
        <v>0</v>
      </c>
    </row>
    <row r="283" spans="1:19">
      <c r="A283" s="491"/>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8">
        <f t="shared" si="52"/>
        <v>0</v>
      </c>
    </row>
    <row r="284" spans="1:19">
      <c r="A284" s="491"/>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8">
        <f t="shared" si="52"/>
        <v>0</v>
      </c>
    </row>
    <row r="285" spans="1:19">
      <c r="A285" s="491"/>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8">
        <f t="shared" si="52"/>
        <v>0</v>
      </c>
    </row>
    <row r="286" spans="1:19">
      <c r="A286" s="491"/>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8">
        <f t="shared" si="52"/>
        <v>0</v>
      </c>
    </row>
    <row r="287" spans="1:19">
      <c r="A287" s="491"/>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8">
        <f t="shared" ref="S287:S320" si="62">ROUND(R287*B287/10000,0)</f>
        <v>0</v>
      </c>
    </row>
    <row r="288" spans="1:19">
      <c r="A288" s="491"/>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8">
        <f t="shared" si="62"/>
        <v>0</v>
      </c>
    </row>
    <row r="289" spans="1:19">
      <c r="A289" s="491"/>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8">
        <f t="shared" si="62"/>
        <v>0</v>
      </c>
    </row>
    <row r="290" spans="1:19">
      <c r="A290" s="491"/>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8">
        <f t="shared" si="62"/>
        <v>0</v>
      </c>
    </row>
    <row r="291" spans="1:19">
      <c r="A291" s="491"/>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8">
        <f t="shared" si="62"/>
        <v>0</v>
      </c>
    </row>
    <row r="292" spans="1:19">
      <c r="A292" s="491"/>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8">
        <f t="shared" si="62"/>
        <v>0</v>
      </c>
    </row>
    <row r="293" spans="1:19">
      <c r="A293" s="491"/>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8">
        <f t="shared" si="62"/>
        <v>0</v>
      </c>
    </row>
    <row r="294" spans="1:19">
      <c r="A294" s="491"/>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8">
        <f t="shared" si="62"/>
        <v>0</v>
      </c>
    </row>
    <row r="295" spans="1:19">
      <c r="A295" s="491"/>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8">
        <f t="shared" si="62"/>
        <v>0</v>
      </c>
    </row>
    <row r="296" spans="1:19">
      <c r="A296" s="491"/>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8">
        <f t="shared" si="62"/>
        <v>0</v>
      </c>
    </row>
    <row r="297" spans="1:19">
      <c r="A297" s="491"/>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8">
        <f t="shared" si="62"/>
        <v>0</v>
      </c>
    </row>
    <row r="298" spans="1:19">
      <c r="A298" s="491"/>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8">
        <f t="shared" si="62"/>
        <v>0</v>
      </c>
    </row>
    <row r="299" spans="1:19">
      <c r="A299" s="491"/>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8">
        <f t="shared" si="62"/>
        <v>0</v>
      </c>
    </row>
    <row r="300" spans="1:19">
      <c r="A300" s="491"/>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8">
        <f t="shared" si="62"/>
        <v>0</v>
      </c>
    </row>
    <row r="301" spans="1:19">
      <c r="A301" s="491"/>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8">
        <f t="shared" si="62"/>
        <v>0</v>
      </c>
    </row>
    <row r="302" spans="1:19">
      <c r="A302" s="491"/>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8">
        <f t="shared" si="62"/>
        <v>0</v>
      </c>
    </row>
    <row r="303" spans="1:19">
      <c r="A303" s="491"/>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8">
        <f t="shared" si="62"/>
        <v>0</v>
      </c>
    </row>
    <row r="304" spans="1:19">
      <c r="A304" s="491"/>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8">
        <f t="shared" si="62"/>
        <v>0</v>
      </c>
    </row>
    <row r="305" spans="1:19">
      <c r="A305" s="491"/>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8">
        <f t="shared" si="62"/>
        <v>0</v>
      </c>
    </row>
    <row r="306" spans="1:19">
      <c r="A306" s="491"/>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8">
        <f t="shared" si="62"/>
        <v>0</v>
      </c>
    </row>
    <row r="307" spans="1:19">
      <c r="A307" s="491"/>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8">
        <f t="shared" si="62"/>
        <v>0</v>
      </c>
    </row>
    <row r="308" spans="1:19">
      <c r="A308" s="491"/>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8">
        <f t="shared" si="62"/>
        <v>0</v>
      </c>
    </row>
    <row r="309" spans="1:19">
      <c r="A309" s="491"/>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8">
        <f t="shared" si="62"/>
        <v>0</v>
      </c>
    </row>
    <row r="310" spans="1:19">
      <c r="A310" s="491"/>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8">
        <f t="shared" si="62"/>
        <v>0</v>
      </c>
    </row>
    <row r="311" spans="1:19">
      <c r="A311" s="491"/>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8">
        <f t="shared" si="62"/>
        <v>0</v>
      </c>
    </row>
    <row r="312" spans="1:19">
      <c r="A312" s="491"/>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8">
        <f t="shared" si="62"/>
        <v>0</v>
      </c>
    </row>
    <row r="313" spans="1:19">
      <c r="A313" s="491"/>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8">
        <f t="shared" si="62"/>
        <v>0</v>
      </c>
    </row>
    <row r="314" spans="1:19">
      <c r="A314" s="491"/>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8">
        <f t="shared" si="62"/>
        <v>0</v>
      </c>
    </row>
    <row r="315" spans="1:19">
      <c r="A315" s="491"/>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8">
        <f t="shared" si="62"/>
        <v>0</v>
      </c>
    </row>
    <row r="316" spans="1:19">
      <c r="A316" s="491"/>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8">
        <f t="shared" si="62"/>
        <v>0</v>
      </c>
    </row>
    <row r="317" spans="1:19">
      <c r="A317" s="491"/>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8">
        <f t="shared" si="62"/>
        <v>0</v>
      </c>
    </row>
    <row r="318" spans="1:19">
      <c r="A318" s="491"/>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8">
        <f t="shared" si="62"/>
        <v>0</v>
      </c>
    </row>
    <row r="319" spans="1:19">
      <c r="A319" s="491"/>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8">
        <f t="shared" si="62"/>
        <v>0</v>
      </c>
    </row>
    <row r="320" spans="1:19">
      <c r="A320" s="491"/>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8">
        <f t="shared" si="62"/>
        <v>0</v>
      </c>
    </row>
    <row r="321" spans="1:19">
      <c r="A321" s="491"/>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8">
        <f t="shared" ref="S321:S384" si="63">ROUND(R321*B321/10000,0)</f>
        <v>0</v>
      </c>
    </row>
    <row r="322" spans="1:19">
      <c r="A322" s="491"/>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8">
        <f t="shared" si="63"/>
        <v>0</v>
      </c>
    </row>
    <row r="323" spans="1:19">
      <c r="A323" s="491"/>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8">
        <f t="shared" si="63"/>
        <v>0</v>
      </c>
    </row>
    <row r="324" spans="1:19">
      <c r="A324" s="491"/>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8">
        <f t="shared" si="63"/>
        <v>0</v>
      </c>
    </row>
    <row r="325" spans="1:19">
      <c r="A325" s="491"/>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8">
        <f t="shared" si="63"/>
        <v>0</v>
      </c>
    </row>
    <row r="326" spans="1:19">
      <c r="A326" s="491"/>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8">
        <f t="shared" si="63"/>
        <v>0</v>
      </c>
    </row>
    <row r="327" spans="1:19">
      <c r="A327" s="491"/>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8">
        <f t="shared" si="63"/>
        <v>0</v>
      </c>
    </row>
    <row r="328" spans="1:19">
      <c r="A328" s="491"/>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8">
        <f t="shared" si="63"/>
        <v>0</v>
      </c>
    </row>
    <row r="329" spans="1:19">
      <c r="A329" s="491"/>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8">
        <f t="shared" si="63"/>
        <v>0</v>
      </c>
    </row>
    <row r="330" spans="1:19">
      <c r="A330" s="491"/>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8">
        <f t="shared" si="63"/>
        <v>0</v>
      </c>
    </row>
    <row r="331" spans="1:19">
      <c r="A331" s="491"/>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8">
        <f t="shared" si="63"/>
        <v>0</v>
      </c>
    </row>
    <row r="332" spans="1:19">
      <c r="A332" s="491"/>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8">
        <f t="shared" si="63"/>
        <v>0</v>
      </c>
    </row>
    <row r="333" spans="1:19">
      <c r="A333" s="491"/>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8">
        <f t="shared" si="63"/>
        <v>0</v>
      </c>
    </row>
    <row r="334" spans="1:19">
      <c r="A334" s="491"/>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8">
        <f t="shared" si="63"/>
        <v>0</v>
      </c>
    </row>
    <row r="335" spans="1:19">
      <c r="A335" s="491"/>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8">
        <f t="shared" si="63"/>
        <v>0</v>
      </c>
    </row>
    <row r="336" spans="1:19">
      <c r="A336" s="491"/>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8">
        <f t="shared" si="63"/>
        <v>0</v>
      </c>
    </row>
    <row r="337" spans="1:19">
      <c r="A337" s="491"/>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8">
        <f t="shared" si="63"/>
        <v>0</v>
      </c>
    </row>
    <row r="338" spans="1:19">
      <c r="A338" s="491"/>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8">
        <f t="shared" si="63"/>
        <v>0</v>
      </c>
    </row>
    <row r="339" spans="1:19">
      <c r="A339" s="491"/>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8">
        <f t="shared" si="63"/>
        <v>0</v>
      </c>
    </row>
    <row r="340" spans="1:19">
      <c r="A340" s="491"/>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8">
        <f t="shared" si="63"/>
        <v>0</v>
      </c>
    </row>
    <row r="341" spans="1:19">
      <c r="A341" s="491"/>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8">
        <f t="shared" si="63"/>
        <v>0</v>
      </c>
    </row>
    <row r="342" spans="1:19">
      <c r="A342" s="491"/>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8">
        <f t="shared" si="63"/>
        <v>0</v>
      </c>
    </row>
    <row r="343" spans="1:19">
      <c r="A343" s="491"/>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8">
        <f t="shared" si="63"/>
        <v>0</v>
      </c>
    </row>
    <row r="344" spans="1:19">
      <c r="A344" s="491"/>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8">
        <f t="shared" si="63"/>
        <v>0</v>
      </c>
    </row>
    <row r="345" spans="1:19">
      <c r="A345" s="491"/>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8">
        <f t="shared" si="63"/>
        <v>0</v>
      </c>
    </row>
    <row r="346" spans="1:19">
      <c r="A346" s="491"/>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8">
        <f t="shared" si="63"/>
        <v>0</v>
      </c>
    </row>
    <row r="347" spans="1:19">
      <c r="A347" s="491"/>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8">
        <f t="shared" si="63"/>
        <v>0</v>
      </c>
    </row>
    <row r="348" spans="1:19">
      <c r="A348" s="491"/>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8">
        <f t="shared" si="63"/>
        <v>0</v>
      </c>
    </row>
    <row r="349" spans="1:19">
      <c r="A349" s="491"/>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8">
        <f t="shared" si="63"/>
        <v>0</v>
      </c>
    </row>
    <row r="350" spans="1:19">
      <c r="A350" s="491"/>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8">
        <f t="shared" si="63"/>
        <v>0</v>
      </c>
    </row>
    <row r="351" spans="1:19">
      <c r="A351" s="491"/>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8">
        <f t="shared" si="63"/>
        <v>0</v>
      </c>
    </row>
    <row r="352" spans="1:19">
      <c r="A352" s="491"/>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8">
        <f t="shared" si="63"/>
        <v>0</v>
      </c>
    </row>
    <row r="353" spans="1:19">
      <c r="A353" s="491"/>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8">
        <f t="shared" si="63"/>
        <v>0</v>
      </c>
    </row>
    <row r="354" spans="1:19">
      <c r="A354" s="491"/>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8">
        <f t="shared" si="63"/>
        <v>0</v>
      </c>
    </row>
    <row r="355" spans="1:19">
      <c r="A355" s="491"/>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8">
        <f t="shared" si="63"/>
        <v>0</v>
      </c>
    </row>
    <row r="356" spans="1:19">
      <c r="A356" s="491"/>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8">
        <f t="shared" si="63"/>
        <v>0</v>
      </c>
    </row>
    <row r="357" spans="1:19">
      <c r="A357" s="491"/>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8">
        <f t="shared" si="63"/>
        <v>0</v>
      </c>
    </row>
    <row r="358" spans="1:19">
      <c r="A358" s="491"/>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8">
        <f t="shared" si="63"/>
        <v>0</v>
      </c>
    </row>
    <row r="359" spans="1:19">
      <c r="A359" s="491"/>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8">
        <f t="shared" si="63"/>
        <v>0</v>
      </c>
    </row>
    <row r="360" spans="1:19">
      <c r="A360" s="491"/>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8">
        <f t="shared" si="63"/>
        <v>0</v>
      </c>
    </row>
    <row r="361" spans="1:19">
      <c r="A361" s="491"/>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8">
        <f t="shared" si="63"/>
        <v>0</v>
      </c>
    </row>
    <row r="362" spans="1:19">
      <c r="A362" s="491"/>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8">
        <f t="shared" si="63"/>
        <v>0</v>
      </c>
    </row>
    <row r="363" spans="1:19">
      <c r="A363" s="491"/>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8">
        <f t="shared" si="63"/>
        <v>0</v>
      </c>
    </row>
    <row r="364" spans="1:19">
      <c r="A364" s="491"/>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8">
        <f t="shared" si="63"/>
        <v>0</v>
      </c>
    </row>
    <row r="365" spans="1:19">
      <c r="A365" s="491"/>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8">
        <f t="shared" si="63"/>
        <v>0</v>
      </c>
    </row>
    <row r="366" spans="1:19">
      <c r="A366" s="491"/>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8">
        <f t="shared" si="63"/>
        <v>0</v>
      </c>
    </row>
    <row r="367" spans="1:19">
      <c r="A367" s="491"/>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8">
        <f t="shared" si="63"/>
        <v>0</v>
      </c>
    </row>
    <row r="368" spans="1:19">
      <c r="A368" s="491"/>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8">
        <f t="shared" si="63"/>
        <v>0</v>
      </c>
    </row>
    <row r="369" spans="1:19">
      <c r="A369" s="491"/>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8">
        <f t="shared" si="63"/>
        <v>0</v>
      </c>
    </row>
    <row r="370" spans="1:19">
      <c r="A370" s="491"/>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8">
        <f t="shared" si="63"/>
        <v>0</v>
      </c>
    </row>
    <row r="371" spans="1:19">
      <c r="A371" s="491"/>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8">
        <f t="shared" si="63"/>
        <v>0</v>
      </c>
    </row>
    <row r="372" spans="1:19">
      <c r="A372" s="491"/>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8">
        <f t="shared" si="63"/>
        <v>0</v>
      </c>
    </row>
    <row r="373" spans="1:19">
      <c r="A373" s="491"/>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8">
        <f t="shared" si="63"/>
        <v>0</v>
      </c>
    </row>
    <row r="374" spans="1:19">
      <c r="A374" s="491"/>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8">
        <f t="shared" si="63"/>
        <v>0</v>
      </c>
    </row>
    <row r="375" spans="1:19">
      <c r="A375" s="491"/>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8">
        <f t="shared" si="63"/>
        <v>0</v>
      </c>
    </row>
    <row r="376" spans="1:19">
      <c r="A376" s="491"/>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8">
        <f t="shared" si="63"/>
        <v>0</v>
      </c>
    </row>
    <row r="377" spans="1:19">
      <c r="A377" s="491"/>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8">
        <f t="shared" si="63"/>
        <v>0</v>
      </c>
    </row>
    <row r="378" spans="1:19">
      <c r="A378" s="491"/>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8">
        <f t="shared" si="63"/>
        <v>0</v>
      </c>
    </row>
    <row r="379" spans="1:19">
      <c r="A379" s="491"/>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8">
        <f t="shared" si="63"/>
        <v>0</v>
      </c>
    </row>
    <row r="380" spans="1:19">
      <c r="A380" s="491"/>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8">
        <f t="shared" si="63"/>
        <v>0</v>
      </c>
    </row>
    <row r="381" spans="1:19">
      <c r="A381" s="491"/>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8">
        <f t="shared" si="63"/>
        <v>0</v>
      </c>
    </row>
    <row r="382" spans="1:19">
      <c r="A382" s="491"/>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8">
        <f t="shared" si="63"/>
        <v>0</v>
      </c>
    </row>
    <row r="383" spans="1:19">
      <c r="A383" s="491"/>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8">
        <f t="shared" si="63"/>
        <v>0</v>
      </c>
    </row>
    <row r="384" spans="1:19">
      <c r="A384" s="491"/>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8">
        <f t="shared" si="63"/>
        <v>0</v>
      </c>
    </row>
    <row r="385" spans="1:19">
      <c r="A385" s="491"/>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8">
        <f t="shared" ref="S385:S422" si="73">ROUND(R385*B385/10000,0)</f>
        <v>0</v>
      </c>
    </row>
    <row r="386" spans="1:19">
      <c r="A386" s="491"/>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8">
        <f t="shared" si="73"/>
        <v>0</v>
      </c>
    </row>
    <row r="387" spans="1:19">
      <c r="A387" s="491"/>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8">
        <f t="shared" si="73"/>
        <v>0</v>
      </c>
    </row>
    <row r="388" spans="1:19">
      <c r="A388" s="491"/>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8">
        <f t="shared" si="73"/>
        <v>0</v>
      </c>
    </row>
    <row r="389" spans="1:19">
      <c r="A389" s="491"/>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8">
        <f t="shared" si="73"/>
        <v>0</v>
      </c>
    </row>
    <row r="390" spans="1:19">
      <c r="A390" s="491"/>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8">
        <f t="shared" si="73"/>
        <v>0</v>
      </c>
    </row>
    <row r="391" spans="1:19">
      <c r="A391" s="491"/>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8">
        <f t="shared" si="73"/>
        <v>0</v>
      </c>
    </row>
    <row r="392" spans="1:19">
      <c r="A392" s="491"/>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8">
        <f t="shared" si="73"/>
        <v>0</v>
      </c>
    </row>
    <row r="393" spans="1:19">
      <c r="A393" s="491"/>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8">
        <f t="shared" si="73"/>
        <v>0</v>
      </c>
    </row>
    <row r="394" spans="1:19">
      <c r="A394" s="491"/>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8">
        <f t="shared" si="73"/>
        <v>0</v>
      </c>
    </row>
    <row r="395" spans="1:19">
      <c r="A395" s="491"/>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8">
        <f t="shared" si="73"/>
        <v>0</v>
      </c>
    </row>
    <row r="396" spans="1:19">
      <c r="A396" s="491"/>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8">
        <f t="shared" si="73"/>
        <v>0</v>
      </c>
    </row>
    <row r="397" spans="1:19">
      <c r="A397" s="491"/>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8">
        <f t="shared" si="73"/>
        <v>0</v>
      </c>
    </row>
    <row r="398" spans="1:19">
      <c r="A398" s="491"/>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8">
        <f t="shared" si="73"/>
        <v>0</v>
      </c>
    </row>
    <row r="399" spans="1:19">
      <c r="A399" s="491"/>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8">
        <f t="shared" si="73"/>
        <v>0</v>
      </c>
    </row>
    <row r="400" spans="1:19">
      <c r="A400" s="491"/>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8">
        <f t="shared" si="73"/>
        <v>0</v>
      </c>
    </row>
    <row r="401" spans="1:19">
      <c r="A401" s="491"/>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8">
        <f t="shared" si="73"/>
        <v>0</v>
      </c>
    </row>
    <row r="402" spans="1:19">
      <c r="A402" s="491"/>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8">
        <f t="shared" si="73"/>
        <v>0</v>
      </c>
    </row>
    <row r="403" spans="1:19">
      <c r="A403" s="491"/>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8">
        <f t="shared" si="73"/>
        <v>0</v>
      </c>
    </row>
    <row r="404" spans="1:19">
      <c r="A404" s="491"/>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8">
        <f t="shared" si="73"/>
        <v>0</v>
      </c>
    </row>
    <row r="405" spans="1:19">
      <c r="A405" s="491"/>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8">
        <f t="shared" si="73"/>
        <v>0</v>
      </c>
    </row>
    <row r="406" spans="1:19">
      <c r="A406" s="491"/>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8">
        <f t="shared" si="73"/>
        <v>0</v>
      </c>
    </row>
    <row r="407" spans="1:19">
      <c r="A407" s="491"/>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8">
        <f t="shared" si="73"/>
        <v>0</v>
      </c>
    </row>
    <row r="408" spans="1:19">
      <c r="A408" s="491"/>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8">
        <f t="shared" si="73"/>
        <v>0</v>
      </c>
    </row>
    <row r="409" spans="1:19">
      <c r="A409" s="491"/>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8">
        <f t="shared" si="73"/>
        <v>0</v>
      </c>
    </row>
    <row r="410" spans="1:19">
      <c r="A410" s="491"/>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8">
        <f t="shared" si="73"/>
        <v>0</v>
      </c>
    </row>
    <row r="411" spans="1:19">
      <c r="A411" s="491"/>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8">
        <f t="shared" si="73"/>
        <v>0</v>
      </c>
    </row>
    <row r="412" spans="1:19">
      <c r="A412" s="491"/>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8">
        <f t="shared" si="73"/>
        <v>0</v>
      </c>
    </row>
    <row r="413" spans="1:19">
      <c r="A413" s="491"/>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8">
        <f t="shared" si="73"/>
        <v>0</v>
      </c>
    </row>
    <row r="414" spans="1:19">
      <c r="A414" s="491"/>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8">
        <f t="shared" si="73"/>
        <v>0</v>
      </c>
    </row>
    <row r="415" spans="1:19">
      <c r="A415" s="491"/>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8">
        <f t="shared" si="73"/>
        <v>0</v>
      </c>
    </row>
    <row r="416" spans="1:19">
      <c r="A416" s="491"/>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8">
        <f t="shared" si="73"/>
        <v>0</v>
      </c>
    </row>
    <row r="417" spans="1:19">
      <c r="A417" s="491"/>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8">
        <f t="shared" si="73"/>
        <v>0</v>
      </c>
    </row>
    <row r="418" spans="1:19">
      <c r="A418" s="491"/>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8">
        <f t="shared" si="73"/>
        <v>0</v>
      </c>
    </row>
    <row r="419" spans="1:19">
      <c r="A419" s="491"/>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8">
        <f t="shared" si="73"/>
        <v>0</v>
      </c>
    </row>
    <row r="420" spans="1:19">
      <c r="A420" s="491"/>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8">
        <f t="shared" si="73"/>
        <v>0</v>
      </c>
    </row>
    <row r="421" spans="1:19">
      <c r="A421" s="491"/>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8">
        <f t="shared" si="73"/>
        <v>0</v>
      </c>
    </row>
    <row r="422" spans="1:19">
      <c r="A422" s="491"/>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8">
        <f t="shared" si="73"/>
        <v>0</v>
      </c>
    </row>
    <row r="423" spans="1:19">
      <c r="A423" s="491"/>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8">
        <f t="shared" ref="S423:S467" si="83">ROUND(R423*B423/10000,0)</f>
        <v>0</v>
      </c>
    </row>
    <row r="424" spans="1:19">
      <c r="A424" s="491"/>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8">
        <f t="shared" si="83"/>
        <v>0</v>
      </c>
    </row>
    <row r="425" spans="1:19">
      <c r="A425" s="491"/>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8">
        <f t="shared" si="83"/>
        <v>0</v>
      </c>
    </row>
    <row r="426" spans="1:19">
      <c r="A426" s="491"/>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8">
        <f t="shared" si="83"/>
        <v>0</v>
      </c>
    </row>
    <row r="427" spans="1:19">
      <c r="A427" s="491"/>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8">
        <f t="shared" si="83"/>
        <v>0</v>
      </c>
    </row>
    <row r="428" spans="1:19">
      <c r="A428" s="491"/>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8">
        <f t="shared" si="83"/>
        <v>0</v>
      </c>
    </row>
    <row r="429" spans="1:19">
      <c r="A429" s="491"/>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8">
        <f t="shared" si="83"/>
        <v>0</v>
      </c>
    </row>
    <row r="430" spans="1:19">
      <c r="A430" s="491"/>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8">
        <f t="shared" si="83"/>
        <v>0</v>
      </c>
    </row>
    <row r="431" spans="1:19">
      <c r="A431" s="491"/>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8">
        <f t="shared" si="83"/>
        <v>0</v>
      </c>
    </row>
    <row r="432" spans="1:19">
      <c r="A432" s="491"/>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8">
        <f t="shared" si="83"/>
        <v>0</v>
      </c>
    </row>
    <row r="433" spans="1:19">
      <c r="A433" s="491"/>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8">
        <f t="shared" si="83"/>
        <v>0</v>
      </c>
    </row>
    <row r="434" spans="1:19">
      <c r="A434" s="491"/>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8">
        <f t="shared" si="83"/>
        <v>0</v>
      </c>
    </row>
    <row r="435" spans="1:19">
      <c r="A435" s="491"/>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8">
        <f t="shared" si="83"/>
        <v>0</v>
      </c>
    </row>
    <row r="436" spans="1:19">
      <c r="A436" s="491"/>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8">
        <f t="shared" si="83"/>
        <v>0</v>
      </c>
    </row>
    <row r="437" spans="1:19">
      <c r="A437" s="491"/>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8">
        <f t="shared" si="83"/>
        <v>0</v>
      </c>
    </row>
    <row r="438" spans="1:19">
      <c r="A438" s="491"/>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8">
        <f t="shared" si="83"/>
        <v>0</v>
      </c>
    </row>
    <row r="439" spans="1:19">
      <c r="A439" s="491"/>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8">
        <f t="shared" si="83"/>
        <v>0</v>
      </c>
    </row>
    <row r="440" spans="1:19">
      <c r="A440" s="491"/>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8">
        <f t="shared" si="83"/>
        <v>0</v>
      </c>
    </row>
    <row r="441" spans="1:19">
      <c r="A441" s="491"/>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8">
        <f t="shared" si="83"/>
        <v>0</v>
      </c>
    </row>
    <row r="442" spans="1:19">
      <c r="A442" s="491"/>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8">
        <f t="shared" si="83"/>
        <v>0</v>
      </c>
    </row>
    <row r="443" spans="1:19">
      <c r="A443" s="491"/>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8">
        <f t="shared" si="83"/>
        <v>0</v>
      </c>
    </row>
    <row r="444" spans="1:19">
      <c r="A444" s="491"/>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8">
        <f t="shared" si="83"/>
        <v>0</v>
      </c>
    </row>
    <row r="445" spans="1:19">
      <c r="A445" s="491"/>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8">
        <f t="shared" si="83"/>
        <v>0</v>
      </c>
    </row>
    <row r="446" spans="1:19">
      <c r="A446" s="491"/>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8">
        <f t="shared" si="83"/>
        <v>0</v>
      </c>
    </row>
    <row r="447" spans="1:19">
      <c r="A447" s="491"/>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8">
        <f t="shared" si="83"/>
        <v>0</v>
      </c>
    </row>
    <row r="448" spans="1:19">
      <c r="A448" s="491"/>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8">
        <f t="shared" si="83"/>
        <v>0</v>
      </c>
    </row>
    <row r="449" spans="1:19">
      <c r="A449" s="491"/>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8">
        <f t="shared" si="83"/>
        <v>0</v>
      </c>
    </row>
    <row r="450" spans="1:19">
      <c r="A450" s="491"/>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8">
        <f t="shared" si="83"/>
        <v>0</v>
      </c>
    </row>
    <row r="451" spans="1:19">
      <c r="A451" s="491"/>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8">
        <f t="shared" si="83"/>
        <v>0</v>
      </c>
    </row>
    <row r="452" spans="1:19">
      <c r="A452" s="491"/>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8">
        <f t="shared" si="83"/>
        <v>0</v>
      </c>
    </row>
    <row r="453" spans="1:19">
      <c r="A453" s="491"/>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8">
        <f t="shared" si="83"/>
        <v>0</v>
      </c>
    </row>
    <row r="454" spans="1:19">
      <c r="A454" s="491"/>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8">
        <f t="shared" si="83"/>
        <v>0</v>
      </c>
    </row>
    <row r="455" spans="1:19">
      <c r="A455" s="491"/>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8">
        <f t="shared" si="83"/>
        <v>0</v>
      </c>
    </row>
    <row r="456" spans="1:19">
      <c r="A456" s="491"/>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8">
        <f t="shared" si="83"/>
        <v>0</v>
      </c>
    </row>
    <row r="457" spans="1:19">
      <c r="A457" s="491"/>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8">
        <f t="shared" si="83"/>
        <v>0</v>
      </c>
    </row>
    <row r="458" spans="1:19">
      <c r="A458" s="491"/>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8">
        <f t="shared" si="83"/>
        <v>0</v>
      </c>
    </row>
    <row r="459" spans="1:19">
      <c r="A459" s="491"/>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8">
        <f t="shared" si="83"/>
        <v>0</v>
      </c>
    </row>
    <row r="460" spans="1:19">
      <c r="A460" s="491"/>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8">
        <f t="shared" si="83"/>
        <v>0</v>
      </c>
    </row>
    <row r="461" spans="1:19">
      <c r="A461" s="491"/>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8">
        <f t="shared" si="83"/>
        <v>0</v>
      </c>
    </row>
    <row r="462" spans="1:19">
      <c r="A462" s="491"/>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8">
        <f t="shared" si="83"/>
        <v>0</v>
      </c>
    </row>
    <row r="463" spans="1:19">
      <c r="A463" s="491"/>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8">
        <f t="shared" si="83"/>
        <v>0</v>
      </c>
    </row>
    <row r="464" spans="1:19">
      <c r="A464" s="491"/>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8">
        <f t="shared" si="83"/>
        <v>0</v>
      </c>
    </row>
    <row r="465" spans="1:19">
      <c r="A465" s="491"/>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8">
        <f t="shared" si="83"/>
        <v>0</v>
      </c>
    </row>
    <row r="466" spans="1:19">
      <c r="A466" s="491"/>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8">
        <f t="shared" si="83"/>
        <v>0</v>
      </c>
    </row>
    <row r="467" spans="1:19">
      <c r="A467" s="491"/>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8">
        <f t="shared" si="83"/>
        <v>0</v>
      </c>
    </row>
    <row r="468" spans="1:19">
      <c r="A468" s="491"/>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8">
        <f t="shared" ref="S468:S497" si="84">ROUND(R468*B468/10000,0)</f>
        <v>0</v>
      </c>
    </row>
    <row r="469" spans="1:19">
      <c r="A469" s="491"/>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8">
        <f t="shared" si="84"/>
        <v>0</v>
      </c>
    </row>
    <row r="470" spans="1:19">
      <c r="A470" s="491"/>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8">
        <f t="shared" si="84"/>
        <v>0</v>
      </c>
    </row>
    <row r="471" spans="1:19">
      <c r="A471" s="491"/>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8">
        <f t="shared" si="84"/>
        <v>0</v>
      </c>
    </row>
    <row r="472" spans="1:19">
      <c r="A472" s="491"/>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8">
        <f t="shared" si="84"/>
        <v>0</v>
      </c>
    </row>
    <row r="473" spans="1:19">
      <c r="A473" s="491"/>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8">
        <f t="shared" si="84"/>
        <v>0</v>
      </c>
    </row>
    <row r="474" spans="1:19">
      <c r="A474" s="491"/>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8">
        <f t="shared" si="84"/>
        <v>0</v>
      </c>
    </row>
    <row r="475" spans="1:19">
      <c r="A475" s="491"/>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8">
        <f t="shared" si="84"/>
        <v>0</v>
      </c>
    </row>
    <row r="476" spans="1:19">
      <c r="A476" s="491"/>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8">
        <f t="shared" si="84"/>
        <v>0</v>
      </c>
    </row>
    <row r="477" spans="1:19">
      <c r="A477" s="491"/>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8">
        <f t="shared" si="84"/>
        <v>0</v>
      </c>
    </row>
    <row r="478" spans="1:19">
      <c r="A478" s="491"/>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8">
        <f t="shared" si="84"/>
        <v>0</v>
      </c>
    </row>
    <row r="479" spans="1:19">
      <c r="A479" s="491"/>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8">
        <f t="shared" si="84"/>
        <v>0</v>
      </c>
    </row>
    <row r="480" spans="1:19">
      <c r="A480" s="491"/>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8">
        <f t="shared" si="84"/>
        <v>0</v>
      </c>
    </row>
    <row r="481" spans="1:19">
      <c r="A481" s="491"/>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8">
        <f t="shared" si="84"/>
        <v>0</v>
      </c>
    </row>
    <row r="482" spans="1:19">
      <c r="A482" s="491"/>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8">
        <f t="shared" si="84"/>
        <v>0</v>
      </c>
    </row>
    <row r="483" spans="1:19">
      <c r="A483" s="491"/>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8">
        <f t="shared" si="84"/>
        <v>0</v>
      </c>
    </row>
    <row r="484" spans="1:19">
      <c r="A484" s="491"/>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8">
        <f t="shared" si="84"/>
        <v>0</v>
      </c>
    </row>
    <row r="485" spans="1:19">
      <c r="A485" s="491"/>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8">
        <f t="shared" si="84"/>
        <v>0</v>
      </c>
    </row>
    <row r="486" spans="1:19">
      <c r="A486" s="491"/>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8">
        <f t="shared" si="84"/>
        <v>0</v>
      </c>
    </row>
    <row r="487" spans="1:19">
      <c r="A487" s="491"/>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8">
        <f t="shared" si="84"/>
        <v>0</v>
      </c>
    </row>
    <row r="488" spans="1:19">
      <c r="A488" s="491"/>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8">
        <f t="shared" si="84"/>
        <v>0</v>
      </c>
    </row>
    <row r="489" spans="1:19">
      <c r="A489" s="491"/>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8">
        <f t="shared" si="84"/>
        <v>0</v>
      </c>
    </row>
    <row r="490" spans="1:19">
      <c r="A490" s="491"/>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8">
        <f t="shared" si="84"/>
        <v>0</v>
      </c>
    </row>
    <row r="491" spans="1:19">
      <c r="A491" s="491"/>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8">
        <f t="shared" si="84"/>
        <v>0</v>
      </c>
    </row>
    <row r="492" spans="1:19">
      <c r="A492" s="491"/>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8">
        <f t="shared" si="84"/>
        <v>0</v>
      </c>
    </row>
    <row r="493" spans="1:19">
      <c r="A493" s="491"/>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8">
        <f t="shared" si="84"/>
        <v>0</v>
      </c>
    </row>
    <row r="494" spans="1:19">
      <c r="A494" s="491"/>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8">
        <f t="shared" si="84"/>
        <v>0</v>
      </c>
    </row>
    <row r="495" spans="1:19">
      <c r="A495" s="491"/>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8">
        <f t="shared" si="84"/>
        <v>0</v>
      </c>
    </row>
    <row r="496" spans="1:19">
      <c r="A496" s="491"/>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8">
        <f t="shared" si="84"/>
        <v>0</v>
      </c>
    </row>
    <row r="497" spans="1:19">
      <c r="A497" s="491"/>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8">
        <f t="shared" si="84"/>
        <v>0</v>
      </c>
    </row>
    <row r="498" spans="1:19">
      <c r="A498" s="491"/>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8">
        <f t="shared" ref="S498:S524" si="94">ROUND(R498*B498/10000,0)</f>
        <v>0</v>
      </c>
    </row>
    <row r="499" spans="1:19">
      <c r="A499" s="491"/>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8">
        <f t="shared" si="94"/>
        <v>0</v>
      </c>
    </row>
    <row r="500" spans="1:19">
      <c r="A500" s="491"/>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8">
        <f t="shared" si="94"/>
        <v>0</v>
      </c>
    </row>
    <row r="501" spans="1:19">
      <c r="A501" s="491"/>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8">
        <f t="shared" si="94"/>
        <v>0</v>
      </c>
    </row>
    <row r="502" spans="1:19">
      <c r="A502" s="491"/>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8">
        <f t="shared" si="94"/>
        <v>0</v>
      </c>
    </row>
    <row r="503" spans="1:19">
      <c r="A503" s="491"/>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8">
        <f t="shared" si="94"/>
        <v>0</v>
      </c>
    </row>
    <row r="504" spans="1:19">
      <c r="A504" s="491"/>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8">
        <f t="shared" si="94"/>
        <v>0</v>
      </c>
    </row>
    <row r="505" spans="1:19">
      <c r="A505" s="491"/>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8">
        <f t="shared" si="94"/>
        <v>0</v>
      </c>
    </row>
    <row r="506" spans="1:19">
      <c r="A506" s="491"/>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8">
        <f t="shared" si="94"/>
        <v>0</v>
      </c>
    </row>
    <row r="507" spans="1:19">
      <c r="A507" s="491"/>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8">
        <f t="shared" si="94"/>
        <v>0</v>
      </c>
    </row>
    <row r="508" spans="1:19">
      <c r="A508" s="491"/>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8">
        <f t="shared" si="94"/>
        <v>0</v>
      </c>
    </row>
    <row r="509" spans="1:19">
      <c r="A509" s="491"/>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8">
        <f t="shared" si="94"/>
        <v>0</v>
      </c>
    </row>
    <row r="510" spans="1:19">
      <c r="A510" s="491"/>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8">
        <f t="shared" si="94"/>
        <v>0</v>
      </c>
    </row>
    <row r="511" spans="1:19">
      <c r="A511" s="491"/>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8">
        <f t="shared" si="94"/>
        <v>0</v>
      </c>
    </row>
    <row r="512" spans="1:19">
      <c r="A512" s="491"/>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8">
        <f t="shared" si="94"/>
        <v>0</v>
      </c>
    </row>
    <row r="513" spans="1:19">
      <c r="A513" s="491"/>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8">
        <f t="shared" si="94"/>
        <v>0</v>
      </c>
    </row>
    <row r="514" spans="1:19">
      <c r="A514" s="491"/>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8">
        <f t="shared" si="94"/>
        <v>0</v>
      </c>
    </row>
    <row r="515" spans="1:19">
      <c r="A515" s="491"/>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8">
        <f t="shared" si="94"/>
        <v>0</v>
      </c>
    </row>
    <row r="516" spans="1:19">
      <c r="A516" s="491"/>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8">
        <f t="shared" si="94"/>
        <v>0</v>
      </c>
    </row>
    <row r="517" spans="1:19">
      <c r="A517" s="491"/>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8">
        <f t="shared" si="94"/>
        <v>0</v>
      </c>
    </row>
    <row r="518" spans="1:19">
      <c r="A518" s="491"/>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8">
        <f t="shared" si="94"/>
        <v>0</v>
      </c>
    </row>
    <row r="519" spans="1:19">
      <c r="A519" s="491"/>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8">
        <f t="shared" si="94"/>
        <v>0</v>
      </c>
    </row>
    <row r="520" spans="1:19">
      <c r="A520" s="491"/>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8">
        <f t="shared" si="94"/>
        <v>0</v>
      </c>
    </row>
    <row r="521" spans="1:19">
      <c r="A521" s="491"/>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8">
        <f t="shared" si="94"/>
        <v>0</v>
      </c>
    </row>
    <row r="522" spans="1:19">
      <c r="A522" s="491"/>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8">
        <f t="shared" si="94"/>
        <v>0</v>
      </c>
    </row>
    <row r="523" spans="1:19">
      <c r="A523" s="491"/>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8">
        <f t="shared" si="94"/>
        <v>0</v>
      </c>
    </row>
    <row r="524" spans="1:19">
      <c r="A524" s="491"/>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2" sqref="A2:E2"/>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2027</v>
      </c>
      <c r="B1" s="1963"/>
      <c r="C1" s="1963"/>
      <c r="D1" s="1963"/>
      <c r="E1" s="1963"/>
    </row>
    <row r="2" spans="1:5" ht="78" customHeight="1">
      <c r="A2" s="34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31"/>
      <c r="C2" s="3431"/>
      <c r="D2" s="3431"/>
      <c r="E2" s="3431"/>
    </row>
    <row r="3" spans="1:5" ht="18.75">
      <c r="A3" s="3432" t="str">
        <f>IF(项目基本情况!B9="房地产市场价值","估价结果一览表（市场价值不需“结果表-1”）","估价结果一览表")</f>
        <v>估价结果一览表</v>
      </c>
      <c r="B3" s="3432"/>
      <c r="C3" s="3432"/>
      <c r="D3" s="3432"/>
      <c r="E3" s="3432"/>
    </row>
    <row r="4" spans="1:5" ht="19.5" thickBot="1">
      <c r="A4" s="1975"/>
      <c r="B4" s="3430" t="s">
        <v>2032</v>
      </c>
      <c r="C4" s="3430"/>
      <c r="D4" s="3430"/>
      <c r="E4" s="1975"/>
    </row>
    <row r="5" spans="1:5" ht="16.5" thickTop="1">
      <c r="A5" s="1963"/>
      <c r="B5" s="3428" t="s">
        <v>2028</v>
      </c>
      <c r="C5" s="1965" t="s">
        <v>2033</v>
      </c>
      <c r="D5" s="1966">
        <f ca="1">结果表!H101</f>
        <v>31162</v>
      </c>
      <c r="E5" s="1963"/>
    </row>
    <row r="6" spans="1:5" ht="15.75">
      <c r="A6" s="1963"/>
      <c r="B6" s="3428"/>
      <c r="C6" s="1965" t="s">
        <v>2871</v>
      </c>
      <c r="D6" s="1966" t="str">
        <f ca="1">NUMBERSTRING(INT(D5*10000),2)&amp;"元整"</f>
        <v>叁亿壹仟壹佰陆拾贰万元整</v>
      </c>
      <c r="E6" s="1963"/>
    </row>
    <row r="7" spans="1:5" ht="15.75">
      <c r="A7" s="1963"/>
      <c r="B7" s="3433"/>
      <c r="C7" s="1967" t="s">
        <v>2034</v>
      </c>
      <c r="D7" s="1968">
        <f ca="1">结果表!H102</f>
        <v>24467</v>
      </c>
      <c r="E7" s="1963"/>
    </row>
    <row r="8" spans="1:5" ht="15.75">
      <c r="A8" s="1963"/>
      <c r="B8" s="3434" t="str">
        <f>结果表!E103</f>
        <v>2.估价师知悉的法定优先受偿款</v>
      </c>
      <c r="C8" s="1969" t="s">
        <v>2035</v>
      </c>
      <c r="D8" s="1968">
        <f>结果表!H103</f>
        <v>0</v>
      </c>
      <c r="E8" s="1963"/>
    </row>
    <row r="9" spans="1:5" ht="15.75">
      <c r="A9" s="1963"/>
      <c r="B9" s="3436"/>
      <c r="C9" s="1965" t="s">
        <v>2871</v>
      </c>
      <c r="D9" s="1966" t="str">
        <f>NUMBERSTRING(INT(D8*10000),2)&amp;"元整"</f>
        <v>零元整</v>
      </c>
      <c r="E9" s="1963"/>
    </row>
    <row r="10" spans="1:5" ht="15">
      <c r="A10" s="1963"/>
      <c r="B10" s="1970" t="s">
        <v>2029</v>
      </c>
      <c r="C10" s="1971" t="s">
        <v>2035</v>
      </c>
      <c r="D10" s="1972">
        <f>结果表!H104</f>
        <v>0</v>
      </c>
      <c r="E10" s="1963"/>
    </row>
    <row r="11" spans="1:5" ht="15">
      <c r="A11" s="1963"/>
      <c r="B11" s="1970" t="s">
        <v>2030</v>
      </c>
      <c r="C11" s="1971" t="s">
        <v>2035</v>
      </c>
      <c r="D11" s="1972">
        <f>结果表!H105</f>
        <v>0</v>
      </c>
      <c r="E11" s="1963"/>
    </row>
    <row r="12" spans="1:5" ht="15">
      <c r="A12" s="1963"/>
      <c r="B12" s="1970" t="s">
        <v>2031</v>
      </c>
      <c r="C12" s="1971" t="s">
        <v>2035</v>
      </c>
      <c r="D12" s="1972">
        <f>结果表!H106</f>
        <v>0</v>
      </c>
      <c r="E12" s="1963"/>
    </row>
    <row r="13" spans="1:5" ht="15.75">
      <c r="A13" s="1963"/>
      <c r="B13" s="3427" t="str">
        <f>结果表!E107</f>
        <v>3.房地产抵押价值</v>
      </c>
      <c r="C13" s="1973" t="s">
        <v>2033</v>
      </c>
      <c r="D13" s="1976">
        <f ca="1">结果表!H107</f>
        <v>31162</v>
      </c>
      <c r="E13" s="1963"/>
    </row>
    <row r="14" spans="1:5" ht="15.75">
      <c r="A14" s="1963"/>
      <c r="B14" s="3428"/>
      <c r="C14" s="1965" t="s">
        <v>2871</v>
      </c>
      <c r="D14" s="1966" t="str">
        <f ca="1">NUMBERSTRING(INT(D13*10000),2)&amp;"元整"</f>
        <v>叁亿壹仟壹佰陆拾贰万元整</v>
      </c>
      <c r="E14" s="1963"/>
    </row>
    <row r="15" spans="1:5" ht="15">
      <c r="A15" s="1963"/>
      <c r="B15" s="3433"/>
      <c r="C15" s="1967" t="s">
        <v>2034</v>
      </c>
      <c r="D15" s="2078">
        <f ca="1">结果表!H108</f>
        <v>24467</v>
      </c>
      <c r="E15" s="1963"/>
    </row>
    <row r="16" spans="1:5" ht="14.25">
      <c r="A16" s="1963"/>
      <c r="B16" s="3434" t="str">
        <f>结果表!E109</f>
        <v>——</v>
      </c>
      <c r="C16" s="1973" t="s">
        <v>2033</v>
      </c>
      <c r="D16" s="2079" t="str">
        <f>结果表!H109</f>
        <v>——</v>
      </c>
      <c r="E16" s="1963"/>
    </row>
    <row r="17" spans="1:5" ht="15.75">
      <c r="A17" s="1963"/>
      <c r="B17" s="3435"/>
      <c r="C17" s="1965" t="s">
        <v>2871</v>
      </c>
      <c r="D17" s="1966" t="e">
        <f>NUMBERSTRING(INT(D16*10000),2)&amp;"元整"</f>
        <v>#VALUE!</v>
      </c>
      <c r="E17" s="1963"/>
    </row>
    <row r="18" spans="1:5" ht="15">
      <c r="A18" s="1963"/>
      <c r="B18" s="3436"/>
      <c r="C18" s="1967" t="s">
        <v>2034</v>
      </c>
      <c r="D18" s="2078" t="str">
        <f>结果表!H110</f>
        <v>——</v>
      </c>
      <c r="E18" s="1963"/>
    </row>
    <row r="19" spans="1:5" ht="15.75">
      <c r="A19" s="1963"/>
      <c r="B19" s="3427" t="str">
        <f>结果表!E111</f>
        <v>——</v>
      </c>
      <c r="C19" s="1973" t="s">
        <v>2033</v>
      </c>
      <c r="D19" s="1968" t="str">
        <f>结果表!H111</f>
        <v>——</v>
      </c>
      <c r="E19" s="1963"/>
    </row>
    <row r="20" spans="1:5" ht="15.75">
      <c r="A20" s="1963"/>
      <c r="B20" s="3428"/>
      <c r="C20" s="1965" t="s">
        <v>2871</v>
      </c>
      <c r="D20" s="1966" t="e">
        <f>NUMBERSTRING(INT(D19*10000),2)&amp;"元整"</f>
        <v>#VALUE!</v>
      </c>
      <c r="E20" s="1963"/>
    </row>
    <row r="21" spans="1:5" ht="15.75" thickBot="1">
      <c r="A21" s="1963"/>
      <c r="B21" s="3429"/>
      <c r="C21" s="2080" t="s">
        <v>2034</v>
      </c>
      <c r="D21" s="2081" t="str">
        <f>结果表!H112</f>
        <v>——</v>
      </c>
      <c r="E21" s="1963"/>
    </row>
    <row r="22" spans="1:5" ht="14.25" thickTop="1">
      <c r="A22" s="1963"/>
      <c r="B22" s="1974" t="s">
        <v>2060</v>
      </c>
      <c r="C22" s="1963"/>
      <c r="D22" s="1963"/>
      <c r="E22" s="1963"/>
    </row>
    <row r="23" spans="1:5">
      <c r="A23" s="1963"/>
      <c r="B23" s="1963"/>
      <c r="C23" s="1963"/>
      <c r="D23" s="1963"/>
      <c r="E23" s="1963"/>
    </row>
    <row r="24" spans="1:5" ht="18.75">
      <c r="A24" s="1994"/>
      <c r="B24" s="1995" t="s">
        <v>2040</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815</v>
      </c>
      <c r="B1" s="573"/>
      <c r="C1" s="574"/>
      <c r="D1" s="574"/>
      <c r="E1" s="574"/>
      <c r="F1" s="574"/>
      <c r="G1" s="575"/>
    </row>
    <row r="2" spans="1:7" s="576" customFormat="1" ht="18" customHeight="1">
      <c r="A2" s="577" t="s">
        <v>816</v>
      </c>
      <c r="B2" s="578">
        <f ca="1">C52</f>
        <v>31948</v>
      </c>
      <c r="C2" s="85" t="s">
        <v>865</v>
      </c>
      <c r="D2" s="575"/>
      <c r="E2" s="575"/>
      <c r="F2" s="575"/>
      <c r="G2" s="575"/>
    </row>
    <row r="3" spans="1:7" s="576" customFormat="1" ht="18" customHeight="1" thickBot="1">
      <c r="A3" s="579" t="s">
        <v>817</v>
      </c>
      <c r="B3" s="580">
        <f ca="1">ROUND(B2*10000/'数据-汇总表'!E3,0)</f>
        <v>25085</v>
      </c>
      <c r="C3" s="85" t="s">
        <v>866</v>
      </c>
      <c r="D3" s="575"/>
      <c r="E3" s="575"/>
      <c r="F3" s="575"/>
      <c r="G3" s="575"/>
    </row>
    <row r="4" spans="1:7" s="584" customFormat="1" ht="15.75">
      <c r="A4" s="581" t="s">
        <v>818</v>
      </c>
      <c r="B4" s="582"/>
      <c r="C4" s="582"/>
      <c r="D4" s="582"/>
      <c r="E4" s="582"/>
      <c r="F4" s="582"/>
      <c r="G4" s="583"/>
    </row>
    <row r="5" spans="1:7" s="590" customFormat="1" ht="13.5" customHeight="1">
      <c r="A5" s="631" t="s">
        <v>2503</v>
      </c>
      <c r="B5" s="586" t="s">
        <v>819</v>
      </c>
      <c r="C5" s="587">
        <f>C6+C7+C8</f>
        <v>20610</v>
      </c>
      <c r="D5" s="587" t="s">
        <v>820</v>
      </c>
      <c r="E5" s="588" t="s">
        <v>821</v>
      </c>
      <c r="F5" s="588" t="s">
        <v>822</v>
      </c>
      <c r="G5" s="589"/>
    </row>
    <row r="6" spans="1:7" s="590" customFormat="1" ht="13.5" customHeight="1">
      <c r="A6" s="1803" t="s">
        <v>1921</v>
      </c>
      <c r="B6" s="591" t="s">
        <v>823</v>
      </c>
      <c r="C6" s="592">
        <v>20000</v>
      </c>
      <c r="D6" s="593"/>
      <c r="E6" s="594"/>
      <c r="F6" s="594"/>
      <c r="G6" s="595"/>
    </row>
    <row r="7" spans="1:7" s="590" customFormat="1" ht="13.5" customHeight="1">
      <c r="A7" s="1803" t="s">
        <v>1922</v>
      </c>
      <c r="B7" s="591" t="s">
        <v>346</v>
      </c>
      <c r="C7" s="596">
        <f>ROUND(C6*F7,0)</f>
        <v>610</v>
      </c>
      <c r="D7" s="596"/>
      <c r="E7" s="594"/>
      <c r="F7" s="597">
        <f>'数据-取费表'!B48+'数据-取费表'!B49</f>
        <v>3.0499999999999999E-2</v>
      </c>
      <c r="G7" s="595"/>
    </row>
    <row r="8" spans="1:7" s="599" customFormat="1">
      <c r="A8" s="1803" t="s">
        <v>1923</v>
      </c>
      <c r="B8" s="591" t="s">
        <v>824</v>
      </c>
      <c r="C8" s="596" t="str">
        <f>IF(G8="已包含在土地购买价格中","0",'数据-取费表'!B29)</f>
        <v>0</v>
      </c>
      <c r="D8" s="598"/>
      <c r="E8" s="596"/>
      <c r="F8" s="597"/>
      <c r="G8" s="84" t="s">
        <v>2681</v>
      </c>
    </row>
    <row r="9" spans="1:7" s="590" customFormat="1" ht="13.5" customHeight="1">
      <c r="A9" s="1804" t="s">
        <v>1930</v>
      </c>
      <c r="B9" s="600" t="s">
        <v>825</v>
      </c>
      <c r="C9" s="601">
        <f>ROUND(D9*E9/10000,0)</f>
        <v>0</v>
      </c>
      <c r="D9" s="1908">
        <f>'数据-汇总表'!E5</f>
        <v>0</v>
      </c>
      <c r="E9" s="601">
        <f>'数据-取费表'!B27</f>
        <v>0</v>
      </c>
      <c r="F9" s="597"/>
      <c r="G9" s="602"/>
    </row>
    <row r="10" spans="1:7" s="590" customFormat="1" ht="13.5" customHeight="1">
      <c r="A10" s="1804" t="s">
        <v>1931</v>
      </c>
      <c r="B10" s="600" t="s">
        <v>826</v>
      </c>
      <c r="C10" s="601">
        <f>ROUND(D10*E10/10000,0)</f>
        <v>204</v>
      </c>
      <c r="D10" s="1908">
        <f>'数据-汇总表'!E6</f>
        <v>12736.12000000001</v>
      </c>
      <c r="E10" s="601">
        <f>'数据-取费表'!B28</f>
        <v>160</v>
      </c>
      <c r="F10" s="597"/>
      <c r="G10" s="602"/>
    </row>
    <row r="11" spans="1:7" s="590" customFormat="1" ht="13.5" hidden="1" customHeight="1">
      <c r="A11" s="603" t="s">
        <v>42</v>
      </c>
      <c r="B11" s="591" t="s">
        <v>827</v>
      </c>
      <c r="C11" s="587"/>
      <c r="D11" s="1910"/>
      <c r="E11" s="594"/>
      <c r="F11" s="594"/>
      <c r="G11" s="595"/>
    </row>
    <row r="12" spans="1:7" s="590" customFormat="1" ht="13.5" hidden="1" customHeight="1">
      <c r="A12" s="603" t="s">
        <v>43</v>
      </c>
      <c r="B12" s="591" t="s">
        <v>828</v>
      </c>
      <c r="C12" s="587">
        <v>0</v>
      </c>
      <c r="D12" s="1910"/>
      <c r="E12" s="604"/>
      <c r="F12" s="597">
        <v>3.0499999999999999E-2</v>
      </c>
      <c r="G12" s="595"/>
    </row>
    <row r="13" spans="1:7" s="590" customFormat="1" ht="13.5" hidden="1" customHeight="1">
      <c r="A13" s="603" t="s">
        <v>44</v>
      </c>
      <c r="B13" s="591" t="s">
        <v>829</v>
      </c>
      <c r="C13" s="587"/>
      <c r="D13" s="1910"/>
      <c r="E13" s="594"/>
      <c r="F13" s="594"/>
      <c r="G13" s="595"/>
    </row>
    <row r="14" spans="1:7" s="590" customFormat="1" ht="13.5" hidden="1" customHeight="1">
      <c r="A14" s="603" t="s">
        <v>45</v>
      </c>
      <c r="B14" s="591" t="s">
        <v>824</v>
      </c>
      <c r="C14" s="587"/>
      <c r="D14" s="1910"/>
      <c r="E14" s="594"/>
      <c r="F14" s="594"/>
      <c r="G14" s="595" t="s">
        <v>830</v>
      </c>
    </row>
    <row r="15" spans="1:7" s="590" customFormat="1" ht="13.5" hidden="1" customHeight="1">
      <c r="A15" s="603" t="s">
        <v>46</v>
      </c>
      <c r="B15" s="591" t="s">
        <v>831</v>
      </c>
      <c r="C15" s="596"/>
      <c r="D15" s="1910"/>
      <c r="E15" s="594"/>
      <c r="F15" s="594"/>
      <c r="G15" s="595" t="s">
        <v>832</v>
      </c>
    </row>
    <row r="16" spans="1:7" s="590" customFormat="1" ht="13.5" hidden="1" customHeight="1">
      <c r="A16" s="603" t="s">
        <v>47</v>
      </c>
      <c r="B16" s="591" t="s">
        <v>824</v>
      </c>
      <c r="C16" s="596"/>
      <c r="D16" s="1910"/>
      <c r="E16" s="594"/>
      <c r="F16" s="594"/>
      <c r="G16" s="595"/>
    </row>
    <row r="17" spans="1:7" s="590" customFormat="1" ht="13.5" hidden="1" customHeight="1">
      <c r="A17" s="603" t="s">
        <v>48</v>
      </c>
      <c r="B17" s="591" t="s">
        <v>833</v>
      </c>
      <c r="C17" s="605"/>
      <c r="D17" s="1911"/>
      <c r="E17" s="605"/>
      <c r="F17" s="605"/>
      <c r="G17" s="595" t="s">
        <v>832</v>
      </c>
    </row>
    <row r="18" spans="1:7" s="590" customFormat="1" ht="13.5" hidden="1" customHeight="1">
      <c r="A18" s="603" t="s">
        <v>49</v>
      </c>
      <c r="B18" s="591" t="s">
        <v>834</v>
      </c>
      <c r="C18" s="596">
        <v>0</v>
      </c>
      <c r="D18" s="1910"/>
      <c r="E18" s="594"/>
      <c r="F18" s="597">
        <v>3.0499999999999999E-2</v>
      </c>
      <c r="G18" s="595" t="s">
        <v>835</v>
      </c>
    </row>
    <row r="19" spans="1:7" s="599" customFormat="1" ht="13.5" customHeight="1">
      <c r="A19" s="1802" t="s">
        <v>2504</v>
      </c>
      <c r="B19" s="586" t="s">
        <v>843</v>
      </c>
      <c r="C19" s="587">
        <f>IF(G19="已包含在土地取得成本中","0",ROUND(D19*E19/10000,0))</f>
        <v>0</v>
      </c>
      <c r="D19" s="1912">
        <f>'数据-汇总表'!E3</f>
        <v>12736.12000000001</v>
      </c>
      <c r="E19" s="587">
        <f>'数据-取费表'!B31</f>
        <v>0</v>
      </c>
      <c r="F19" s="607"/>
      <c r="G19" s="84" t="s">
        <v>2526</v>
      </c>
    </row>
    <row r="20" spans="1:7" s="590" customFormat="1" ht="13.5" customHeight="1">
      <c r="A20" s="1802" t="s">
        <v>2506</v>
      </c>
      <c r="B20" s="586" t="s">
        <v>836</v>
      </c>
      <c r="C20" s="608">
        <f>ROUND((C5+C19)*F20,0)</f>
        <v>412</v>
      </c>
      <c r="D20" s="608"/>
      <c r="E20" s="608"/>
      <c r="F20" s="609">
        <f>'数据-取费表'!B37</f>
        <v>0.02</v>
      </c>
      <c r="G20" s="2620" t="s">
        <v>2517</v>
      </c>
    </row>
    <row r="21" spans="1:7" s="590" customFormat="1" ht="13.5" customHeight="1">
      <c r="A21" s="1802" t="s">
        <v>2508</v>
      </c>
      <c r="B21" s="586" t="s">
        <v>837</v>
      </c>
      <c r="C21" s="611">
        <f>F21</f>
        <v>0.02</v>
      </c>
      <c r="D21" s="612" t="s">
        <v>858</v>
      </c>
      <c r="E21" s="608"/>
      <c r="F21" s="609">
        <f>'数据-取费表'!B38</f>
        <v>0.02</v>
      </c>
      <c r="G21" s="610" t="s">
        <v>838</v>
      </c>
    </row>
    <row r="22" spans="1:7" s="590" customFormat="1" ht="13.5" customHeight="1">
      <c r="A22" s="1802" t="s">
        <v>1916</v>
      </c>
      <c r="B22" s="586" t="s">
        <v>839</v>
      </c>
      <c r="C22" s="2699">
        <f ca="1">ROUND(SUM(C23:C25),0)</f>
        <v>2024</v>
      </c>
      <c r="D22" s="611">
        <f ca="1">C26</f>
        <v>1E-3</v>
      </c>
      <c r="E22" s="612" t="s">
        <v>858</v>
      </c>
      <c r="F22" s="613">
        <f ca="1">'数据-取费表'!B40</f>
        <v>4.7500000000000001E-2</v>
      </c>
      <c r="G22" s="2620" t="str">
        <f>IF('数据-取费表'!B22&lt;=1,"单利计息","复利计息")</f>
        <v>复利计息</v>
      </c>
    </row>
    <row r="23" spans="1:7" s="590" customFormat="1" ht="13.5" customHeight="1">
      <c r="A23" s="1805" t="s">
        <v>1924</v>
      </c>
      <c r="B23" s="591" t="s">
        <v>2510</v>
      </c>
      <c r="C23" s="2700">
        <f ca="1">ROUND(IF('数据-取费表'!B22&lt;=1,C5*F22*'数据-取费表'!B23,C5*(POWER((1+F22),'数据-取费表'!B23)-1)),0)</f>
        <v>2004</v>
      </c>
      <c r="D23" s="614"/>
      <c r="E23" s="614"/>
      <c r="F23" s="615"/>
      <c r="G23" s="616" t="s">
        <v>840</v>
      </c>
    </row>
    <row r="24" spans="1:7" s="590" customFormat="1" ht="13.5" customHeight="1">
      <c r="A24" s="1805" t="s">
        <v>1922</v>
      </c>
      <c r="B24" s="591" t="s">
        <v>2505</v>
      </c>
      <c r="C24" s="2700">
        <f ca="1">ROUND(IF('数据-取费表'!B22&lt;=1,C19*F22*('数据-取费表'!B19/2+'数据-取费表'!B21),C19*(POWER((1+F22),('数据-取费表'!B19/2+'数据-取费表'!B21))-1)),0)</f>
        <v>0</v>
      </c>
      <c r="D24" s="614"/>
      <c r="E24" s="614"/>
      <c r="F24" s="615"/>
      <c r="G24" s="616" t="s">
        <v>841</v>
      </c>
    </row>
    <row r="25" spans="1:7" s="590" customFormat="1" ht="24">
      <c r="A25" s="1805" t="s">
        <v>1923</v>
      </c>
      <c r="B25" s="591" t="s">
        <v>2507</v>
      </c>
      <c r="C25" s="2700">
        <f ca="1">ROUND(IF('数据-取费表'!B22&lt;=1,C20*F22*'数据-取费表'!B23/2,C20*(POWER((1+F22),'数据-取费表'!B23/2)-1)),0)</f>
        <v>20</v>
      </c>
      <c r="D25" s="614"/>
      <c r="E25" s="617"/>
      <c r="F25" s="615"/>
      <c r="G25" s="618" t="s">
        <v>842</v>
      </c>
    </row>
    <row r="26" spans="1:7" s="590" customFormat="1">
      <c r="A26" s="1805" t="s">
        <v>1925</v>
      </c>
      <c r="B26" s="591" t="s">
        <v>2509</v>
      </c>
      <c r="C26" s="614">
        <f ca="1">ROUND(IF('数据-取费表'!B22&lt;=1,F21*F22*'数据-取费表'!B23/2,F21*(POWER((1+F22),'数据-取费表'!B23/2)-1)),4)</f>
        <v>1E-3</v>
      </c>
      <c r="D26" s="614"/>
      <c r="E26" s="617"/>
      <c r="F26" s="615"/>
      <c r="G26" s="619"/>
    </row>
    <row r="27" spans="1:7" s="590" customFormat="1" ht="24.75">
      <c r="A27" s="1802" t="s">
        <v>1917</v>
      </c>
      <c r="B27" s="620" t="s">
        <v>844</v>
      </c>
      <c r="C27" s="621">
        <f>C28</f>
        <v>4204</v>
      </c>
      <c r="D27" s="611">
        <f>C29</f>
        <v>4.0000000000000001E-3</v>
      </c>
      <c r="E27" s="612" t="s">
        <v>858</v>
      </c>
      <c r="F27" s="622">
        <f>'数据-取费表'!Q16</f>
        <v>0.2</v>
      </c>
      <c r="G27" s="623" t="s">
        <v>2518</v>
      </c>
    </row>
    <row r="28" spans="1:7" s="590" customFormat="1" ht="13.5" customHeight="1">
      <c r="A28" s="1805" t="s">
        <v>1924</v>
      </c>
      <c r="B28" s="624" t="s">
        <v>2511</v>
      </c>
      <c r="C28" s="625">
        <f>ROUND((C5+C19+C20)*F27*'数据-取费表'!B21/'数据-取费表'!B20,0)</f>
        <v>4204</v>
      </c>
      <c r="D28" s="611"/>
      <c r="E28" s="612"/>
      <c r="F28" s="622"/>
      <c r="G28" s="623"/>
    </row>
    <row r="29" spans="1:7" s="590" customFormat="1" ht="13.5" customHeight="1">
      <c r="A29" s="1805" t="s">
        <v>1922</v>
      </c>
      <c r="B29" s="624" t="s">
        <v>2512</v>
      </c>
      <c r="C29" s="614">
        <f>ROUND(C21*F27*'数据-取费表'!B21/'数据-取费表'!B20,4)</f>
        <v>4.0000000000000001E-3</v>
      </c>
      <c r="D29" s="611"/>
      <c r="E29" s="612"/>
      <c r="F29" s="622"/>
      <c r="G29" s="623"/>
    </row>
    <row r="30" spans="1:7" s="590" customFormat="1" ht="13.5" customHeight="1">
      <c r="A30" s="1802" t="s">
        <v>1918</v>
      </c>
      <c r="B30" s="586" t="s">
        <v>347</v>
      </c>
      <c r="C30" s="611">
        <f>F30</f>
        <v>5.5000000000000007E-2</v>
      </c>
      <c r="D30" s="612" t="s">
        <v>859</v>
      </c>
      <c r="E30" s="617"/>
      <c r="F30" s="613">
        <f>'数据-取费表'!B41</f>
        <v>5.5000000000000007E-2</v>
      </c>
      <c r="G30" s="610" t="s">
        <v>845</v>
      </c>
    </row>
    <row r="31" spans="1:7" ht="16.5" customHeight="1">
      <c r="A31" s="585">
        <v>1</v>
      </c>
      <c r="B31" s="586" t="s">
        <v>860</v>
      </c>
      <c r="C31" s="587">
        <f ca="1">ROUND((C5+C19+C20+C22+C27)/(1-C21-D22-D27-C30/(1+'数据-取费表'!B42)),0)</f>
        <v>29535</v>
      </c>
      <c r="D31" s="606"/>
      <c r="E31" s="587"/>
      <c r="F31" s="626"/>
      <c r="G31" s="610" t="s">
        <v>2519</v>
      </c>
    </row>
    <row r="32" spans="1:7" s="584" customFormat="1" ht="15.75">
      <c r="A32" s="628" t="s">
        <v>846</v>
      </c>
      <c r="B32" s="629"/>
      <c r="C32" s="629"/>
      <c r="D32" s="629"/>
      <c r="E32" s="629"/>
      <c r="F32" s="629"/>
      <c r="G32" s="630"/>
    </row>
    <row r="33" spans="1:7" s="590" customFormat="1" ht="13.5" customHeight="1">
      <c r="A33" s="631" t="s">
        <v>1912</v>
      </c>
      <c r="B33" s="586" t="s">
        <v>847</v>
      </c>
      <c r="C33" s="632">
        <f>SUM(C34:C38)</f>
        <v>2916</v>
      </c>
      <c r="D33" s="608"/>
      <c r="E33" s="588"/>
      <c r="F33" s="617"/>
      <c r="G33" s="610"/>
    </row>
    <row r="34" spans="1:7" s="634" customFormat="1" ht="13.5" customHeight="1">
      <c r="A34" s="1805" t="s">
        <v>1924</v>
      </c>
      <c r="B34" s="591" t="s">
        <v>348</v>
      </c>
      <c r="C34" s="596">
        <f>IF(F34=100%,'数据-取费表'!M16-SUMIF('数据-取费表'!C:C,"公共配套",'数据-取费表'!M:M),'数据-取费表'!O16-SUMIF('数据-取费表'!C:C,"公共配套",'数据-取费表'!O:O))</f>
        <v>2547</v>
      </c>
      <c r="D34" s="593"/>
      <c r="E34" s="596"/>
      <c r="F34" s="633">
        <f>IF('数据-取费表'!B24=0,1,'数据-取费表'!N16)</f>
        <v>1</v>
      </c>
      <c r="G34" s="595" t="s">
        <v>848</v>
      </c>
    </row>
    <row r="35" spans="1:7" ht="13.5" customHeight="1">
      <c r="A35" s="1805" t="s">
        <v>1926</v>
      </c>
      <c r="B35" s="591" t="s">
        <v>349</v>
      </c>
      <c r="C35" s="596">
        <f>ROUND(C34*F35,0)</f>
        <v>76</v>
      </c>
      <c r="D35" s="596"/>
      <c r="E35" s="596"/>
      <c r="F35" s="635">
        <f>'数据-取费表'!B33</f>
        <v>0.03</v>
      </c>
      <c r="G35" s="595" t="s">
        <v>849</v>
      </c>
    </row>
    <row r="36" spans="1:7" ht="24">
      <c r="A36" s="1805" t="s">
        <v>1927</v>
      </c>
      <c r="B36" s="591" t="s">
        <v>350</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351</v>
      </c>
    </row>
    <row r="37" spans="1:7" s="634" customFormat="1" ht="13.5" customHeight="1">
      <c r="A37" s="1805" t="s">
        <v>1928</v>
      </c>
      <c r="B37" s="591" t="s">
        <v>850</v>
      </c>
      <c r="C37" s="625">
        <f>ROUND(E37*D37*F34/10000,0)</f>
        <v>255</v>
      </c>
      <c r="D37" s="593">
        <f>'数据-汇总表'!E3</f>
        <v>12736.12000000001</v>
      </c>
      <c r="E37" s="625">
        <f>'数据-取费表'!B35</f>
        <v>200</v>
      </c>
      <c r="F37" s="635"/>
      <c r="G37" s="637" t="s">
        <v>851</v>
      </c>
    </row>
    <row r="38" spans="1:7" ht="13.5" customHeight="1">
      <c r="A38" s="1805" t="s">
        <v>1929</v>
      </c>
      <c r="B38" s="591" t="s">
        <v>352</v>
      </c>
      <c r="C38" s="596">
        <f>ROUND(C34*F38,0)</f>
        <v>38</v>
      </c>
      <c r="D38" s="596"/>
      <c r="E38" s="596"/>
      <c r="F38" s="635">
        <f>'数据-取费表'!B36</f>
        <v>1.4999999999999999E-2</v>
      </c>
      <c r="G38" s="595" t="s">
        <v>849</v>
      </c>
    </row>
    <row r="39" spans="1:7" s="590" customFormat="1" ht="13.5" customHeight="1">
      <c r="A39" s="1802" t="s">
        <v>1913</v>
      </c>
      <c r="B39" s="586" t="s">
        <v>836</v>
      </c>
      <c r="C39" s="608">
        <f>ROUND(C33*F20,0)</f>
        <v>58</v>
      </c>
      <c r="D39" s="608"/>
      <c r="E39" s="608"/>
      <c r="F39" s="609"/>
      <c r="G39" s="2620" t="s">
        <v>2520</v>
      </c>
    </row>
    <row r="40" spans="1:7" s="590" customFormat="1" ht="13.5" customHeight="1">
      <c r="A40" s="1802" t="s">
        <v>1914</v>
      </c>
      <c r="B40" s="586" t="s">
        <v>837</v>
      </c>
      <c r="C40" s="638">
        <f>F21</f>
        <v>0.02</v>
      </c>
      <c r="D40" s="612" t="s">
        <v>861</v>
      </c>
      <c r="E40" s="608"/>
      <c r="F40" s="609"/>
      <c r="G40" s="610" t="s">
        <v>852</v>
      </c>
    </row>
    <row r="41" spans="1:7" s="590" customFormat="1" ht="13.5" customHeight="1">
      <c r="A41" s="1802" t="s">
        <v>1915</v>
      </c>
      <c r="B41" s="586" t="s">
        <v>839</v>
      </c>
      <c r="C41" s="608">
        <f ca="1">ROUND(SUM(C42:C43),0)</f>
        <v>142</v>
      </c>
      <c r="D41" s="611">
        <f ca="1">C44</f>
        <v>1E-3</v>
      </c>
      <c r="E41" s="612" t="s">
        <v>861</v>
      </c>
      <c r="F41" s="613"/>
      <c r="G41" s="2620" t="str">
        <f>IF('数据-取费表'!B22&lt;=1,"单利计息","复利计息")</f>
        <v>复利计息</v>
      </c>
    </row>
    <row r="42" spans="1:7" ht="13.5" customHeight="1">
      <c r="A42" s="1805" t="s">
        <v>1924</v>
      </c>
      <c r="B42" s="591" t="s">
        <v>2510</v>
      </c>
      <c r="C42" s="614">
        <f ca="1">ROUND(IF('数据-取费表'!B22&lt;=1,C33*F22*'数据-取费表'!B21/2,C33*(POWER((1+F22),'数据-取费表'!B21/2)-1)),0)</f>
        <v>139</v>
      </c>
      <c r="D42" s="614"/>
      <c r="E42" s="614"/>
      <c r="F42" s="615"/>
      <c r="G42" s="3619" t="s">
        <v>853</v>
      </c>
    </row>
    <row r="43" spans="1:7" ht="13.5" customHeight="1">
      <c r="A43" s="1805" t="s">
        <v>1922</v>
      </c>
      <c r="B43" s="591" t="s">
        <v>2513</v>
      </c>
      <c r="C43" s="614">
        <f ca="1">ROUND(IF('数据-取费表'!B22&lt;=1,C39*F22*'数据-取费表'!B21/2,C39*(POWER((1+F22),'数据-取费表'!B21/2)-1)),0)</f>
        <v>3</v>
      </c>
      <c r="D43" s="614"/>
      <c r="E43" s="614"/>
      <c r="F43" s="615"/>
      <c r="G43" s="3620"/>
    </row>
    <row r="44" spans="1:7" ht="13.5" customHeight="1">
      <c r="A44" s="1805" t="s">
        <v>1923</v>
      </c>
      <c r="B44" s="591" t="s">
        <v>2515</v>
      </c>
      <c r="C44" s="614">
        <f ca="1">ROUND(IF('数据-取费表'!B22&lt;=1,C40*F22*'数据-取费表'!B21/2,C40*(POWER((1+F22),'数据-取费表'!B21/2)-1)),4)</f>
        <v>1E-3</v>
      </c>
      <c r="D44" s="614"/>
      <c r="E44" s="614"/>
      <c r="F44" s="615"/>
      <c r="G44" s="3621"/>
    </row>
    <row r="45" spans="1:7" s="590" customFormat="1" ht="13.5" customHeight="1">
      <c r="A45" s="1802" t="s">
        <v>1916</v>
      </c>
      <c r="B45" s="620" t="s">
        <v>844</v>
      </c>
      <c r="C45" s="621">
        <f>C46</f>
        <v>595</v>
      </c>
      <c r="D45" s="611">
        <f>C47</f>
        <v>4.0000000000000001E-3</v>
      </c>
      <c r="E45" s="612" t="s">
        <v>861</v>
      </c>
      <c r="F45" s="622"/>
      <c r="G45" s="623" t="s">
        <v>2521</v>
      </c>
    </row>
    <row r="46" spans="1:7" s="590" customFormat="1" ht="13.5" customHeight="1">
      <c r="A46" s="1805" t="s">
        <v>1924</v>
      </c>
      <c r="B46" s="624" t="s">
        <v>2514</v>
      </c>
      <c r="C46" s="625">
        <f>ROUND((C33+C39)*F27,0)</f>
        <v>595</v>
      </c>
      <c r="D46" s="639"/>
      <c r="E46" s="612"/>
      <c r="F46" s="622"/>
      <c r="G46" s="623"/>
    </row>
    <row r="47" spans="1:7" s="590" customFormat="1" ht="13.5" customHeight="1">
      <c r="A47" s="1805" t="s">
        <v>1922</v>
      </c>
      <c r="B47" s="624" t="s">
        <v>2516</v>
      </c>
      <c r="C47" s="614">
        <f>ROUND(C40*F27,4)</f>
        <v>4.0000000000000001E-3</v>
      </c>
      <c r="D47" s="639"/>
      <c r="E47" s="612"/>
      <c r="F47" s="622"/>
      <c r="G47" s="623"/>
    </row>
    <row r="48" spans="1:7" s="590" customFormat="1" ht="13.5" customHeight="1">
      <c r="A48" s="1802" t="s">
        <v>1917</v>
      </c>
      <c r="B48" s="586" t="s">
        <v>854</v>
      </c>
      <c r="C48" s="638">
        <f>F30</f>
        <v>5.5000000000000007E-2</v>
      </c>
      <c r="D48" s="612" t="s">
        <v>862</v>
      </c>
      <c r="E48" s="608"/>
      <c r="F48" s="613"/>
      <c r="G48" s="610" t="s">
        <v>855</v>
      </c>
    </row>
    <row r="49" spans="1:7" ht="16.5" customHeight="1">
      <c r="A49" s="1802" t="s">
        <v>1918</v>
      </c>
      <c r="B49" s="586" t="s">
        <v>863</v>
      </c>
      <c r="C49" s="608">
        <f ca="1">ROUND((C33+C39+C41+C45)/(1-C40-D41-D45-C48/(1+'数据-取费表'!B42)),0)</f>
        <v>4022</v>
      </c>
      <c r="D49" s="608"/>
      <c r="E49" s="608"/>
      <c r="F49" s="640"/>
      <c r="G49" s="610" t="s">
        <v>2522</v>
      </c>
    </row>
    <row r="50" spans="1:7" s="634" customFormat="1" ht="24">
      <c r="A50" s="1802" t="s">
        <v>1919</v>
      </c>
      <c r="B50" s="586" t="s">
        <v>856</v>
      </c>
      <c r="C50" s="608"/>
      <c r="D50" s="608"/>
      <c r="E50" s="608"/>
      <c r="F50" s="640">
        <f>IF('数据-取费表'!B24=0,'数据-取费表'!N16,1)</f>
        <v>0.6</v>
      </c>
      <c r="G50" s="623" t="s">
        <v>857</v>
      </c>
    </row>
    <row r="51" spans="1:7" ht="16.5" customHeight="1">
      <c r="A51" s="1802" t="s">
        <v>1920</v>
      </c>
      <c r="B51" s="586" t="s">
        <v>864</v>
      </c>
      <c r="C51" s="608">
        <f ca="1">ROUND(C49*F50,0)</f>
        <v>2413</v>
      </c>
      <c r="D51" s="608"/>
      <c r="E51" s="608"/>
      <c r="F51" s="640"/>
      <c r="G51" s="610" t="s">
        <v>353</v>
      </c>
    </row>
    <row r="52" spans="1:7" s="584" customFormat="1" ht="16.5" thickBot="1">
      <c r="A52" s="641" t="s">
        <v>354</v>
      </c>
      <c r="B52" s="642"/>
      <c r="C52" s="643">
        <f ca="1">C31+C51</f>
        <v>31948</v>
      </c>
      <c r="D52" s="642"/>
      <c r="E52" s="642"/>
      <c r="F52" s="642"/>
      <c r="G52" s="644"/>
    </row>
    <row r="55" spans="1:7" ht="15">
      <c r="B55" s="646" t="s">
        <v>355</v>
      </c>
      <c r="C55" s="647"/>
    </row>
    <row r="56" spans="1:7">
      <c r="B56" s="649" t="s">
        <v>356</v>
      </c>
      <c r="C56" s="650">
        <f ca="1">ROUND(C51/C52,3)</f>
        <v>7.5999999999999998E-2</v>
      </c>
    </row>
    <row r="57" spans="1:7">
      <c r="B57" s="649" t="s">
        <v>357</v>
      </c>
      <c r="C57" s="651">
        <f ca="1">1-C56</f>
        <v>0.92400000000000004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801" t="s">
        <v>1170</v>
      </c>
      <c r="B1" s="3801"/>
      <c r="C1" s="3801"/>
      <c r="D1" s="3801"/>
      <c r="E1" s="3801"/>
      <c r="F1" s="3801"/>
      <c r="H1" s="1520" t="s">
        <v>1171</v>
      </c>
      <c r="I1" s="1521" t="s">
        <v>1172</v>
      </c>
      <c r="J1" s="1521" t="s">
        <v>1173</v>
      </c>
      <c r="K1" s="1521" t="s">
        <v>1174</v>
      </c>
      <c r="L1" s="1521" t="s">
        <v>1175</v>
      </c>
      <c r="M1" s="1521" t="s">
        <v>1176</v>
      </c>
      <c r="N1" s="1521" t="s">
        <v>1177</v>
      </c>
      <c r="O1" s="1521" t="s">
        <v>1178</v>
      </c>
      <c r="P1" s="1521" t="s">
        <v>1179</v>
      </c>
      <c r="Q1" s="1521" t="s">
        <v>1180</v>
      </c>
      <c r="R1" s="1521" t="s">
        <v>1181</v>
      </c>
      <c r="S1" s="1522" t="s">
        <v>1182</v>
      </c>
    </row>
    <row r="2" spans="1:19" ht="14.25" thickBot="1">
      <c r="A2" s="3802" t="s">
        <v>1183</v>
      </c>
      <c r="B2" s="3802"/>
      <c r="C2" s="3802"/>
      <c r="D2" s="3802"/>
      <c r="E2" s="3802"/>
      <c r="F2" s="3802"/>
      <c r="H2" s="1523" t="s">
        <v>1184</v>
      </c>
      <c r="I2" s="1524" t="s">
        <v>1185</v>
      </c>
      <c r="J2" s="1524" t="s">
        <v>1186</v>
      </c>
      <c r="K2" s="1524" t="s">
        <v>1187</v>
      </c>
      <c r="L2" s="1524" t="s">
        <v>1188</v>
      </c>
      <c r="M2" s="1524" t="s">
        <v>1189</v>
      </c>
      <c r="N2" s="1524" t="s">
        <v>1190</v>
      </c>
      <c r="O2" s="1524" t="s">
        <v>1191</v>
      </c>
      <c r="P2" s="1524" t="s">
        <v>1192</v>
      </c>
      <c r="Q2" s="1524" t="s">
        <v>1193</v>
      </c>
      <c r="R2" s="1524" t="s">
        <v>1194</v>
      </c>
      <c r="S2" s="1524" t="s">
        <v>1195</v>
      </c>
    </row>
    <row r="3" spans="1:19" s="1519" customFormat="1" ht="19.5" customHeight="1">
      <c r="A3" s="3803" t="s">
        <v>1196</v>
      </c>
      <c r="B3" s="1525"/>
      <c r="C3" s="1526" t="s">
        <v>1197</v>
      </c>
      <c r="D3" s="1526" t="s">
        <v>1198</v>
      </c>
      <c r="E3" s="1526" t="s">
        <v>1845</v>
      </c>
      <c r="F3" s="1526" t="s">
        <v>1200</v>
      </c>
      <c r="G3" s="1527"/>
      <c r="H3" s="1523" t="s">
        <v>1201</v>
      </c>
      <c r="I3" s="1524" t="s">
        <v>1202</v>
      </c>
      <c r="J3" s="1524" t="s">
        <v>1203</v>
      </c>
      <c r="K3" s="1524" t="s">
        <v>1204</v>
      </c>
      <c r="L3" s="1524" t="s">
        <v>1205</v>
      </c>
      <c r="M3" s="1524" t="s">
        <v>1206</v>
      </c>
      <c r="N3" s="1524" t="s">
        <v>1207</v>
      </c>
      <c r="O3" s="1524" t="s">
        <v>1208</v>
      </c>
      <c r="P3" s="1524" t="s">
        <v>1209</v>
      </c>
      <c r="Q3" s="1524" t="s">
        <v>1210</v>
      </c>
      <c r="R3" s="1524" t="s">
        <v>1211</v>
      </c>
      <c r="S3" s="1524" t="s">
        <v>1212</v>
      </c>
    </row>
    <row r="4" spans="1:19" s="1519" customFormat="1" ht="19.5" customHeight="1" thickBot="1">
      <c r="A4" s="3804"/>
      <c r="B4" s="1528" t="s">
        <v>1213</v>
      </c>
      <c r="C4" s="1528" t="s">
        <v>1214</v>
      </c>
      <c r="D4" s="1528" t="s">
        <v>1214</v>
      </c>
      <c r="E4" s="1528" t="s">
        <v>1214</v>
      </c>
      <c r="F4" s="1529" t="s">
        <v>1214</v>
      </c>
      <c r="G4" s="1527"/>
      <c r="H4" s="1523" t="s">
        <v>1215</v>
      </c>
      <c r="I4" s="1524" t="s">
        <v>1138</v>
      </c>
      <c r="J4" s="1524" t="s">
        <v>1216</v>
      </c>
      <c r="K4" s="1524" t="s">
        <v>1217</v>
      </c>
      <c r="L4" s="1524" t="s">
        <v>1218</v>
      </c>
      <c r="M4" s="1524" t="s">
        <v>1219</v>
      </c>
      <c r="N4" s="1524" t="s">
        <v>1220</v>
      </c>
      <c r="O4" s="1524" t="s">
        <v>1221</v>
      </c>
      <c r="P4" s="1524" t="s">
        <v>1222</v>
      </c>
      <c r="Q4" s="1524" t="s">
        <v>1223</v>
      </c>
      <c r="R4" s="1524" t="s">
        <v>1224</v>
      </c>
      <c r="S4" s="1524" t="s">
        <v>1225</v>
      </c>
    </row>
    <row r="5" spans="1:19" ht="14.25" customHeight="1" thickBot="1">
      <c r="A5" s="1530" t="s">
        <v>1952</v>
      </c>
      <c r="B5" s="1531" t="s">
        <v>1953</v>
      </c>
      <c r="C5" s="1531">
        <v>29530</v>
      </c>
      <c r="D5" s="1531">
        <v>28130</v>
      </c>
      <c r="E5" s="1531">
        <v>27930</v>
      </c>
      <c r="F5" s="1532">
        <v>11300</v>
      </c>
      <c r="G5" s="1527"/>
      <c r="H5" s="1523" t="s">
        <v>1227</v>
      </c>
      <c r="I5" s="1524" t="s">
        <v>1228</v>
      </c>
      <c r="J5" s="1524" t="s">
        <v>1229</v>
      </c>
      <c r="K5" s="1524" t="s">
        <v>1230</v>
      </c>
      <c r="L5" s="1524" t="s">
        <v>1231</v>
      </c>
      <c r="M5" s="1524" t="s">
        <v>1232</v>
      </c>
      <c r="N5" s="1524" t="s">
        <v>1233</v>
      </c>
      <c r="O5" s="1524" t="s">
        <v>1234</v>
      </c>
      <c r="P5" s="1524" t="s">
        <v>1235</v>
      </c>
      <c r="Q5" s="1524" t="s">
        <v>1236</v>
      </c>
      <c r="R5" s="1524" t="s">
        <v>1237</v>
      </c>
      <c r="S5" s="1524" t="s">
        <v>1238</v>
      </c>
    </row>
    <row r="6" spans="1:19" ht="14.25" customHeight="1" thickBot="1">
      <c r="A6" s="1530" t="s">
        <v>1226</v>
      </c>
      <c r="B6" s="1524" t="s">
        <v>1201</v>
      </c>
      <c r="C6" s="1524">
        <v>30290</v>
      </c>
      <c r="D6" s="1524">
        <v>29210</v>
      </c>
      <c r="E6" s="1524">
        <v>28860</v>
      </c>
      <c r="F6" s="1533">
        <v>12600</v>
      </c>
      <c r="G6" s="1527"/>
      <c r="H6" s="1523" t="s">
        <v>1239</v>
      </c>
      <c r="I6" s="1524" t="s">
        <v>1240</v>
      </c>
      <c r="J6" s="1524" t="s">
        <v>1241</v>
      </c>
      <c r="K6" s="1524" t="s">
        <v>1242</v>
      </c>
      <c r="L6" s="1524" t="s">
        <v>1243</v>
      </c>
      <c r="M6" s="1524" t="s">
        <v>1244</v>
      </c>
      <c r="N6" s="1524" t="s">
        <v>1245</v>
      </c>
      <c r="O6" s="1524" t="s">
        <v>1246</v>
      </c>
      <c r="P6" s="1524" t="s">
        <v>1247</v>
      </c>
      <c r="Q6" s="1524" t="s">
        <v>1248</v>
      </c>
      <c r="R6" s="1524" t="s">
        <v>1249</v>
      </c>
      <c r="S6" s="1524" t="s">
        <v>1250</v>
      </c>
    </row>
    <row r="7" spans="1:19" ht="14.25" customHeight="1" thickBot="1">
      <c r="A7" s="1530" t="s">
        <v>1226</v>
      </c>
      <c r="B7" s="1534" t="s">
        <v>1215</v>
      </c>
      <c r="C7" s="1524">
        <v>29350</v>
      </c>
      <c r="D7" s="1524">
        <v>28410</v>
      </c>
      <c r="E7" s="1524">
        <v>27990</v>
      </c>
      <c r="F7" s="1533">
        <v>12300</v>
      </c>
      <c r="G7" s="1527"/>
      <c r="I7" s="1524" t="s">
        <v>1251</v>
      </c>
      <c r="J7" s="1524" t="s">
        <v>1252</v>
      </c>
      <c r="K7" s="1524" t="s">
        <v>1253</v>
      </c>
      <c r="L7" s="1524" t="s">
        <v>1254</v>
      </c>
      <c r="M7" s="1524" t="s">
        <v>1255</v>
      </c>
      <c r="N7" s="1524" t="s">
        <v>1256</v>
      </c>
      <c r="O7" s="1524" t="s">
        <v>1257</v>
      </c>
      <c r="P7" s="1524" t="s">
        <v>1258</v>
      </c>
      <c r="Q7" s="1524" t="s">
        <v>1259</v>
      </c>
      <c r="R7" s="1524" t="s">
        <v>1260</v>
      </c>
      <c r="S7" s="1534" t="s">
        <v>1261</v>
      </c>
    </row>
    <row r="8" spans="1:19" ht="14.25" customHeight="1" thickBot="1">
      <c r="A8" s="1530" t="s">
        <v>1226</v>
      </c>
      <c r="B8" s="1524" t="s">
        <v>1227</v>
      </c>
      <c r="C8" s="1524">
        <v>30890</v>
      </c>
      <c r="D8" s="1524">
        <v>29780</v>
      </c>
      <c r="E8" s="1524">
        <v>29270</v>
      </c>
      <c r="F8" s="1533">
        <v>11600</v>
      </c>
      <c r="G8" s="1527"/>
      <c r="I8" s="1524" t="s">
        <v>1262</v>
      </c>
      <c r="J8" s="1524" t="s">
        <v>1263</v>
      </c>
      <c r="K8" s="1524" t="s">
        <v>1264</v>
      </c>
      <c r="L8" s="1524" t="s">
        <v>1265</v>
      </c>
      <c r="M8" s="1524" t="s">
        <v>1266</v>
      </c>
      <c r="N8" s="1524" t="s">
        <v>1267</v>
      </c>
      <c r="O8" s="1524" t="s">
        <v>1268</v>
      </c>
      <c r="P8" s="1524" t="s">
        <v>1269</v>
      </c>
      <c r="Q8" s="1524" t="s">
        <v>1270</v>
      </c>
      <c r="R8" s="1524" t="s">
        <v>1271</v>
      </c>
      <c r="S8" s="1524" t="s">
        <v>1272</v>
      </c>
    </row>
    <row r="9" spans="1:19" ht="14.25" customHeight="1" thickBot="1">
      <c r="A9" s="1530" t="s">
        <v>1226</v>
      </c>
      <c r="B9" s="1535" t="s">
        <v>1239</v>
      </c>
      <c r="C9" s="1536">
        <v>28140</v>
      </c>
      <c r="D9" s="1536"/>
      <c r="E9" s="1536"/>
      <c r="F9" s="1537"/>
      <c r="G9" s="1527"/>
      <c r="I9" s="1524" t="s">
        <v>1273</v>
      </c>
      <c r="J9" s="1524" t="s">
        <v>1274</v>
      </c>
      <c r="K9" s="1524" t="s">
        <v>1275</v>
      </c>
      <c r="L9" s="1524" t="s">
        <v>1276</v>
      </c>
      <c r="M9" s="1524" t="s">
        <v>1277</v>
      </c>
      <c r="N9" s="1524" t="s">
        <v>1278</v>
      </c>
      <c r="O9" s="1524" t="s">
        <v>1279</v>
      </c>
      <c r="P9" s="1524" t="s">
        <v>1280</v>
      </c>
      <c r="Q9" s="1524" t="s">
        <v>1281</v>
      </c>
      <c r="R9" s="1524" t="s">
        <v>1282</v>
      </c>
    </row>
    <row r="10" spans="1:19" ht="14.25" customHeight="1" thickBot="1">
      <c r="A10" s="1530" t="s">
        <v>1283</v>
      </c>
      <c r="B10" s="1531" t="s">
        <v>1284</v>
      </c>
      <c r="C10" s="1531">
        <v>27450</v>
      </c>
      <c r="D10" s="1531">
        <v>26180</v>
      </c>
      <c r="E10" s="1531">
        <v>25980</v>
      </c>
      <c r="F10" s="1532">
        <v>8910</v>
      </c>
      <c r="G10" s="1527"/>
      <c r="I10" s="1524" t="s">
        <v>1285</v>
      </c>
      <c r="J10" s="1524" t="s">
        <v>1286</v>
      </c>
      <c r="K10" s="1524" t="s">
        <v>1287</v>
      </c>
      <c r="L10" s="1524" t="s">
        <v>1288</v>
      </c>
      <c r="M10" s="1524" t="s">
        <v>1289</v>
      </c>
      <c r="N10" s="1524" t="s">
        <v>1290</v>
      </c>
      <c r="O10" s="1524" t="s">
        <v>1291</v>
      </c>
      <c r="P10" s="1524" t="s">
        <v>1292</v>
      </c>
      <c r="Q10" s="1524" t="s">
        <v>1293</v>
      </c>
      <c r="R10" s="1524" t="s">
        <v>1294</v>
      </c>
    </row>
    <row r="11" spans="1:19" ht="14.25" customHeight="1" thickBot="1">
      <c r="A11" s="1530" t="s">
        <v>1283</v>
      </c>
      <c r="B11" s="1534" t="s">
        <v>1202</v>
      </c>
      <c r="C11" s="1524">
        <v>22950</v>
      </c>
      <c r="D11" s="1524">
        <v>22630</v>
      </c>
      <c r="E11" s="1524">
        <v>22030</v>
      </c>
      <c r="F11" s="1538">
        <v>8330</v>
      </c>
      <c r="G11" s="1527"/>
      <c r="I11" s="1524" t="s">
        <v>1295</v>
      </c>
      <c r="J11" s="1524" t="s">
        <v>1296</v>
      </c>
      <c r="K11" s="1524" t="s">
        <v>1297</v>
      </c>
      <c r="L11" s="1524" t="s">
        <v>1298</v>
      </c>
      <c r="M11" s="1524" t="s">
        <v>1299</v>
      </c>
      <c r="N11" s="1524" t="s">
        <v>1300</v>
      </c>
      <c r="O11" s="1524" t="s">
        <v>1301</v>
      </c>
      <c r="P11" s="1524" t="s">
        <v>1302</v>
      </c>
      <c r="Q11" s="1524" t="s">
        <v>1303</v>
      </c>
      <c r="R11" s="1524" t="s">
        <v>1304</v>
      </c>
    </row>
    <row r="12" spans="1:19" ht="14.25" customHeight="1" thickBot="1">
      <c r="A12" s="1530" t="s">
        <v>1283</v>
      </c>
      <c r="B12" s="1534" t="s">
        <v>1138</v>
      </c>
      <c r="C12" s="1524">
        <v>24940</v>
      </c>
      <c r="D12" s="1524">
        <v>23180</v>
      </c>
      <c r="E12" s="1524">
        <v>22910</v>
      </c>
      <c r="F12" s="1538">
        <v>7180</v>
      </c>
      <c r="G12" s="1527"/>
      <c r="I12" s="1524" t="s">
        <v>1305</v>
      </c>
      <c r="J12" s="1524" t="s">
        <v>1306</v>
      </c>
      <c r="K12" s="1524" t="s">
        <v>1307</v>
      </c>
      <c r="L12" s="1524" t="s">
        <v>1308</v>
      </c>
      <c r="M12" s="1524" t="s">
        <v>1309</v>
      </c>
      <c r="N12" s="1524" t="s">
        <v>1310</v>
      </c>
      <c r="O12" s="1524" t="s">
        <v>1311</v>
      </c>
      <c r="P12" s="1524" t="s">
        <v>1312</v>
      </c>
      <c r="Q12" s="1524" t="s">
        <v>1313</v>
      </c>
      <c r="R12" s="1524" t="s">
        <v>1314</v>
      </c>
    </row>
    <row r="13" spans="1:19" ht="14.25" customHeight="1" thickBot="1">
      <c r="A13" s="1530" t="s">
        <v>1283</v>
      </c>
      <c r="B13" s="1534" t="s">
        <v>1228</v>
      </c>
      <c r="C13" s="1524">
        <v>24140</v>
      </c>
      <c r="D13" s="1524">
        <v>22270</v>
      </c>
      <c r="E13" s="1524">
        <v>21950</v>
      </c>
      <c r="F13" s="1538">
        <v>7600</v>
      </c>
      <c r="G13" s="1527"/>
      <c r="I13" s="1524" t="s">
        <v>1315</v>
      </c>
      <c r="J13" s="1524" t="s">
        <v>1316</v>
      </c>
      <c r="K13" s="1524" t="s">
        <v>1317</v>
      </c>
      <c r="L13" s="1524" t="s">
        <v>1318</v>
      </c>
      <c r="M13" s="1524" t="s">
        <v>1319</v>
      </c>
      <c r="N13" s="1524" t="s">
        <v>1320</v>
      </c>
      <c r="O13" s="1524" t="s">
        <v>1321</v>
      </c>
      <c r="P13" s="1524" t="s">
        <v>1322</v>
      </c>
      <c r="Q13" s="1524" t="s">
        <v>1323</v>
      </c>
      <c r="R13" s="1524" t="s">
        <v>1324</v>
      </c>
    </row>
    <row r="14" spans="1:19" ht="14.25" customHeight="1" thickBot="1">
      <c r="A14" s="1530" t="s">
        <v>1283</v>
      </c>
      <c r="B14" s="1534" t="s">
        <v>1240</v>
      </c>
      <c r="C14" s="1524">
        <v>25600</v>
      </c>
      <c r="D14" s="1524">
        <v>22260</v>
      </c>
      <c r="E14" s="1524">
        <v>22110</v>
      </c>
      <c r="F14" s="1538">
        <v>7630</v>
      </c>
      <c r="G14" s="1527"/>
      <c r="I14" s="1524" t="s">
        <v>1325</v>
      </c>
      <c r="J14" s="1524" t="s">
        <v>1326</v>
      </c>
      <c r="K14" s="1524" t="s">
        <v>1327</v>
      </c>
      <c r="L14" s="1524" t="s">
        <v>1328</v>
      </c>
      <c r="M14" s="1524" t="s">
        <v>1329</v>
      </c>
      <c r="N14" s="1524" t="s">
        <v>1330</v>
      </c>
      <c r="O14" s="1524" t="s">
        <v>1331</v>
      </c>
      <c r="P14" s="1524" t="s">
        <v>1332</v>
      </c>
      <c r="Q14" s="1524" t="s">
        <v>1333</v>
      </c>
      <c r="R14" s="1524" t="s">
        <v>1334</v>
      </c>
    </row>
    <row r="15" spans="1:19" ht="14.25" customHeight="1" thickBot="1">
      <c r="A15" s="1530" t="s">
        <v>1283</v>
      </c>
      <c r="B15" s="1534" t="s">
        <v>1251</v>
      </c>
      <c r="C15" s="1524">
        <v>24760</v>
      </c>
      <c r="D15" s="1524">
        <v>24440</v>
      </c>
      <c r="E15" s="1524">
        <v>24130</v>
      </c>
      <c r="F15" s="1538">
        <v>9480</v>
      </c>
      <c r="G15" s="1527"/>
      <c r="I15" s="1524" t="s">
        <v>1336</v>
      </c>
      <c r="J15" s="1524" t="s">
        <v>1337</v>
      </c>
      <c r="K15" s="1524" t="s">
        <v>1338</v>
      </c>
      <c r="L15" s="1524" t="s">
        <v>1339</v>
      </c>
      <c r="M15" s="1524" t="s">
        <v>1340</v>
      </c>
      <c r="N15" s="1524" t="s">
        <v>1341</v>
      </c>
      <c r="O15" s="1524" t="s">
        <v>1342</v>
      </c>
      <c r="P15" s="1524" t="s">
        <v>1343</v>
      </c>
      <c r="Q15" s="1524" t="s">
        <v>1344</v>
      </c>
      <c r="R15" s="1524" t="s">
        <v>1345</v>
      </c>
    </row>
    <row r="16" spans="1:19" ht="14.25" customHeight="1" thickBot="1">
      <c r="A16" s="1530" t="s">
        <v>1283</v>
      </c>
      <c r="B16" s="1534" t="s">
        <v>1262</v>
      </c>
      <c r="C16" s="1524">
        <v>22220</v>
      </c>
      <c r="D16" s="1524">
        <v>22310</v>
      </c>
      <c r="E16" s="1524">
        <v>22000</v>
      </c>
      <c r="F16" s="1538">
        <v>8900</v>
      </c>
      <c r="G16" s="1527"/>
      <c r="I16" s="1524" t="s">
        <v>1347</v>
      </c>
      <c r="J16" s="1524" t="s">
        <v>1348</v>
      </c>
      <c r="K16" s="1524" t="s">
        <v>1349</v>
      </c>
      <c r="L16" s="1524" t="s">
        <v>1350</v>
      </c>
      <c r="M16" s="1524" t="s">
        <v>1351</v>
      </c>
      <c r="N16" s="1524" t="s">
        <v>1352</v>
      </c>
      <c r="O16" s="1524" t="s">
        <v>1353</v>
      </c>
      <c r="P16" s="1524" t="s">
        <v>1354</v>
      </c>
      <c r="Q16" s="1524" t="s">
        <v>1355</v>
      </c>
      <c r="R16" s="1524" t="s">
        <v>1356</v>
      </c>
    </row>
    <row r="17" spans="1:18" ht="14.25" customHeight="1" thickBot="1">
      <c r="A17" s="1530" t="s">
        <v>1283</v>
      </c>
      <c r="B17" s="1534" t="s">
        <v>1273</v>
      </c>
      <c r="C17" s="1524">
        <v>24700</v>
      </c>
      <c r="D17" s="1524">
        <v>25150</v>
      </c>
      <c r="E17" s="1524">
        <v>24700</v>
      </c>
      <c r="F17" s="1539"/>
      <c r="G17" s="1527"/>
      <c r="I17" s="1524" t="s">
        <v>1357</v>
      </c>
      <c r="J17" s="1524" t="s">
        <v>1358</v>
      </c>
      <c r="K17" s="1524" t="s">
        <v>1359</v>
      </c>
      <c r="L17" s="1524" t="s">
        <v>1360</v>
      </c>
      <c r="M17" s="1524" t="s">
        <v>1361</v>
      </c>
      <c r="N17" s="1524" t="s">
        <v>1362</v>
      </c>
      <c r="O17" s="1524" t="s">
        <v>1363</v>
      </c>
      <c r="P17" s="1524" t="s">
        <v>1364</v>
      </c>
      <c r="Q17" s="1524" t="s">
        <v>1365</v>
      </c>
      <c r="R17" s="1524" t="s">
        <v>1366</v>
      </c>
    </row>
    <row r="18" spans="1:18" ht="14.25" customHeight="1" thickBot="1">
      <c r="A18" s="1530" t="s">
        <v>1283</v>
      </c>
      <c r="B18" s="1534" t="s">
        <v>1285</v>
      </c>
      <c r="C18" s="1524">
        <v>22350</v>
      </c>
      <c r="D18" s="1524">
        <v>24340</v>
      </c>
      <c r="E18" s="1524">
        <v>24100</v>
      </c>
      <c r="F18" s="1539"/>
      <c r="G18" s="1527"/>
      <c r="I18" s="1524" t="s">
        <v>1367</v>
      </c>
      <c r="J18" s="1524" t="s">
        <v>1368</v>
      </c>
      <c r="K18" s="1524" t="s">
        <v>1369</v>
      </c>
      <c r="L18" s="1524" t="s">
        <v>1370</v>
      </c>
      <c r="M18" s="1524" t="s">
        <v>1371</v>
      </c>
      <c r="N18" s="1524" t="s">
        <v>1372</v>
      </c>
      <c r="O18" s="1524" t="s">
        <v>1373</v>
      </c>
      <c r="P18" s="1524" t="s">
        <v>1374</v>
      </c>
      <c r="Q18" s="1524" t="s">
        <v>1375</v>
      </c>
      <c r="R18" s="1524" t="s">
        <v>1376</v>
      </c>
    </row>
    <row r="19" spans="1:18" ht="14.25" customHeight="1" thickBot="1">
      <c r="A19" s="1530" t="s">
        <v>1283</v>
      </c>
      <c r="B19" s="1534" t="s">
        <v>1295</v>
      </c>
      <c r="C19" s="1524">
        <v>23430</v>
      </c>
      <c r="D19" s="1524">
        <v>21580</v>
      </c>
      <c r="E19" s="1524">
        <v>21350</v>
      </c>
      <c r="F19" s="1539"/>
      <c r="G19" s="1527"/>
      <c r="I19" s="1524" t="s">
        <v>1377</v>
      </c>
      <c r="J19" s="1524" t="s">
        <v>1378</v>
      </c>
      <c r="K19" s="1524" t="s">
        <v>1379</v>
      </c>
      <c r="L19" s="1524" t="s">
        <v>1380</v>
      </c>
      <c r="M19" s="1524" t="s">
        <v>1381</v>
      </c>
      <c r="N19" s="1524" t="s">
        <v>1382</v>
      </c>
      <c r="O19" s="1524" t="s">
        <v>1383</v>
      </c>
      <c r="P19" s="1524" t="s">
        <v>1384</v>
      </c>
      <c r="Q19" s="1524" t="s">
        <v>1385</v>
      </c>
      <c r="R19" s="1524" t="s">
        <v>1386</v>
      </c>
    </row>
    <row r="20" spans="1:18" ht="14.25" customHeight="1" thickBot="1">
      <c r="A20" s="1530" t="s">
        <v>1283</v>
      </c>
      <c r="B20" s="1534" t="s">
        <v>1305</v>
      </c>
      <c r="C20" s="1524">
        <v>27660</v>
      </c>
      <c r="D20" s="1524">
        <v>24240</v>
      </c>
      <c r="E20" s="1524">
        <v>24020</v>
      </c>
      <c r="F20" s="1539"/>
      <c r="I20" s="1524" t="s">
        <v>1387</v>
      </c>
      <c r="J20" s="1524" t="s">
        <v>1388</v>
      </c>
      <c r="K20" s="1524" t="s">
        <v>1389</v>
      </c>
      <c r="L20" s="1524" t="s">
        <v>1390</v>
      </c>
      <c r="M20" s="1524" t="s">
        <v>1391</v>
      </c>
      <c r="N20" s="1524" t="s">
        <v>1392</v>
      </c>
      <c r="O20" s="1524" t="s">
        <v>1393</v>
      </c>
      <c r="P20" s="1524" t="s">
        <v>1394</v>
      </c>
      <c r="Q20" s="1524" t="s">
        <v>1395</v>
      </c>
      <c r="R20" s="1524" t="s">
        <v>1396</v>
      </c>
    </row>
    <row r="21" spans="1:18" ht="14.25" customHeight="1" thickBot="1">
      <c r="A21" s="1530" t="s">
        <v>1283</v>
      </c>
      <c r="B21" s="1534" t="s">
        <v>1315</v>
      </c>
      <c r="C21" s="1524">
        <v>24720</v>
      </c>
      <c r="D21" s="1524">
        <v>21670</v>
      </c>
      <c r="E21" s="1524">
        <v>21510</v>
      </c>
      <c r="F21" s="1539"/>
      <c r="J21" s="1524" t="s">
        <v>1397</v>
      </c>
      <c r="K21" s="1524" t="s">
        <v>1398</v>
      </c>
      <c r="L21" s="1524" t="s">
        <v>1399</v>
      </c>
      <c r="M21" s="1524" t="s">
        <v>1400</v>
      </c>
      <c r="N21" s="1524" t="s">
        <v>1401</v>
      </c>
      <c r="O21" s="1524" t="s">
        <v>1402</v>
      </c>
      <c r="P21" s="1524" t="s">
        <v>1403</v>
      </c>
      <c r="Q21" s="1524" t="s">
        <v>1404</v>
      </c>
      <c r="R21" s="1524" t="s">
        <v>1405</v>
      </c>
    </row>
    <row r="22" spans="1:18" ht="14.25" customHeight="1" thickBot="1">
      <c r="A22" s="1530" t="s">
        <v>1283</v>
      </c>
      <c r="B22" s="1534" t="s">
        <v>1406</v>
      </c>
      <c r="C22" s="1524">
        <v>26530</v>
      </c>
      <c r="D22" s="1524">
        <v>22980</v>
      </c>
      <c r="E22" s="1524">
        <v>22650</v>
      </c>
      <c r="F22" s="1539"/>
      <c r="K22" s="1524" t="s">
        <v>1407</v>
      </c>
      <c r="L22" s="1524" t="s">
        <v>1408</v>
      </c>
      <c r="M22" s="1524" t="s">
        <v>1409</v>
      </c>
      <c r="N22" s="1524" t="s">
        <v>1410</v>
      </c>
      <c r="O22" s="1524" t="s">
        <v>1411</v>
      </c>
      <c r="P22" s="1524" t="s">
        <v>1412</v>
      </c>
      <c r="Q22" s="1524" t="s">
        <v>1413</v>
      </c>
      <c r="R22" s="1534" t="s">
        <v>1414</v>
      </c>
    </row>
    <row r="23" spans="1:18" ht="14.25" customHeight="1" thickBot="1">
      <c r="A23" s="1530" t="s">
        <v>1283</v>
      </c>
      <c r="B23" s="1534" t="s">
        <v>1336</v>
      </c>
      <c r="C23" s="1524">
        <v>24700</v>
      </c>
      <c r="D23" s="1524">
        <v>27290</v>
      </c>
      <c r="E23" s="1524">
        <v>26710</v>
      </c>
      <c r="F23" s="1539"/>
      <c r="K23" s="1524" t="s">
        <v>1415</v>
      </c>
      <c r="L23" s="1524" t="s">
        <v>1416</v>
      </c>
      <c r="M23" s="1524" t="s">
        <v>1417</v>
      </c>
      <c r="N23" s="1524" t="s">
        <v>1418</v>
      </c>
      <c r="O23" s="1524" t="s">
        <v>1419</v>
      </c>
      <c r="P23" s="1524" t="s">
        <v>1420</v>
      </c>
      <c r="Q23" s="1524" t="s">
        <v>1421</v>
      </c>
    </row>
    <row r="24" spans="1:18" ht="14.25" customHeight="1" thickBot="1">
      <c r="A24" s="1530" t="s">
        <v>1283</v>
      </c>
      <c r="B24" s="1534" t="s">
        <v>1347</v>
      </c>
      <c r="C24" s="1524">
        <v>23070</v>
      </c>
      <c r="D24" s="1524">
        <v>24130</v>
      </c>
      <c r="E24" s="1524">
        <v>23860</v>
      </c>
      <c r="F24" s="1539"/>
      <c r="K24" s="1524" t="s">
        <v>1422</v>
      </c>
      <c r="L24" s="1524" t="s">
        <v>1423</v>
      </c>
      <c r="M24" s="1524" t="s">
        <v>1424</v>
      </c>
      <c r="N24" s="1524" t="s">
        <v>1425</v>
      </c>
      <c r="O24" s="1524" t="s">
        <v>1426</v>
      </c>
      <c r="P24" s="1524" t="s">
        <v>1427</v>
      </c>
      <c r="Q24" s="1524" t="s">
        <v>1428</v>
      </c>
    </row>
    <row r="25" spans="1:18" ht="14.25" customHeight="1" thickBot="1">
      <c r="A25" s="1530" t="s">
        <v>1283</v>
      </c>
      <c r="B25" s="1534" t="s">
        <v>1357</v>
      </c>
      <c r="C25" s="1524">
        <v>27550</v>
      </c>
      <c r="D25" s="1524">
        <v>25850</v>
      </c>
      <c r="E25" s="1524">
        <v>25340</v>
      </c>
      <c r="F25" s="1539"/>
      <c r="K25" s="1524" t="s">
        <v>1429</v>
      </c>
      <c r="L25" s="1524" t="s">
        <v>1430</v>
      </c>
      <c r="M25" s="1524" t="s">
        <v>1431</v>
      </c>
      <c r="N25" s="1524" t="s">
        <v>1432</v>
      </c>
      <c r="O25" s="1524" t="s">
        <v>1433</v>
      </c>
      <c r="P25" s="1524" t="s">
        <v>1434</v>
      </c>
      <c r="Q25" s="1524" t="s">
        <v>1435</v>
      </c>
    </row>
    <row r="26" spans="1:18" ht="14.25" customHeight="1" thickBot="1">
      <c r="A26" s="1530" t="s">
        <v>1283</v>
      </c>
      <c r="B26" s="1534" t="s">
        <v>1367</v>
      </c>
      <c r="C26" s="1524"/>
      <c r="D26" s="1524">
        <v>23900</v>
      </c>
      <c r="E26" s="1524">
        <v>23590</v>
      </c>
      <c r="F26" s="1539"/>
      <c r="K26" s="1524" t="s">
        <v>1436</v>
      </c>
      <c r="L26" s="1524" t="s">
        <v>1437</v>
      </c>
      <c r="M26" s="1524" t="s">
        <v>1438</v>
      </c>
      <c r="N26" s="1524" t="s">
        <v>1439</v>
      </c>
      <c r="O26" s="1524" t="s">
        <v>1440</v>
      </c>
      <c r="P26" s="1524" t="s">
        <v>1441</v>
      </c>
      <c r="Q26" s="1524" t="s">
        <v>1442</v>
      </c>
    </row>
    <row r="27" spans="1:18" ht="14.25" customHeight="1" thickBot="1">
      <c r="A27" s="1530" t="s">
        <v>1283</v>
      </c>
      <c r="B27" s="1534" t="s">
        <v>1377</v>
      </c>
      <c r="C27" s="1524"/>
      <c r="D27" s="1524">
        <v>22850</v>
      </c>
      <c r="E27" s="1524">
        <v>21920</v>
      </c>
      <c r="F27" s="1539"/>
      <c r="K27" s="1524" t="s">
        <v>1443</v>
      </c>
      <c r="L27" s="1524" t="s">
        <v>1444</v>
      </c>
      <c r="M27" s="1524" t="s">
        <v>1445</v>
      </c>
      <c r="N27" s="1524" t="s">
        <v>1446</v>
      </c>
      <c r="O27" s="1524" t="s">
        <v>1447</v>
      </c>
      <c r="P27" s="1524" t="s">
        <v>1448</v>
      </c>
      <c r="Q27" s="1524" t="s">
        <v>1449</v>
      </c>
    </row>
    <row r="28" spans="1:18" ht="14.25" customHeight="1" thickBot="1">
      <c r="A28" s="1540" t="s">
        <v>1283</v>
      </c>
      <c r="B28" s="1535" t="s">
        <v>1387</v>
      </c>
      <c r="C28" s="1536"/>
      <c r="D28" s="1536">
        <v>26610</v>
      </c>
      <c r="E28" s="1536">
        <v>26370</v>
      </c>
      <c r="F28" s="1537"/>
      <c r="K28" s="1524" t="s">
        <v>1450</v>
      </c>
      <c r="L28" s="1524" t="s">
        <v>1451</v>
      </c>
      <c r="M28" s="1524" t="s">
        <v>1452</v>
      </c>
      <c r="N28" s="1524" t="s">
        <v>1453</v>
      </c>
      <c r="O28" s="1524" t="s">
        <v>1454</v>
      </c>
      <c r="P28" s="1524" t="s">
        <v>1455</v>
      </c>
    </row>
    <row r="29" spans="1:18" ht="14.25" customHeight="1" thickBot="1">
      <c r="A29" s="1530" t="s">
        <v>1456</v>
      </c>
      <c r="B29" s="1531" t="s">
        <v>1457</v>
      </c>
      <c r="C29" s="1531">
        <v>22090</v>
      </c>
      <c r="D29" s="1531">
        <v>21860</v>
      </c>
      <c r="E29" s="1531">
        <v>19380</v>
      </c>
      <c r="F29" s="1532">
        <v>6610</v>
      </c>
      <c r="L29" s="1524" t="s">
        <v>1458</v>
      </c>
      <c r="M29" s="1524" t="s">
        <v>1459</v>
      </c>
      <c r="N29" s="1524" t="s">
        <v>1460</v>
      </c>
      <c r="O29" s="1524" t="s">
        <v>1461</v>
      </c>
      <c r="P29" s="1524" t="s">
        <v>1462</v>
      </c>
    </row>
    <row r="30" spans="1:18" ht="14.25" customHeight="1" thickBot="1">
      <c r="A30" s="1530" t="s">
        <v>1456</v>
      </c>
      <c r="B30" s="1534" t="s">
        <v>1203</v>
      </c>
      <c r="C30" s="1524">
        <v>21380</v>
      </c>
      <c r="D30" s="1524">
        <v>19930</v>
      </c>
      <c r="E30" s="1524">
        <v>19860</v>
      </c>
      <c r="F30" s="1538">
        <v>6010</v>
      </c>
      <c r="L30" s="1524" t="s">
        <v>1463</v>
      </c>
      <c r="M30" s="1524" t="s">
        <v>1464</v>
      </c>
      <c r="N30" s="1524" t="s">
        <v>1465</v>
      </c>
      <c r="O30" s="1524" t="s">
        <v>2495</v>
      </c>
      <c r="P30" s="1524" t="s">
        <v>1466</v>
      </c>
    </row>
    <row r="31" spans="1:18" ht="14.25" customHeight="1" thickBot="1">
      <c r="A31" s="1530" t="s">
        <v>1456</v>
      </c>
      <c r="B31" s="1534" t="s">
        <v>1216</v>
      </c>
      <c r="C31" s="1524">
        <v>21670</v>
      </c>
      <c r="D31" s="1524">
        <v>20660</v>
      </c>
      <c r="E31" s="1524">
        <v>20290</v>
      </c>
      <c r="F31" s="1538">
        <v>5840</v>
      </c>
      <c r="L31" s="1524" t="s">
        <v>1467</v>
      </c>
      <c r="M31" s="1524" t="s">
        <v>1468</v>
      </c>
      <c r="N31" s="1524" t="s">
        <v>1469</v>
      </c>
      <c r="O31" s="1524" t="s">
        <v>1470</v>
      </c>
      <c r="P31" s="1524" t="s">
        <v>1471</v>
      </c>
    </row>
    <row r="32" spans="1:18" ht="14.25" customHeight="1" thickBot="1">
      <c r="A32" s="1530" t="s">
        <v>1456</v>
      </c>
      <c r="B32" s="1534" t="s">
        <v>1229</v>
      </c>
      <c r="C32" s="1524">
        <v>22280</v>
      </c>
      <c r="D32" s="1524">
        <v>21800</v>
      </c>
      <c r="E32" s="1524">
        <v>17650</v>
      </c>
      <c r="F32" s="1538">
        <v>4690</v>
      </c>
      <c r="L32" s="1524" t="s">
        <v>1472</v>
      </c>
      <c r="M32" s="1524" t="s">
        <v>1473</v>
      </c>
      <c r="N32" s="1524" t="s">
        <v>1474</v>
      </c>
      <c r="O32" s="1524" t="s">
        <v>1475</v>
      </c>
      <c r="P32" s="1524" t="s">
        <v>1476</v>
      </c>
    </row>
    <row r="33" spans="1:16" ht="14.25" customHeight="1" thickBot="1">
      <c r="A33" s="1530" t="s">
        <v>1456</v>
      </c>
      <c r="B33" s="1534" t="s">
        <v>1241</v>
      </c>
      <c r="C33" s="1524">
        <v>22130</v>
      </c>
      <c r="D33" s="1524">
        <v>20460</v>
      </c>
      <c r="E33" s="1524">
        <v>18500</v>
      </c>
      <c r="F33" s="1538">
        <v>5340</v>
      </c>
      <c r="L33" s="1524" t="s">
        <v>1477</v>
      </c>
      <c r="M33" s="1524" t="s">
        <v>1478</v>
      </c>
      <c r="N33" s="1524" t="s">
        <v>1479</v>
      </c>
      <c r="O33" s="1524" t="s">
        <v>1480</v>
      </c>
      <c r="P33" s="1524" t="s">
        <v>1481</v>
      </c>
    </row>
    <row r="34" spans="1:16" ht="14.25" customHeight="1" thickBot="1">
      <c r="A34" s="1530" t="s">
        <v>1456</v>
      </c>
      <c r="B34" s="1534" t="s">
        <v>1252</v>
      </c>
      <c r="C34" s="1524">
        <v>22070</v>
      </c>
      <c r="D34" s="1524">
        <v>20110</v>
      </c>
      <c r="E34" s="1524">
        <v>18830</v>
      </c>
      <c r="F34" s="1538">
        <v>5190</v>
      </c>
      <c r="L34" s="1524" t="s">
        <v>1482</v>
      </c>
      <c r="M34" s="1524" t="s">
        <v>1483</v>
      </c>
      <c r="N34" s="1524" t="s">
        <v>1484</v>
      </c>
      <c r="O34" s="1524" t="s">
        <v>1485</v>
      </c>
      <c r="P34" s="1524" t="s">
        <v>1486</v>
      </c>
    </row>
    <row r="35" spans="1:16" ht="14.25" customHeight="1" thickBot="1">
      <c r="A35" s="1530" t="s">
        <v>1456</v>
      </c>
      <c r="B35" s="1534" t="s">
        <v>1263</v>
      </c>
      <c r="C35" s="1524">
        <v>22240</v>
      </c>
      <c r="D35" s="1524">
        <v>19550</v>
      </c>
      <c r="E35" s="1524">
        <v>19220</v>
      </c>
      <c r="F35" s="1538">
        <v>5800</v>
      </c>
      <c r="L35" s="1524" t="s">
        <v>1487</v>
      </c>
      <c r="M35" s="1524" t="s">
        <v>1488</v>
      </c>
      <c r="N35" s="1524" t="s">
        <v>1489</v>
      </c>
      <c r="O35" s="1524" t="s">
        <v>1490</v>
      </c>
      <c r="P35" s="1524" t="s">
        <v>1491</v>
      </c>
    </row>
    <row r="36" spans="1:16" ht="14.25" customHeight="1" thickBot="1">
      <c r="A36" s="1530" t="s">
        <v>1456</v>
      </c>
      <c r="B36" s="1534" t="s">
        <v>1274</v>
      </c>
      <c r="C36" s="1524">
        <v>19750</v>
      </c>
      <c r="D36" s="1524">
        <v>19790</v>
      </c>
      <c r="E36" s="1524">
        <v>18510</v>
      </c>
      <c r="F36" s="1538">
        <v>6520</v>
      </c>
      <c r="M36" s="1524" t="s">
        <v>1492</v>
      </c>
      <c r="N36" s="1524" t="s">
        <v>1493</v>
      </c>
      <c r="O36" s="1524" t="s">
        <v>1494</v>
      </c>
      <c r="P36" s="1524" t="s">
        <v>1495</v>
      </c>
    </row>
    <row r="37" spans="1:16" ht="14.25" customHeight="1" thickBot="1">
      <c r="A37" s="1530" t="s">
        <v>1456</v>
      </c>
      <c r="B37" s="1534" t="s">
        <v>1286</v>
      </c>
      <c r="C37" s="1524">
        <v>22380</v>
      </c>
      <c r="D37" s="1524">
        <v>18530</v>
      </c>
      <c r="E37" s="1524">
        <v>17930</v>
      </c>
      <c r="F37" s="1538">
        <v>6270</v>
      </c>
      <c r="M37" s="1524" t="s">
        <v>1496</v>
      </c>
      <c r="N37" s="1524" t="s">
        <v>1497</v>
      </c>
      <c r="O37" s="1524" t="s">
        <v>1498</v>
      </c>
      <c r="P37" s="1524" t="s">
        <v>1499</v>
      </c>
    </row>
    <row r="38" spans="1:16" ht="14.25" customHeight="1" thickBot="1">
      <c r="A38" s="1530" t="s">
        <v>1456</v>
      </c>
      <c r="B38" s="1534" t="s">
        <v>1296</v>
      </c>
      <c r="C38" s="1524">
        <v>20200</v>
      </c>
      <c r="D38" s="1524">
        <v>20070</v>
      </c>
      <c r="E38" s="1524">
        <v>19950</v>
      </c>
      <c r="F38" s="1538"/>
      <c r="M38" s="1524" t="s">
        <v>1500</v>
      </c>
      <c r="N38" s="1524" t="s">
        <v>1501</v>
      </c>
      <c r="O38" s="1524" t="s">
        <v>1502</v>
      </c>
      <c r="P38" s="1524" t="s">
        <v>1503</v>
      </c>
    </row>
    <row r="39" spans="1:16" ht="14.25" customHeight="1" thickBot="1">
      <c r="A39" s="1530" t="s">
        <v>1456</v>
      </c>
      <c r="B39" s="1534" t="s">
        <v>1306</v>
      </c>
      <c r="C39" s="1524">
        <v>19300</v>
      </c>
      <c r="D39" s="1524">
        <v>20360</v>
      </c>
      <c r="E39" s="1524">
        <v>20230</v>
      </c>
      <c r="F39" s="1538"/>
      <c r="M39" s="1524" t="s">
        <v>1504</v>
      </c>
      <c r="N39" s="1524" t="s">
        <v>1505</v>
      </c>
      <c r="O39" s="1524" t="s">
        <v>1506</v>
      </c>
      <c r="P39" s="1524" t="s">
        <v>1507</v>
      </c>
    </row>
    <row r="40" spans="1:16" ht="14.25" customHeight="1" thickBot="1">
      <c r="A40" s="1530" t="s">
        <v>1456</v>
      </c>
      <c r="B40" s="1534" t="s">
        <v>1316</v>
      </c>
      <c r="C40" s="1524">
        <v>20210</v>
      </c>
      <c r="D40" s="1524">
        <v>19060</v>
      </c>
      <c r="E40" s="1524">
        <v>18890</v>
      </c>
      <c r="F40" s="1538"/>
      <c r="M40" s="1524" t="s">
        <v>1508</v>
      </c>
      <c r="N40" s="1524" t="s">
        <v>1509</v>
      </c>
      <c r="O40" s="1524" t="s">
        <v>1510</v>
      </c>
      <c r="P40" s="1524" t="s">
        <v>1511</v>
      </c>
    </row>
    <row r="41" spans="1:16" ht="14.25" customHeight="1" thickBot="1">
      <c r="A41" s="1530" t="s">
        <v>1456</v>
      </c>
      <c r="B41" s="1534" t="s">
        <v>1326</v>
      </c>
      <c r="C41" s="1524">
        <v>20560</v>
      </c>
      <c r="D41" s="1524">
        <v>21040</v>
      </c>
      <c r="E41" s="1524">
        <v>20740</v>
      </c>
      <c r="F41" s="1538"/>
      <c r="M41" s="1534" t="s">
        <v>1512</v>
      </c>
      <c r="N41" s="1534" t="s">
        <v>1513</v>
      </c>
      <c r="P41" s="1534" t="s">
        <v>1514</v>
      </c>
    </row>
    <row r="42" spans="1:16" ht="14.25" customHeight="1" thickBot="1">
      <c r="A42" s="1530" t="s">
        <v>1456</v>
      </c>
      <c r="B42" s="1534" t="s">
        <v>1337</v>
      </c>
      <c r="C42" s="1524">
        <v>19280</v>
      </c>
      <c r="D42" s="1524">
        <v>22940</v>
      </c>
      <c r="E42" s="1524">
        <v>22500</v>
      </c>
      <c r="F42" s="1538"/>
      <c r="M42" s="1524" t="s">
        <v>1515</v>
      </c>
      <c r="N42" s="1524" t="s">
        <v>1516</v>
      </c>
      <c r="P42" s="1524" t="s">
        <v>1517</v>
      </c>
    </row>
    <row r="43" spans="1:16" ht="14.25" customHeight="1" thickBot="1">
      <c r="A43" s="1530" t="s">
        <v>1456</v>
      </c>
      <c r="B43" s="1534" t="s">
        <v>1348</v>
      </c>
      <c r="C43" s="1524">
        <v>21520</v>
      </c>
      <c r="D43" s="1524">
        <v>19230</v>
      </c>
      <c r="E43" s="1524">
        <v>18540</v>
      </c>
      <c r="F43" s="1538"/>
      <c r="M43" s="1524" t="s">
        <v>1518</v>
      </c>
      <c r="N43" s="1524" t="s">
        <v>1519</v>
      </c>
      <c r="P43" s="1524" t="s">
        <v>1520</v>
      </c>
    </row>
    <row r="44" spans="1:16" ht="14.25" customHeight="1" thickBot="1">
      <c r="A44" s="1530" t="s">
        <v>1456</v>
      </c>
      <c r="B44" s="1534" t="s">
        <v>1358</v>
      </c>
      <c r="C44" s="1524">
        <v>23260</v>
      </c>
      <c r="D44" s="1524">
        <v>21180</v>
      </c>
      <c r="E44" s="1524">
        <v>20730</v>
      </c>
      <c r="F44" s="1538"/>
      <c r="M44" s="1524" t="s">
        <v>1521</v>
      </c>
      <c r="N44" s="1524" t="s">
        <v>1522</v>
      </c>
      <c r="P44" s="1524" t="s">
        <v>1523</v>
      </c>
    </row>
    <row r="45" spans="1:16" ht="14.25" customHeight="1" thickBot="1">
      <c r="A45" s="1530" t="s">
        <v>1456</v>
      </c>
      <c r="B45" s="1534" t="s">
        <v>1368</v>
      </c>
      <c r="C45" s="1524">
        <v>19610</v>
      </c>
      <c r="D45" s="1524">
        <v>18090</v>
      </c>
      <c r="E45" s="1524">
        <v>17970</v>
      </c>
      <c r="F45" s="1538"/>
      <c r="M45" s="1524" t="s">
        <v>1524</v>
      </c>
      <c r="N45" s="1524" t="s">
        <v>1525</v>
      </c>
      <c r="P45" s="1524" t="s">
        <v>1526</v>
      </c>
    </row>
    <row r="46" spans="1:16" ht="14.25" customHeight="1" thickBot="1">
      <c r="A46" s="1530" t="s">
        <v>1456</v>
      </c>
      <c r="B46" s="1534" t="s">
        <v>1378</v>
      </c>
      <c r="C46" s="1524">
        <v>21660</v>
      </c>
      <c r="D46" s="1524">
        <v>19190</v>
      </c>
      <c r="E46" s="1524">
        <v>19790</v>
      </c>
      <c r="F46" s="1538"/>
      <c r="M46" s="1524" t="s">
        <v>1527</v>
      </c>
      <c r="N46" s="1524" t="s">
        <v>1528</v>
      </c>
      <c r="P46" s="1524" t="s">
        <v>1529</v>
      </c>
    </row>
    <row r="47" spans="1:16" ht="14.25" customHeight="1" thickBot="1">
      <c r="A47" s="1530" t="s">
        <v>1456</v>
      </c>
      <c r="B47" s="1534" t="s">
        <v>1388</v>
      </c>
      <c r="C47" s="1524">
        <v>18220</v>
      </c>
      <c r="D47" s="1524"/>
      <c r="E47" s="1524">
        <v>17220</v>
      </c>
      <c r="F47" s="1538"/>
      <c r="M47" s="1524" t="s">
        <v>1530</v>
      </c>
      <c r="N47" s="1524" t="s">
        <v>1531</v>
      </c>
    </row>
    <row r="48" spans="1:16" ht="14.25" customHeight="1" thickBot="1">
      <c r="A48" s="1530" t="s">
        <v>1456</v>
      </c>
      <c r="B48" s="1535" t="s">
        <v>1397</v>
      </c>
      <c r="C48" s="1536">
        <v>19430</v>
      </c>
      <c r="D48" s="1536"/>
      <c r="E48" s="1536">
        <v>17830</v>
      </c>
      <c r="F48" s="1541"/>
      <c r="M48" s="1524" t="s">
        <v>1532</v>
      </c>
      <c r="N48" s="1524" t="s">
        <v>1533</v>
      </c>
    </row>
    <row r="49" spans="1:14" ht="14.25" customHeight="1" thickBot="1">
      <c r="A49" s="1530" t="s">
        <v>1137</v>
      </c>
      <c r="B49" s="1531" t="s">
        <v>1534</v>
      </c>
      <c r="C49" s="1531">
        <v>17090</v>
      </c>
      <c r="D49" s="1531">
        <v>16950</v>
      </c>
      <c r="E49" s="1531">
        <v>16310</v>
      </c>
      <c r="F49" s="1532">
        <v>4540</v>
      </c>
      <c r="M49" s="1524" t="s">
        <v>1535</v>
      </c>
      <c r="N49" s="1524" t="s">
        <v>1536</v>
      </c>
    </row>
    <row r="50" spans="1:14" ht="14.25" customHeight="1" thickBot="1">
      <c r="A50" s="1530" t="s">
        <v>1137</v>
      </c>
      <c r="B50" s="1524" t="s">
        <v>1204</v>
      </c>
      <c r="C50" s="1524">
        <v>19040</v>
      </c>
      <c r="D50" s="1524">
        <v>16960</v>
      </c>
      <c r="E50" s="1524">
        <v>14800</v>
      </c>
      <c r="F50" s="1538">
        <v>3940</v>
      </c>
    </row>
    <row r="51" spans="1:14" ht="14.25" customHeight="1" thickBot="1">
      <c r="A51" s="1530" t="s">
        <v>1137</v>
      </c>
      <c r="B51" s="1524" t="s">
        <v>1217</v>
      </c>
      <c r="C51" s="1524">
        <v>17040</v>
      </c>
      <c r="D51" s="1524">
        <v>16930</v>
      </c>
      <c r="E51" s="1524">
        <v>15030</v>
      </c>
      <c r="F51" s="1538">
        <v>4120</v>
      </c>
    </row>
    <row r="52" spans="1:14" ht="14.25" customHeight="1" thickBot="1">
      <c r="A52" s="1530" t="s">
        <v>1137</v>
      </c>
      <c r="B52" s="1524" t="s">
        <v>1230</v>
      </c>
      <c r="C52" s="1524">
        <v>17110</v>
      </c>
      <c r="D52" s="1524">
        <v>17750</v>
      </c>
      <c r="E52" s="1524">
        <v>17310</v>
      </c>
      <c r="F52" s="1538">
        <v>3220</v>
      </c>
    </row>
    <row r="53" spans="1:14" ht="14.25" customHeight="1" thickBot="1">
      <c r="A53" s="1530" t="s">
        <v>1137</v>
      </c>
      <c r="B53" s="1524" t="s">
        <v>1242</v>
      </c>
      <c r="C53" s="1524">
        <v>17810</v>
      </c>
      <c r="D53" s="1524">
        <v>17260</v>
      </c>
      <c r="E53" s="1524">
        <v>17090</v>
      </c>
      <c r="F53" s="1538">
        <v>3520</v>
      </c>
    </row>
    <row r="54" spans="1:14" ht="14.25" customHeight="1" thickBot="1">
      <c r="A54" s="1530" t="s">
        <v>1137</v>
      </c>
      <c r="B54" s="1524" t="s">
        <v>1253</v>
      </c>
      <c r="C54" s="1524">
        <v>17410</v>
      </c>
      <c r="D54" s="1524">
        <v>16780</v>
      </c>
      <c r="E54" s="1524">
        <v>16370</v>
      </c>
      <c r="F54" s="1538">
        <v>3410</v>
      </c>
    </row>
    <row r="55" spans="1:14" ht="14.25" customHeight="1" thickBot="1">
      <c r="A55" s="1530" t="s">
        <v>1137</v>
      </c>
      <c r="B55" s="1524" t="s">
        <v>1264</v>
      </c>
      <c r="C55" s="1524">
        <v>16930</v>
      </c>
      <c r="D55" s="1524">
        <v>14720</v>
      </c>
      <c r="E55" s="1524">
        <v>15000</v>
      </c>
      <c r="F55" s="1538">
        <v>3710</v>
      </c>
    </row>
    <row r="56" spans="1:14" ht="14.25" customHeight="1" thickBot="1">
      <c r="A56" s="1530" t="s">
        <v>1137</v>
      </c>
      <c r="B56" s="1524" t="s">
        <v>1275</v>
      </c>
      <c r="C56" s="1524">
        <v>14930</v>
      </c>
      <c r="D56" s="1524">
        <v>15850</v>
      </c>
      <c r="E56" s="1524">
        <v>14320</v>
      </c>
      <c r="F56" s="1538">
        <v>3960</v>
      </c>
    </row>
    <row r="57" spans="1:14" ht="14.25" customHeight="1" thickBot="1">
      <c r="A57" s="1530" t="s">
        <v>1137</v>
      </c>
      <c r="B57" s="1524" t="s">
        <v>1287</v>
      </c>
      <c r="C57" s="1524">
        <v>16160</v>
      </c>
      <c r="D57" s="1524">
        <v>16190</v>
      </c>
      <c r="E57" s="1524">
        <v>15650</v>
      </c>
      <c r="F57" s="1538">
        <v>4200</v>
      </c>
    </row>
    <row r="58" spans="1:14" ht="14.25" customHeight="1" thickBot="1">
      <c r="A58" s="1530" t="s">
        <v>1137</v>
      </c>
      <c r="B58" s="1524" t="s">
        <v>1297</v>
      </c>
      <c r="C58" s="1524">
        <v>16360</v>
      </c>
      <c r="D58" s="1524">
        <v>14050</v>
      </c>
      <c r="E58" s="1524">
        <v>16070</v>
      </c>
      <c r="F58" s="1538">
        <v>3990</v>
      </c>
    </row>
    <row r="59" spans="1:14" ht="14.25" customHeight="1" thickBot="1">
      <c r="A59" s="1530" t="s">
        <v>1137</v>
      </c>
      <c r="B59" s="1524" t="s">
        <v>1307</v>
      </c>
      <c r="C59" s="1524">
        <v>14160</v>
      </c>
      <c r="D59" s="1524">
        <v>16620</v>
      </c>
      <c r="E59" s="1524">
        <v>13940</v>
      </c>
      <c r="F59" s="1538">
        <v>4260</v>
      </c>
    </row>
    <row r="60" spans="1:14" ht="14.25" customHeight="1" thickBot="1">
      <c r="A60" s="1530" t="s">
        <v>1137</v>
      </c>
      <c r="B60" s="1524" t="s">
        <v>1317</v>
      </c>
      <c r="C60" s="1524">
        <v>16750</v>
      </c>
      <c r="D60" s="1524">
        <v>13910</v>
      </c>
      <c r="E60" s="1524">
        <v>16550</v>
      </c>
      <c r="F60" s="1538">
        <v>4550</v>
      </c>
    </row>
    <row r="61" spans="1:14" ht="14.25" customHeight="1" thickBot="1">
      <c r="A61" s="1530" t="s">
        <v>1137</v>
      </c>
      <c r="B61" s="1524" t="s">
        <v>1327</v>
      </c>
      <c r="C61" s="1524">
        <v>14000</v>
      </c>
      <c r="D61" s="1524">
        <v>14550</v>
      </c>
      <c r="E61" s="1524">
        <v>13860</v>
      </c>
      <c r="F61" s="1542"/>
    </row>
    <row r="62" spans="1:14" ht="14.25" customHeight="1" thickBot="1">
      <c r="A62" s="1530" t="s">
        <v>1137</v>
      </c>
      <c r="B62" s="1524" t="s">
        <v>1338</v>
      </c>
      <c r="C62" s="1524">
        <v>14660</v>
      </c>
      <c r="D62" s="1524">
        <v>17450</v>
      </c>
      <c r="E62" s="1524">
        <v>14470</v>
      </c>
      <c r="F62" s="1542"/>
    </row>
    <row r="63" spans="1:14" ht="14.25" customHeight="1" thickBot="1">
      <c r="A63" s="1530" t="s">
        <v>1137</v>
      </c>
      <c r="B63" s="1524" t="s">
        <v>1349</v>
      </c>
      <c r="C63" s="1524">
        <v>17610</v>
      </c>
      <c r="D63" s="1524">
        <v>16500</v>
      </c>
      <c r="E63" s="1524">
        <v>17330</v>
      </c>
      <c r="F63" s="1542"/>
    </row>
    <row r="64" spans="1:14" ht="14.25" customHeight="1" thickBot="1">
      <c r="A64" s="1530" t="s">
        <v>1137</v>
      </c>
      <c r="B64" s="1524" t="s">
        <v>1359</v>
      </c>
      <c r="C64" s="1524">
        <v>16590</v>
      </c>
      <c r="D64" s="1524">
        <v>15130</v>
      </c>
      <c r="E64" s="1524">
        <v>16420</v>
      </c>
      <c r="F64" s="1542"/>
    </row>
    <row r="65" spans="1:6" s="1518" customFormat="1" ht="14.25" customHeight="1" thickBot="1">
      <c r="A65" s="1530" t="s">
        <v>1137</v>
      </c>
      <c r="B65" s="1524" t="s">
        <v>1369</v>
      </c>
      <c r="C65" s="1524">
        <v>15220</v>
      </c>
      <c r="D65" s="1524">
        <v>14660</v>
      </c>
      <c r="E65" s="1524">
        <v>15060</v>
      </c>
      <c r="F65" s="1538"/>
    </row>
    <row r="66" spans="1:6" s="1518" customFormat="1" ht="14.25" customHeight="1" thickBot="1">
      <c r="A66" s="1530" t="s">
        <v>1137</v>
      </c>
      <c r="B66" s="1524" t="s">
        <v>1379</v>
      </c>
      <c r="C66" s="1524">
        <v>14720</v>
      </c>
      <c r="D66" s="1524">
        <v>15970</v>
      </c>
      <c r="E66" s="1524">
        <v>14610</v>
      </c>
      <c r="F66" s="1538"/>
    </row>
    <row r="67" spans="1:6" s="1518" customFormat="1" ht="14.25" customHeight="1" thickBot="1">
      <c r="A67" s="1530" t="s">
        <v>1137</v>
      </c>
      <c r="B67" s="1524" t="s">
        <v>1389</v>
      </c>
      <c r="C67" s="1524">
        <v>16080</v>
      </c>
      <c r="D67" s="1524">
        <v>14840</v>
      </c>
      <c r="E67" s="1524">
        <v>15630</v>
      </c>
      <c r="F67" s="1538"/>
    </row>
    <row r="68" spans="1:6" s="1518" customFormat="1" ht="14.25" customHeight="1" thickBot="1">
      <c r="A68" s="1530" t="s">
        <v>1137</v>
      </c>
      <c r="B68" s="1524" t="s">
        <v>1398</v>
      </c>
      <c r="C68" s="1524">
        <v>14940</v>
      </c>
      <c r="D68" s="1524">
        <v>18000</v>
      </c>
      <c r="E68" s="1524">
        <v>14040</v>
      </c>
      <c r="F68" s="1538"/>
    </row>
    <row r="69" spans="1:6" s="1518" customFormat="1" ht="14.25" customHeight="1" thickBot="1">
      <c r="A69" s="1530" t="s">
        <v>1137</v>
      </c>
      <c r="B69" s="1524" t="s">
        <v>1407</v>
      </c>
      <c r="C69" s="1524">
        <v>18810</v>
      </c>
      <c r="D69" s="1524">
        <v>15100</v>
      </c>
      <c r="E69" s="1524">
        <v>14710</v>
      </c>
      <c r="F69" s="1538"/>
    </row>
    <row r="70" spans="1:6" s="1518" customFormat="1" ht="14.25" customHeight="1" thickBot="1">
      <c r="A70" s="1530" t="s">
        <v>1137</v>
      </c>
      <c r="B70" s="1524" t="s">
        <v>1415</v>
      </c>
      <c r="C70" s="1524">
        <v>18270</v>
      </c>
      <c r="D70" s="1524"/>
      <c r="E70" s="1524"/>
      <c r="F70" s="1538"/>
    </row>
    <row r="71" spans="1:6" s="1518" customFormat="1" ht="14.25" customHeight="1" thickBot="1">
      <c r="A71" s="1530" t="s">
        <v>1137</v>
      </c>
      <c r="B71" s="1524" t="s">
        <v>1422</v>
      </c>
      <c r="C71" s="1524">
        <v>15230</v>
      </c>
      <c r="D71" s="1524"/>
      <c r="E71" s="1524"/>
      <c r="F71" s="1538"/>
    </row>
    <row r="72" spans="1:6" s="1518" customFormat="1" ht="14.25" customHeight="1" thickBot="1">
      <c r="A72" s="1530" t="s">
        <v>1137</v>
      </c>
      <c r="B72" s="1524" t="s">
        <v>1429</v>
      </c>
      <c r="C72" s="1524"/>
      <c r="D72" s="1524"/>
      <c r="E72" s="1524"/>
      <c r="F72" s="1538">
        <v>4120</v>
      </c>
    </row>
    <row r="73" spans="1:6" s="1518" customFormat="1" ht="14.25" customHeight="1" thickBot="1">
      <c r="A73" s="1530" t="s">
        <v>1137</v>
      </c>
      <c r="B73" s="1524" t="s">
        <v>1436</v>
      </c>
      <c r="C73" s="1524"/>
      <c r="D73" s="1524"/>
      <c r="E73" s="1524"/>
      <c r="F73" s="1538">
        <v>3930</v>
      </c>
    </row>
    <row r="74" spans="1:6" s="1518" customFormat="1" ht="14.25" customHeight="1" thickBot="1">
      <c r="A74" s="1530" t="s">
        <v>1137</v>
      </c>
      <c r="B74" s="1524" t="s">
        <v>1443</v>
      </c>
      <c r="C74" s="1524"/>
      <c r="D74" s="1524"/>
      <c r="E74" s="1524"/>
      <c r="F74" s="1538">
        <v>4060</v>
      </c>
    </row>
    <row r="75" spans="1:6" s="1518" customFormat="1" ht="14.25" customHeight="1" thickBot="1">
      <c r="A75" s="1530" t="s">
        <v>1137</v>
      </c>
      <c r="B75" s="1536" t="s">
        <v>1450</v>
      </c>
      <c r="C75" s="1536"/>
      <c r="D75" s="1536"/>
      <c r="E75" s="1536"/>
      <c r="F75" s="1541">
        <v>3750</v>
      </c>
    </row>
    <row r="76" spans="1:6" s="1518" customFormat="1" ht="14.25" customHeight="1" thickBot="1">
      <c r="A76" s="1530" t="s">
        <v>1537</v>
      </c>
      <c r="B76" s="1531" t="s">
        <v>1538</v>
      </c>
      <c r="C76" s="1531">
        <v>14690</v>
      </c>
      <c r="D76" s="1531">
        <v>14640</v>
      </c>
      <c r="E76" s="1531">
        <v>14590</v>
      </c>
      <c r="F76" s="1532">
        <v>3060</v>
      </c>
    </row>
    <row r="77" spans="1:6" s="1518" customFormat="1" ht="14.25" customHeight="1" thickBot="1">
      <c r="A77" s="1530" t="s">
        <v>1537</v>
      </c>
      <c r="B77" s="1524" t="s">
        <v>1205</v>
      </c>
      <c r="C77" s="1524">
        <v>12550</v>
      </c>
      <c r="D77" s="1524">
        <v>12480</v>
      </c>
      <c r="E77" s="1524">
        <v>12450</v>
      </c>
      <c r="F77" s="1538">
        <v>2590</v>
      </c>
    </row>
    <row r="78" spans="1:6" s="1518" customFormat="1" ht="14.25" customHeight="1" thickBot="1">
      <c r="A78" s="1530" t="s">
        <v>1537</v>
      </c>
      <c r="B78" s="1524" t="s">
        <v>1218</v>
      </c>
      <c r="C78" s="1524">
        <v>14360</v>
      </c>
      <c r="D78" s="1524">
        <v>14320</v>
      </c>
      <c r="E78" s="1524">
        <v>12510</v>
      </c>
      <c r="F78" s="1538">
        <v>2700</v>
      </c>
    </row>
    <row r="79" spans="1:6" s="1518" customFormat="1" ht="14.25" customHeight="1" thickBot="1">
      <c r="A79" s="1530" t="s">
        <v>1537</v>
      </c>
      <c r="B79" s="1524" t="s">
        <v>1231</v>
      </c>
      <c r="C79" s="1524">
        <v>12590</v>
      </c>
      <c r="D79" s="1524">
        <v>12540</v>
      </c>
      <c r="E79" s="1524">
        <v>12350</v>
      </c>
      <c r="F79" s="1538">
        <v>2740</v>
      </c>
    </row>
    <row r="80" spans="1:6" s="1518" customFormat="1" ht="14.25" customHeight="1" thickBot="1">
      <c r="A80" s="1530" t="s">
        <v>1537</v>
      </c>
      <c r="B80" s="1524" t="s">
        <v>1243</v>
      </c>
      <c r="C80" s="1524">
        <v>12450</v>
      </c>
      <c r="D80" s="1524">
        <v>12370</v>
      </c>
      <c r="E80" s="1524">
        <v>10790</v>
      </c>
      <c r="F80" s="1538">
        <v>2290</v>
      </c>
    </row>
    <row r="81" spans="1:6" s="1518" customFormat="1" ht="14.25" customHeight="1" thickBot="1">
      <c r="A81" s="1530" t="s">
        <v>1537</v>
      </c>
      <c r="B81" s="1524" t="s">
        <v>1254</v>
      </c>
      <c r="C81" s="1524">
        <v>14210</v>
      </c>
      <c r="D81" s="1524">
        <v>14150</v>
      </c>
      <c r="E81" s="1524">
        <v>12730</v>
      </c>
      <c r="F81" s="1538">
        <v>2240</v>
      </c>
    </row>
    <row r="82" spans="1:6" s="1518" customFormat="1" ht="14.25" customHeight="1" thickBot="1">
      <c r="A82" s="1530" t="s">
        <v>1537</v>
      </c>
      <c r="B82" s="1524" t="s">
        <v>1265</v>
      </c>
      <c r="C82" s="1524">
        <v>10860</v>
      </c>
      <c r="D82" s="1524">
        <v>10820</v>
      </c>
      <c r="E82" s="1524">
        <v>14720</v>
      </c>
      <c r="F82" s="1538">
        <v>2490</v>
      </c>
    </row>
    <row r="83" spans="1:6" s="1518" customFormat="1" ht="14.25" customHeight="1" thickBot="1">
      <c r="A83" s="1530" t="s">
        <v>1537</v>
      </c>
      <c r="B83" s="1524" t="s">
        <v>1276</v>
      </c>
      <c r="C83" s="1524">
        <v>12810</v>
      </c>
      <c r="D83" s="1524">
        <v>12760</v>
      </c>
      <c r="E83" s="1524">
        <v>14830</v>
      </c>
      <c r="F83" s="1538">
        <v>2450</v>
      </c>
    </row>
    <row r="84" spans="1:6" s="1518" customFormat="1" ht="14.25" customHeight="1" thickBot="1">
      <c r="A84" s="1530" t="s">
        <v>1537</v>
      </c>
      <c r="B84" s="1524" t="s">
        <v>1288</v>
      </c>
      <c r="C84" s="1524">
        <v>14950</v>
      </c>
      <c r="D84" s="1524">
        <v>14810</v>
      </c>
      <c r="E84" s="1524">
        <v>12590</v>
      </c>
      <c r="F84" s="1538">
        <v>2540</v>
      </c>
    </row>
    <row r="85" spans="1:6" s="1518" customFormat="1" ht="14.25" customHeight="1" thickBot="1">
      <c r="A85" s="1530" t="s">
        <v>1537</v>
      </c>
      <c r="B85" s="1524" t="s">
        <v>1298</v>
      </c>
      <c r="C85" s="1524">
        <v>14960</v>
      </c>
      <c r="D85" s="1524">
        <v>14890</v>
      </c>
      <c r="E85" s="1524">
        <v>12840</v>
      </c>
      <c r="F85" s="1538">
        <v>2840</v>
      </c>
    </row>
    <row r="86" spans="1:6" s="1518" customFormat="1" ht="14.25" customHeight="1" thickBot="1">
      <c r="A86" s="1530" t="s">
        <v>1537</v>
      </c>
      <c r="B86" s="1524" t="s">
        <v>1308</v>
      </c>
      <c r="C86" s="1524">
        <v>12730</v>
      </c>
      <c r="D86" s="1524">
        <v>12660</v>
      </c>
      <c r="E86" s="1524">
        <v>13310</v>
      </c>
      <c r="F86" s="1538">
        <v>3140</v>
      </c>
    </row>
    <row r="87" spans="1:6" s="1518" customFormat="1" ht="14.25" customHeight="1" thickBot="1">
      <c r="A87" s="1530" t="s">
        <v>1537</v>
      </c>
      <c r="B87" s="1524" t="s">
        <v>1318</v>
      </c>
      <c r="C87" s="1524">
        <v>12940</v>
      </c>
      <c r="D87" s="1524">
        <v>12890</v>
      </c>
      <c r="E87" s="1524">
        <v>11580</v>
      </c>
      <c r="F87" s="1542"/>
    </row>
    <row r="88" spans="1:6" s="1518" customFormat="1" ht="14.25" customHeight="1" thickBot="1">
      <c r="A88" s="1530" t="s">
        <v>1537</v>
      </c>
      <c r="B88" s="1524" t="s">
        <v>1328</v>
      </c>
      <c r="C88" s="1524">
        <v>13430</v>
      </c>
      <c r="D88" s="1524">
        <v>13360</v>
      </c>
      <c r="E88" s="1524">
        <v>12790</v>
      </c>
      <c r="F88" s="1542"/>
    </row>
    <row r="89" spans="1:6" s="1518" customFormat="1" ht="14.25" customHeight="1" thickBot="1">
      <c r="A89" s="1530" t="s">
        <v>1537</v>
      </c>
      <c r="B89" s="1524" t="s">
        <v>1339</v>
      </c>
      <c r="C89" s="1524">
        <v>11680</v>
      </c>
      <c r="D89" s="1524">
        <v>11630</v>
      </c>
      <c r="E89" s="1524">
        <v>11320</v>
      </c>
      <c r="F89" s="1542"/>
    </row>
    <row r="90" spans="1:6" s="1518" customFormat="1" ht="14.25" customHeight="1" thickBot="1">
      <c r="A90" s="1530" t="s">
        <v>1537</v>
      </c>
      <c r="B90" s="1524" t="s">
        <v>1350</v>
      </c>
      <c r="C90" s="1524">
        <v>12890</v>
      </c>
      <c r="D90" s="1524">
        <v>12820</v>
      </c>
      <c r="E90" s="1524">
        <v>12710</v>
      </c>
      <c r="F90" s="1542"/>
    </row>
    <row r="91" spans="1:6" s="1518" customFormat="1" ht="14.25" customHeight="1" thickBot="1">
      <c r="A91" s="1530" t="s">
        <v>1537</v>
      </c>
      <c r="B91" s="1524" t="s">
        <v>1360</v>
      </c>
      <c r="C91" s="1524">
        <v>11410</v>
      </c>
      <c r="D91" s="1524">
        <v>11360</v>
      </c>
      <c r="E91" s="1524">
        <v>12670</v>
      </c>
      <c r="F91" s="1542"/>
    </row>
    <row r="92" spans="1:6" s="1518" customFormat="1" ht="14.25" customHeight="1" thickBot="1">
      <c r="A92" s="1530" t="s">
        <v>1537</v>
      </c>
      <c r="B92" s="1524" t="s">
        <v>1370</v>
      </c>
      <c r="C92" s="1524">
        <v>12770</v>
      </c>
      <c r="D92" s="1524">
        <v>12740</v>
      </c>
      <c r="E92" s="1524">
        <v>11970</v>
      </c>
      <c r="F92" s="1542"/>
    </row>
    <row r="93" spans="1:6" s="1518" customFormat="1" ht="14.25" customHeight="1" thickBot="1">
      <c r="A93" s="1530" t="s">
        <v>1537</v>
      </c>
      <c r="B93" s="1524" t="s">
        <v>1380</v>
      </c>
      <c r="C93" s="1524">
        <v>12740</v>
      </c>
      <c r="D93" s="1524">
        <v>12700</v>
      </c>
      <c r="E93" s="1524">
        <v>12540</v>
      </c>
      <c r="F93" s="1542"/>
    </row>
    <row r="94" spans="1:6" s="1518" customFormat="1" ht="14.25" customHeight="1" thickBot="1">
      <c r="A94" s="1530" t="s">
        <v>1537</v>
      </c>
      <c r="B94" s="1524" t="s">
        <v>1390</v>
      </c>
      <c r="C94" s="1524">
        <v>12020</v>
      </c>
      <c r="D94" s="1524">
        <v>11990</v>
      </c>
      <c r="E94" s="1524">
        <v>13110</v>
      </c>
      <c r="F94" s="1542"/>
    </row>
    <row r="95" spans="1:6" s="1518" customFormat="1" ht="14.25" customHeight="1" thickBot="1">
      <c r="A95" s="1530" t="s">
        <v>1537</v>
      </c>
      <c r="B95" s="1524" t="s">
        <v>1399</v>
      </c>
      <c r="C95" s="1524">
        <v>12620</v>
      </c>
      <c r="D95" s="1524">
        <v>12580</v>
      </c>
      <c r="E95" s="1524">
        <v>13160</v>
      </c>
      <c r="F95" s="1538"/>
    </row>
    <row r="96" spans="1:6" s="1518" customFormat="1" ht="14.25" customHeight="1" thickBot="1">
      <c r="A96" s="1530" t="s">
        <v>1537</v>
      </c>
      <c r="B96" s="1524" t="s">
        <v>1408</v>
      </c>
      <c r="C96" s="1524">
        <v>13200</v>
      </c>
      <c r="D96" s="1524">
        <v>13150</v>
      </c>
      <c r="E96" s="1524">
        <v>12900</v>
      </c>
      <c r="F96" s="1538"/>
    </row>
    <row r="97" spans="1:6" s="1518" customFormat="1" ht="14.25" customHeight="1" thickBot="1">
      <c r="A97" s="1530" t="s">
        <v>1537</v>
      </c>
      <c r="B97" s="1524" t="s">
        <v>1416</v>
      </c>
      <c r="C97" s="1524">
        <v>13270</v>
      </c>
      <c r="D97" s="1524">
        <v>13210</v>
      </c>
      <c r="E97" s="1524">
        <v>11080</v>
      </c>
      <c r="F97" s="1538"/>
    </row>
    <row r="98" spans="1:6" s="1518" customFormat="1" ht="14.25" customHeight="1" thickBot="1">
      <c r="A98" s="1530" t="s">
        <v>1537</v>
      </c>
      <c r="B98" s="1524" t="s">
        <v>1423</v>
      </c>
      <c r="C98" s="1524">
        <v>13010</v>
      </c>
      <c r="D98" s="1524">
        <v>12930</v>
      </c>
      <c r="E98" s="1524">
        <v>12840</v>
      </c>
      <c r="F98" s="1538"/>
    </row>
    <row r="99" spans="1:6" s="1518" customFormat="1" ht="14.25" customHeight="1" thickBot="1">
      <c r="A99" s="1530" t="s">
        <v>1537</v>
      </c>
      <c r="B99" s="1524" t="s">
        <v>1430</v>
      </c>
      <c r="C99" s="1524">
        <v>11190</v>
      </c>
      <c r="D99" s="1524">
        <v>11130</v>
      </c>
      <c r="E99" s="1524"/>
      <c r="F99" s="1538"/>
    </row>
    <row r="100" spans="1:6" s="1518" customFormat="1" ht="14.25" customHeight="1" thickBot="1">
      <c r="A100" s="1530" t="s">
        <v>1537</v>
      </c>
      <c r="B100" s="1524" t="s">
        <v>1437</v>
      </c>
      <c r="C100" s="1524">
        <v>14280</v>
      </c>
      <c r="D100" s="1524">
        <v>14180</v>
      </c>
      <c r="E100" s="1524"/>
      <c r="F100" s="1538"/>
    </row>
    <row r="101" spans="1:6" s="1518" customFormat="1" ht="14.25" customHeight="1" thickBot="1">
      <c r="A101" s="1530" t="s">
        <v>1537</v>
      </c>
      <c r="B101" s="1524" t="s">
        <v>1444</v>
      </c>
      <c r="C101" s="1524">
        <v>12960</v>
      </c>
      <c r="D101" s="1524">
        <v>12890</v>
      </c>
      <c r="E101" s="1524"/>
      <c r="F101" s="1538"/>
    </row>
    <row r="102" spans="1:6" s="1518" customFormat="1" ht="14.25" customHeight="1" thickBot="1">
      <c r="A102" s="1530" t="s">
        <v>1537</v>
      </c>
      <c r="B102" s="1524" t="s">
        <v>1451</v>
      </c>
      <c r="C102" s="1524"/>
      <c r="D102" s="1524"/>
      <c r="E102" s="1524"/>
      <c r="F102" s="1538">
        <v>3100</v>
      </c>
    </row>
    <row r="103" spans="1:6" s="1518" customFormat="1" ht="14.25" customHeight="1" thickBot="1">
      <c r="A103" s="1530" t="s">
        <v>1537</v>
      </c>
      <c r="B103" s="1524" t="s">
        <v>1458</v>
      </c>
      <c r="C103" s="1524"/>
      <c r="D103" s="1524"/>
      <c r="E103" s="1524"/>
      <c r="F103" s="1538">
        <v>2320</v>
      </c>
    </row>
    <row r="104" spans="1:6" s="1518" customFormat="1" ht="14.25" customHeight="1" thickBot="1">
      <c r="A104" s="1530" t="s">
        <v>1537</v>
      </c>
      <c r="B104" s="1524" t="s">
        <v>1463</v>
      </c>
      <c r="C104" s="1524"/>
      <c r="D104" s="1524"/>
      <c r="E104" s="1524"/>
      <c r="F104" s="1538">
        <v>2320</v>
      </c>
    </row>
    <row r="105" spans="1:6" s="1518" customFormat="1" ht="14.25" customHeight="1" thickBot="1">
      <c r="A105" s="1530" t="s">
        <v>1537</v>
      </c>
      <c r="B105" s="1524" t="s">
        <v>1467</v>
      </c>
      <c r="C105" s="1524"/>
      <c r="D105" s="1524"/>
      <c r="E105" s="1524"/>
      <c r="F105" s="1538">
        <v>2320</v>
      </c>
    </row>
    <row r="106" spans="1:6" s="1518" customFormat="1" ht="14.25" customHeight="1" thickBot="1">
      <c r="A106" s="1530" t="s">
        <v>1537</v>
      </c>
      <c r="B106" s="1524" t="s">
        <v>1472</v>
      </c>
      <c r="C106" s="1524"/>
      <c r="D106" s="1524"/>
      <c r="E106" s="1524"/>
      <c r="F106" s="1538">
        <v>2320</v>
      </c>
    </row>
    <row r="107" spans="1:6" s="1518" customFormat="1" ht="14.25" customHeight="1" thickBot="1">
      <c r="A107" s="1530" t="s">
        <v>1537</v>
      </c>
      <c r="B107" s="1524" t="s">
        <v>1477</v>
      </c>
      <c r="C107" s="1524"/>
      <c r="D107" s="1524"/>
      <c r="E107" s="1524"/>
      <c r="F107" s="1538">
        <v>2280</v>
      </c>
    </row>
    <row r="108" spans="1:6" s="1518" customFormat="1" ht="14.25" customHeight="1" thickBot="1">
      <c r="A108" s="1530" t="s">
        <v>1537</v>
      </c>
      <c r="B108" s="1524" t="s">
        <v>1482</v>
      </c>
      <c r="C108" s="1524"/>
      <c r="D108" s="1524"/>
      <c r="E108" s="1524"/>
      <c r="F108" s="1538">
        <v>2280</v>
      </c>
    </row>
    <row r="109" spans="1:6" s="1518" customFormat="1" ht="14.25" customHeight="1" thickBot="1">
      <c r="A109" s="1530" t="s">
        <v>1537</v>
      </c>
      <c r="B109" s="1536" t="s">
        <v>1487</v>
      </c>
      <c r="C109" s="1536"/>
      <c r="D109" s="1536"/>
      <c r="E109" s="1536"/>
      <c r="F109" s="1541">
        <v>2280</v>
      </c>
    </row>
    <row r="110" spans="1:6" s="1518" customFormat="1" ht="14.25" customHeight="1" thickBot="1">
      <c r="A110" s="1530" t="s">
        <v>202</v>
      </c>
      <c r="B110" s="1531" t="s">
        <v>1539</v>
      </c>
      <c r="C110" s="1531">
        <v>10520</v>
      </c>
      <c r="D110" s="1531">
        <v>10490</v>
      </c>
      <c r="E110" s="1531">
        <v>10760</v>
      </c>
      <c r="F110" s="1532">
        <v>2160</v>
      </c>
    </row>
    <row r="111" spans="1:6" s="1518" customFormat="1" ht="14.25" customHeight="1" thickBot="1">
      <c r="A111" s="1530" t="s">
        <v>202</v>
      </c>
      <c r="B111" s="1524" t="s">
        <v>1206</v>
      </c>
      <c r="C111" s="1524">
        <v>10090</v>
      </c>
      <c r="D111" s="1524">
        <v>10060</v>
      </c>
      <c r="E111" s="1524">
        <v>10300</v>
      </c>
      <c r="F111" s="1538">
        <v>2010</v>
      </c>
    </row>
    <row r="112" spans="1:6" s="1518" customFormat="1" ht="14.25" customHeight="1" thickBot="1">
      <c r="A112" s="1530" t="s">
        <v>202</v>
      </c>
      <c r="B112" s="1524" t="s">
        <v>1219</v>
      </c>
      <c r="C112" s="1524">
        <v>9910</v>
      </c>
      <c r="D112" s="1524">
        <v>9850</v>
      </c>
      <c r="E112" s="1524">
        <v>9960</v>
      </c>
      <c r="F112" s="1538">
        <v>2090</v>
      </c>
    </row>
    <row r="113" spans="1:6" s="1518" customFormat="1" ht="14.25" customHeight="1" thickBot="1">
      <c r="A113" s="1530" t="s">
        <v>202</v>
      </c>
      <c r="B113" s="1524" t="s">
        <v>1232</v>
      </c>
      <c r="C113" s="1524">
        <v>11430</v>
      </c>
      <c r="D113" s="1524">
        <v>11400</v>
      </c>
      <c r="E113" s="1524">
        <v>11710</v>
      </c>
      <c r="F113" s="1538">
        <v>2050</v>
      </c>
    </row>
    <row r="114" spans="1:6" s="1518" customFormat="1" ht="14.25" customHeight="1" thickBot="1">
      <c r="A114" s="1530" t="s">
        <v>202</v>
      </c>
      <c r="B114" s="1524" t="s">
        <v>1244</v>
      </c>
      <c r="C114" s="1524">
        <v>11390</v>
      </c>
      <c r="D114" s="1524">
        <v>11350</v>
      </c>
      <c r="E114" s="1524">
        <v>11640</v>
      </c>
      <c r="F114" s="1538">
        <v>1620</v>
      </c>
    </row>
    <row r="115" spans="1:6" s="1518" customFormat="1" ht="14.25" customHeight="1" thickBot="1">
      <c r="A115" s="1530" t="s">
        <v>202</v>
      </c>
      <c r="B115" s="1524" t="s">
        <v>1255</v>
      </c>
      <c r="C115" s="1524">
        <v>9930</v>
      </c>
      <c r="D115" s="1524">
        <v>9900</v>
      </c>
      <c r="E115" s="1524">
        <v>10160</v>
      </c>
      <c r="F115" s="1538">
        <v>1580</v>
      </c>
    </row>
    <row r="116" spans="1:6" s="1518" customFormat="1" ht="14.25" customHeight="1" thickBot="1">
      <c r="A116" s="1530" t="s">
        <v>202</v>
      </c>
      <c r="B116" s="1524" t="s">
        <v>1266</v>
      </c>
      <c r="C116" s="1524">
        <v>9150</v>
      </c>
      <c r="D116" s="1524">
        <v>9120</v>
      </c>
      <c r="E116" s="1524">
        <v>9380</v>
      </c>
      <c r="F116" s="1538">
        <v>1750</v>
      </c>
    </row>
    <row r="117" spans="1:6" s="1518" customFormat="1" ht="14.25" customHeight="1" thickBot="1">
      <c r="A117" s="1530" t="s">
        <v>202</v>
      </c>
      <c r="B117" s="1524" t="s">
        <v>1277</v>
      </c>
      <c r="C117" s="1524">
        <v>10680</v>
      </c>
      <c r="D117" s="1524">
        <v>10650</v>
      </c>
      <c r="E117" s="1524">
        <v>10970</v>
      </c>
      <c r="F117" s="1538">
        <v>1730</v>
      </c>
    </row>
    <row r="118" spans="1:6" s="1518" customFormat="1" ht="14.25" customHeight="1" thickBot="1">
      <c r="A118" s="1530" t="s">
        <v>202</v>
      </c>
      <c r="B118" s="1524" t="s">
        <v>1289</v>
      </c>
      <c r="C118" s="1524">
        <v>10080</v>
      </c>
      <c r="D118" s="1524">
        <v>10050</v>
      </c>
      <c r="E118" s="1524">
        <v>10350</v>
      </c>
      <c r="F118" s="1538">
        <v>1920</v>
      </c>
    </row>
    <row r="119" spans="1:6" s="1518" customFormat="1" ht="14.25" customHeight="1" thickBot="1">
      <c r="A119" s="1530" t="s">
        <v>202</v>
      </c>
      <c r="B119" s="1524" t="s">
        <v>1299</v>
      </c>
      <c r="C119" s="1524">
        <v>9450</v>
      </c>
      <c r="D119" s="1524">
        <v>9410</v>
      </c>
      <c r="E119" s="1524">
        <v>9680</v>
      </c>
      <c r="F119" s="1538">
        <v>1880</v>
      </c>
    </row>
    <row r="120" spans="1:6" s="1518" customFormat="1" ht="14.25" customHeight="1" thickBot="1">
      <c r="A120" s="1530" t="s">
        <v>202</v>
      </c>
      <c r="B120" s="1524" t="s">
        <v>1309</v>
      </c>
      <c r="C120" s="1524">
        <v>8730</v>
      </c>
      <c r="D120" s="1524">
        <v>8700</v>
      </c>
      <c r="E120" s="1524">
        <v>8950</v>
      </c>
      <c r="F120" s="1538">
        <v>1830</v>
      </c>
    </row>
    <row r="121" spans="1:6" s="1518" customFormat="1" ht="14.25" customHeight="1" thickBot="1">
      <c r="A121" s="1530" t="s">
        <v>202</v>
      </c>
      <c r="B121" s="1524" t="s">
        <v>1319</v>
      </c>
      <c r="C121" s="1524">
        <v>10070</v>
      </c>
      <c r="D121" s="1524">
        <v>10040</v>
      </c>
      <c r="E121" s="1524">
        <v>10270</v>
      </c>
      <c r="F121" s="1538">
        <v>1960</v>
      </c>
    </row>
    <row r="122" spans="1:6" s="1518" customFormat="1" ht="14.25" customHeight="1" thickBot="1">
      <c r="A122" s="1530" t="s">
        <v>202</v>
      </c>
      <c r="B122" s="1524" t="s">
        <v>1329</v>
      </c>
      <c r="C122" s="1524">
        <v>10500</v>
      </c>
      <c r="D122" s="1524">
        <v>10470</v>
      </c>
      <c r="E122" s="1524">
        <v>10780</v>
      </c>
      <c r="F122" s="1538">
        <v>2180</v>
      </c>
    </row>
    <row r="123" spans="1:6" s="1518" customFormat="1" ht="14.25" customHeight="1" thickBot="1">
      <c r="A123" s="1530" t="s">
        <v>202</v>
      </c>
      <c r="B123" s="1524" t="s">
        <v>1340</v>
      </c>
      <c r="C123" s="1524">
        <v>10390</v>
      </c>
      <c r="D123" s="1524">
        <v>10360</v>
      </c>
      <c r="E123" s="1524">
        <v>10660</v>
      </c>
      <c r="F123" s="1538">
        <v>2040</v>
      </c>
    </row>
    <row r="124" spans="1:6" s="1518" customFormat="1" ht="14.25" customHeight="1" thickBot="1">
      <c r="A124" s="1530" t="s">
        <v>202</v>
      </c>
      <c r="B124" s="1524" t="s">
        <v>1351</v>
      </c>
      <c r="C124" s="1524">
        <v>10390</v>
      </c>
      <c r="D124" s="1524">
        <v>10360</v>
      </c>
      <c r="E124" s="1524">
        <v>10680</v>
      </c>
      <c r="F124" s="1542"/>
    </row>
    <row r="125" spans="1:6" s="1518" customFormat="1" ht="14.25" customHeight="1" thickBot="1">
      <c r="A125" s="1530" t="s">
        <v>202</v>
      </c>
      <c r="B125" s="1524" t="s">
        <v>1361</v>
      </c>
      <c r="C125" s="1524">
        <v>10440</v>
      </c>
      <c r="D125" s="1524">
        <v>10410</v>
      </c>
      <c r="E125" s="1524">
        <v>10710</v>
      </c>
      <c r="F125" s="1542"/>
    </row>
    <row r="126" spans="1:6" s="1518" customFormat="1" ht="14.25" customHeight="1" thickBot="1">
      <c r="A126" s="1530" t="s">
        <v>202</v>
      </c>
      <c r="B126" s="1524" t="s">
        <v>1371</v>
      </c>
      <c r="C126" s="1524">
        <v>10780</v>
      </c>
      <c r="D126" s="1524">
        <v>10750</v>
      </c>
      <c r="E126" s="1524">
        <v>11080</v>
      </c>
      <c r="F126" s="1542"/>
    </row>
    <row r="127" spans="1:6" s="1518" customFormat="1" ht="14.25" customHeight="1" thickBot="1">
      <c r="A127" s="1530" t="s">
        <v>202</v>
      </c>
      <c r="B127" s="1524" t="s">
        <v>1381</v>
      </c>
      <c r="C127" s="1524">
        <v>10100</v>
      </c>
      <c r="D127" s="1524">
        <v>10070</v>
      </c>
      <c r="E127" s="1524">
        <v>10350</v>
      </c>
      <c r="F127" s="1542"/>
    </row>
    <row r="128" spans="1:6" s="1518" customFormat="1" ht="14.25" customHeight="1" thickBot="1">
      <c r="A128" s="1530" t="s">
        <v>202</v>
      </c>
      <c r="B128" s="1524" t="s">
        <v>1391</v>
      </c>
      <c r="C128" s="1524">
        <v>9200</v>
      </c>
      <c r="D128" s="1524">
        <v>9160</v>
      </c>
      <c r="E128" s="1524">
        <v>9660</v>
      </c>
      <c r="F128" s="1542"/>
    </row>
    <row r="129" spans="1:6" s="1518" customFormat="1" ht="14.25" customHeight="1" thickBot="1">
      <c r="A129" s="1530" t="s">
        <v>202</v>
      </c>
      <c r="B129" s="1524" t="s">
        <v>1400</v>
      </c>
      <c r="C129" s="1524">
        <v>10340</v>
      </c>
      <c r="D129" s="1524">
        <v>10310</v>
      </c>
      <c r="E129" s="1524">
        <v>10580</v>
      </c>
      <c r="F129" s="1542"/>
    </row>
    <row r="130" spans="1:6" s="1518" customFormat="1" ht="14.25" customHeight="1" thickBot="1">
      <c r="A130" s="1530" t="s">
        <v>202</v>
      </c>
      <c r="B130" s="1524" t="s">
        <v>1409</v>
      </c>
      <c r="C130" s="1524">
        <v>9680</v>
      </c>
      <c r="D130" s="1524">
        <v>9660</v>
      </c>
      <c r="E130" s="1524">
        <v>9950</v>
      </c>
      <c r="F130" s="1542"/>
    </row>
    <row r="131" spans="1:6" s="1518" customFormat="1" ht="14.25" customHeight="1" thickBot="1">
      <c r="A131" s="1530" t="s">
        <v>202</v>
      </c>
      <c r="B131" s="1524" t="s">
        <v>1417</v>
      </c>
      <c r="C131" s="1524">
        <v>9540</v>
      </c>
      <c r="D131" s="1524">
        <v>9510</v>
      </c>
      <c r="E131" s="1524">
        <v>9790</v>
      </c>
      <c r="F131" s="1542"/>
    </row>
    <row r="132" spans="1:6" s="1518" customFormat="1" ht="14.25" customHeight="1" thickBot="1">
      <c r="A132" s="1530" t="s">
        <v>202</v>
      </c>
      <c r="B132" s="1524" t="s">
        <v>1424</v>
      </c>
      <c r="C132" s="1524">
        <v>9320</v>
      </c>
      <c r="D132" s="1524">
        <v>9290</v>
      </c>
      <c r="E132" s="1524">
        <v>9570</v>
      </c>
      <c r="F132" s="1542"/>
    </row>
    <row r="133" spans="1:6" s="1518" customFormat="1" ht="14.25" customHeight="1" thickBot="1">
      <c r="A133" s="1530" t="s">
        <v>202</v>
      </c>
      <c r="B133" s="1524" t="s">
        <v>1431</v>
      </c>
      <c r="C133" s="1524">
        <v>10310</v>
      </c>
      <c r="D133" s="1524">
        <v>10280</v>
      </c>
      <c r="E133" s="1524">
        <v>10530</v>
      </c>
      <c r="F133" s="1542"/>
    </row>
    <row r="134" spans="1:6" s="1518" customFormat="1" ht="14.25" customHeight="1" thickBot="1">
      <c r="A134" s="1530" t="s">
        <v>202</v>
      </c>
      <c r="B134" s="1524" t="s">
        <v>1438</v>
      </c>
      <c r="C134" s="1524">
        <v>10370</v>
      </c>
      <c r="D134" s="1524">
        <v>10310</v>
      </c>
      <c r="E134" s="1524">
        <v>10240</v>
      </c>
      <c r="F134" s="1538">
        <v>2060</v>
      </c>
    </row>
    <row r="135" spans="1:6" s="1518" customFormat="1" ht="14.25" customHeight="1" thickBot="1">
      <c r="A135" s="1530" t="s">
        <v>202</v>
      </c>
      <c r="B135" s="1524" t="s">
        <v>1445</v>
      </c>
      <c r="C135" s="1524">
        <v>9300</v>
      </c>
      <c r="D135" s="1524">
        <v>9270</v>
      </c>
      <c r="E135" s="1524">
        <v>9350</v>
      </c>
      <c r="F135" s="1542"/>
    </row>
    <row r="136" spans="1:6" s="1518" customFormat="1" ht="14.25" customHeight="1" thickBot="1">
      <c r="A136" s="1530" t="s">
        <v>202</v>
      </c>
      <c r="B136" s="1524" t="s">
        <v>1452</v>
      </c>
      <c r="C136" s="1524">
        <v>10160</v>
      </c>
      <c r="D136" s="1524">
        <v>10110</v>
      </c>
      <c r="E136" s="1524">
        <v>10080</v>
      </c>
      <c r="F136" s="1542"/>
    </row>
    <row r="137" spans="1:6" s="1518" customFormat="1" ht="14.25" customHeight="1" thickBot="1">
      <c r="A137" s="1530" t="s">
        <v>202</v>
      </c>
      <c r="B137" s="1524" t="s">
        <v>1459</v>
      </c>
      <c r="C137" s="1524">
        <v>9200</v>
      </c>
      <c r="D137" s="1524">
        <v>9170</v>
      </c>
      <c r="E137" s="1524">
        <v>9450</v>
      </c>
      <c r="F137" s="1542"/>
    </row>
    <row r="138" spans="1:6" s="1518" customFormat="1" ht="14.25" customHeight="1" thickBot="1">
      <c r="A138" s="1530" t="s">
        <v>202</v>
      </c>
      <c r="B138" s="1524" t="s">
        <v>1464</v>
      </c>
      <c r="C138" s="1524">
        <v>9690</v>
      </c>
      <c r="D138" s="1524">
        <v>9660</v>
      </c>
      <c r="E138" s="1524">
        <v>9840</v>
      </c>
      <c r="F138" s="1542"/>
    </row>
    <row r="139" spans="1:6" s="1518" customFormat="1" ht="14.25" customHeight="1" thickBot="1">
      <c r="A139" s="1530" t="s">
        <v>202</v>
      </c>
      <c r="B139" s="1524" t="s">
        <v>1468</v>
      </c>
      <c r="C139" s="1524">
        <v>10290</v>
      </c>
      <c r="D139" s="1524">
        <v>10260</v>
      </c>
      <c r="E139" s="1524">
        <v>10550</v>
      </c>
      <c r="F139" s="1538">
        <v>1700</v>
      </c>
    </row>
    <row r="140" spans="1:6" s="1518" customFormat="1" ht="14.25" customHeight="1" thickBot="1">
      <c r="A140" s="1530" t="s">
        <v>202</v>
      </c>
      <c r="B140" s="1524" t="s">
        <v>1473</v>
      </c>
      <c r="C140" s="1524">
        <v>9740</v>
      </c>
      <c r="D140" s="1524">
        <v>9710</v>
      </c>
      <c r="E140" s="1524">
        <v>10000</v>
      </c>
      <c r="F140" s="1538">
        <v>2000</v>
      </c>
    </row>
    <row r="141" spans="1:6" s="1518" customFormat="1" ht="14.25" customHeight="1" thickBot="1">
      <c r="A141" s="1530" t="s">
        <v>202</v>
      </c>
      <c r="B141" s="1524" t="s">
        <v>1478</v>
      </c>
      <c r="C141" s="1524">
        <v>9810</v>
      </c>
      <c r="D141" s="1524">
        <v>9770</v>
      </c>
      <c r="E141" s="1524">
        <v>10060</v>
      </c>
      <c r="F141" s="1542"/>
    </row>
    <row r="142" spans="1:6" s="1518" customFormat="1" ht="14.25" customHeight="1" thickBot="1">
      <c r="A142" s="1530" t="s">
        <v>202</v>
      </c>
      <c r="B142" s="1524" t="s">
        <v>1483</v>
      </c>
      <c r="C142" s="1524">
        <v>9300</v>
      </c>
      <c r="D142" s="1524">
        <v>9270</v>
      </c>
      <c r="E142" s="1524">
        <v>9530</v>
      </c>
      <c r="F142" s="1542"/>
    </row>
    <row r="143" spans="1:6" s="1518" customFormat="1" ht="14.25" customHeight="1" thickBot="1">
      <c r="A143" s="1530" t="s">
        <v>202</v>
      </c>
      <c r="B143" s="1524" t="s">
        <v>1488</v>
      </c>
      <c r="C143" s="1524">
        <v>10080</v>
      </c>
      <c r="D143" s="1524">
        <v>10050</v>
      </c>
      <c r="E143" s="1524">
        <v>10340</v>
      </c>
      <c r="F143" s="1542"/>
    </row>
    <row r="144" spans="1:6" s="1518" customFormat="1" ht="14.25" customHeight="1" thickBot="1">
      <c r="A144" s="1530" t="s">
        <v>202</v>
      </c>
      <c r="B144" s="1524" t="s">
        <v>1492</v>
      </c>
      <c r="C144" s="1524">
        <v>9820</v>
      </c>
      <c r="D144" s="1524">
        <v>9750</v>
      </c>
      <c r="E144" s="1524">
        <v>9900</v>
      </c>
      <c r="F144" s="1542"/>
    </row>
    <row r="145" spans="1:6" s="1518" customFormat="1" ht="14.25" customHeight="1" thickBot="1">
      <c r="A145" s="1530" t="s">
        <v>202</v>
      </c>
      <c r="B145" s="1524" t="s">
        <v>1496</v>
      </c>
      <c r="C145" s="1524"/>
      <c r="D145" s="1524"/>
      <c r="E145" s="1524"/>
      <c r="F145" s="1538">
        <v>1740</v>
      </c>
    </row>
    <row r="146" spans="1:6" s="1518" customFormat="1" ht="14.25" customHeight="1" thickBot="1">
      <c r="A146" s="1530" t="s">
        <v>202</v>
      </c>
      <c r="B146" s="1524" t="s">
        <v>1500</v>
      </c>
      <c r="C146" s="1524"/>
      <c r="D146" s="1524"/>
      <c r="E146" s="1524"/>
      <c r="F146" s="1538">
        <v>1740</v>
      </c>
    </row>
    <row r="147" spans="1:6" s="1518" customFormat="1" ht="14.25" customHeight="1" thickBot="1">
      <c r="A147" s="1530" t="s">
        <v>202</v>
      </c>
      <c r="B147" s="1524" t="s">
        <v>1504</v>
      </c>
      <c r="C147" s="1524"/>
      <c r="D147" s="1524"/>
      <c r="E147" s="1524"/>
      <c r="F147" s="1538">
        <v>1740</v>
      </c>
    </row>
    <row r="148" spans="1:6" s="1518" customFormat="1" ht="14.25" customHeight="1" thickBot="1">
      <c r="A148" s="1530" t="s">
        <v>202</v>
      </c>
      <c r="B148" s="1524" t="s">
        <v>1508</v>
      </c>
      <c r="C148" s="1524"/>
      <c r="D148" s="1524"/>
      <c r="E148" s="1524"/>
      <c r="F148" s="1538">
        <v>1740</v>
      </c>
    </row>
    <row r="149" spans="1:6" s="1518" customFormat="1" ht="14.25" customHeight="1" thickBot="1">
      <c r="A149" s="1530" t="s">
        <v>202</v>
      </c>
      <c r="B149" s="1524" t="s">
        <v>1512</v>
      </c>
      <c r="C149" s="1524"/>
      <c r="D149" s="1524"/>
      <c r="E149" s="1524"/>
      <c r="F149" s="1538">
        <v>1740</v>
      </c>
    </row>
    <row r="150" spans="1:6" s="1518" customFormat="1" ht="14.25" customHeight="1" thickBot="1">
      <c r="A150" s="1530" t="s">
        <v>202</v>
      </c>
      <c r="B150" s="1524" t="s">
        <v>1515</v>
      </c>
      <c r="C150" s="1524"/>
      <c r="D150" s="1524"/>
      <c r="E150" s="1524"/>
      <c r="F150" s="1538">
        <v>1610</v>
      </c>
    </row>
    <row r="151" spans="1:6" s="1518" customFormat="1" ht="14.25" customHeight="1" thickBot="1">
      <c r="A151" s="1530" t="s">
        <v>202</v>
      </c>
      <c r="B151" s="1524" t="s">
        <v>1518</v>
      </c>
      <c r="C151" s="1524"/>
      <c r="D151" s="1524"/>
      <c r="E151" s="1524"/>
      <c r="F151" s="1538">
        <v>1610</v>
      </c>
    </row>
    <row r="152" spans="1:6" s="1518" customFormat="1" ht="14.25" customHeight="1" thickBot="1">
      <c r="A152" s="1530" t="s">
        <v>202</v>
      </c>
      <c r="B152" s="1524" t="s">
        <v>1521</v>
      </c>
      <c r="C152" s="1524"/>
      <c r="D152" s="1524"/>
      <c r="E152" s="1524"/>
      <c r="F152" s="1538">
        <v>1610</v>
      </c>
    </row>
    <row r="153" spans="1:6" s="1518" customFormat="1" ht="14.25" customHeight="1" thickBot="1">
      <c r="A153" s="1530" t="s">
        <v>202</v>
      </c>
      <c r="B153" s="1524" t="s">
        <v>1524</v>
      </c>
      <c r="C153" s="1524"/>
      <c r="D153" s="1524"/>
      <c r="E153" s="1524"/>
      <c r="F153" s="1538">
        <v>1610</v>
      </c>
    </row>
    <row r="154" spans="1:6" s="1518" customFormat="1" ht="14.25" customHeight="1" thickBot="1">
      <c r="A154" s="1530" t="s">
        <v>202</v>
      </c>
      <c r="B154" s="1524" t="s">
        <v>1527</v>
      </c>
      <c r="C154" s="1524"/>
      <c r="D154" s="1524"/>
      <c r="E154" s="1524"/>
      <c r="F154" s="1538">
        <v>1610</v>
      </c>
    </row>
    <row r="155" spans="1:6" s="1518" customFormat="1" ht="14.25" customHeight="1" thickBot="1">
      <c r="A155" s="1530" t="s">
        <v>202</v>
      </c>
      <c r="B155" s="1524" t="s">
        <v>1530</v>
      </c>
      <c r="C155" s="1524"/>
      <c r="D155" s="1524"/>
      <c r="E155" s="1524"/>
      <c r="F155" s="1538">
        <v>1800</v>
      </c>
    </row>
    <row r="156" spans="1:6" s="1518" customFormat="1" ht="14.25" customHeight="1" thickBot="1">
      <c r="A156" s="1530" t="s">
        <v>202</v>
      </c>
      <c r="B156" s="1524" t="s">
        <v>1532</v>
      </c>
      <c r="C156" s="1524"/>
      <c r="D156" s="1524"/>
      <c r="E156" s="1524"/>
      <c r="F156" s="1538">
        <v>1910</v>
      </c>
    </row>
    <row r="157" spans="1:6" s="1518" customFormat="1" ht="14.25" customHeight="1" thickBot="1">
      <c r="A157" s="1530" t="s">
        <v>202</v>
      </c>
      <c r="B157" s="1536" t="s">
        <v>1535</v>
      </c>
      <c r="C157" s="1536"/>
      <c r="D157" s="1536"/>
      <c r="E157" s="1536"/>
      <c r="F157" s="1541">
        <v>1500</v>
      </c>
    </row>
    <row r="158" spans="1:6" s="1518" customFormat="1" ht="14.25" customHeight="1" thickBot="1">
      <c r="A158" s="1530" t="s">
        <v>1540</v>
      </c>
      <c r="B158" s="1531" t="s">
        <v>1541</v>
      </c>
      <c r="C158" s="1531">
        <v>8170</v>
      </c>
      <c r="D158" s="1531">
        <v>8140</v>
      </c>
      <c r="E158" s="1531">
        <v>8590</v>
      </c>
      <c r="F158" s="1532">
        <v>1450</v>
      </c>
    </row>
    <row r="159" spans="1:6" s="1518" customFormat="1" ht="14.25" customHeight="1" thickBot="1">
      <c r="A159" s="1530" t="s">
        <v>1540</v>
      </c>
      <c r="B159" s="1524" t="s">
        <v>1207</v>
      </c>
      <c r="C159" s="1524">
        <v>7410</v>
      </c>
      <c r="D159" s="1524">
        <v>7370</v>
      </c>
      <c r="E159" s="1524">
        <v>8030</v>
      </c>
      <c r="F159" s="1538">
        <v>1510</v>
      </c>
    </row>
    <row r="160" spans="1:6" s="1518" customFormat="1" ht="14.25" customHeight="1" thickBot="1">
      <c r="A160" s="1530" t="s">
        <v>1540</v>
      </c>
      <c r="B160" s="1524" t="s">
        <v>1220</v>
      </c>
      <c r="C160" s="1524">
        <v>7240</v>
      </c>
      <c r="D160" s="1524">
        <v>7210</v>
      </c>
      <c r="E160" s="1524">
        <v>7860</v>
      </c>
      <c r="F160" s="1538">
        <v>1370</v>
      </c>
    </row>
    <row r="161" spans="1:6" s="1518" customFormat="1" ht="14.25" customHeight="1" thickBot="1">
      <c r="A161" s="1530" t="s">
        <v>1540</v>
      </c>
      <c r="B161" s="1524" t="s">
        <v>1233</v>
      </c>
      <c r="C161" s="1524">
        <v>7720</v>
      </c>
      <c r="D161" s="1524">
        <v>7690</v>
      </c>
      <c r="E161" s="1524">
        <v>8200</v>
      </c>
      <c r="F161" s="1538">
        <v>1190</v>
      </c>
    </row>
    <row r="162" spans="1:6" s="1518" customFormat="1" ht="14.25" customHeight="1" thickBot="1">
      <c r="A162" s="1530" t="s">
        <v>1540</v>
      </c>
      <c r="B162" s="1524" t="s">
        <v>1245</v>
      </c>
      <c r="C162" s="1524">
        <v>6900</v>
      </c>
      <c r="D162" s="1524">
        <v>6870</v>
      </c>
      <c r="E162" s="1524">
        <v>7500</v>
      </c>
      <c r="F162" s="1538">
        <v>1390</v>
      </c>
    </row>
    <row r="163" spans="1:6" s="1518" customFormat="1" ht="14.25" customHeight="1" thickBot="1">
      <c r="A163" s="1530" t="s">
        <v>1540</v>
      </c>
      <c r="B163" s="1524" t="s">
        <v>1256</v>
      </c>
      <c r="C163" s="1524">
        <v>7120</v>
      </c>
      <c r="D163" s="1524">
        <v>7090</v>
      </c>
      <c r="E163" s="1524">
        <v>7690</v>
      </c>
      <c r="F163" s="1538">
        <v>1230</v>
      </c>
    </row>
    <row r="164" spans="1:6" s="1518" customFormat="1" ht="14.25" customHeight="1" thickBot="1">
      <c r="A164" s="1530" t="s">
        <v>1540</v>
      </c>
      <c r="B164" s="1524" t="s">
        <v>1267</v>
      </c>
      <c r="C164" s="1524">
        <v>6560</v>
      </c>
      <c r="D164" s="1524">
        <v>6530</v>
      </c>
      <c r="E164" s="1524">
        <v>7110</v>
      </c>
      <c r="F164" s="1538">
        <v>1340</v>
      </c>
    </row>
    <row r="165" spans="1:6" s="1518" customFormat="1" ht="14.25" customHeight="1" thickBot="1">
      <c r="A165" s="1530" t="s">
        <v>1540</v>
      </c>
      <c r="B165" s="1524" t="s">
        <v>1278</v>
      </c>
      <c r="C165" s="1524">
        <v>7450</v>
      </c>
      <c r="D165" s="1524">
        <v>7430</v>
      </c>
      <c r="E165" s="1524">
        <v>8110</v>
      </c>
      <c r="F165" s="1538">
        <v>1290</v>
      </c>
    </row>
    <row r="166" spans="1:6" s="1518" customFormat="1" ht="14.25" customHeight="1" thickBot="1">
      <c r="A166" s="1530" t="s">
        <v>1540</v>
      </c>
      <c r="B166" s="1524" t="s">
        <v>1290</v>
      </c>
      <c r="C166" s="1524">
        <v>7490</v>
      </c>
      <c r="D166" s="1524">
        <v>7460</v>
      </c>
      <c r="E166" s="1524">
        <v>8150</v>
      </c>
      <c r="F166" s="1538">
        <v>1350</v>
      </c>
    </row>
    <row r="167" spans="1:6" s="1518" customFormat="1" ht="14.25" customHeight="1" thickBot="1">
      <c r="A167" s="1530" t="s">
        <v>1540</v>
      </c>
      <c r="B167" s="1524" t="s">
        <v>1300</v>
      </c>
      <c r="C167" s="1524">
        <v>7540</v>
      </c>
      <c r="D167" s="1524">
        <v>7510</v>
      </c>
      <c r="E167" s="1524">
        <v>8030</v>
      </c>
      <c r="F167" s="1542"/>
    </row>
    <row r="168" spans="1:6" s="1518" customFormat="1" ht="14.25" customHeight="1" thickBot="1">
      <c r="A168" s="1530" t="s">
        <v>1540</v>
      </c>
      <c r="B168" s="1524" t="s">
        <v>1310</v>
      </c>
      <c r="C168" s="1524">
        <v>7210</v>
      </c>
      <c r="D168" s="1524">
        <v>7180</v>
      </c>
      <c r="E168" s="1524">
        <v>7830</v>
      </c>
      <c r="F168" s="1542"/>
    </row>
    <row r="169" spans="1:6" s="1518" customFormat="1" ht="14.25" customHeight="1" thickBot="1">
      <c r="A169" s="1530" t="s">
        <v>1540</v>
      </c>
      <c r="B169" s="1524" t="s">
        <v>1320</v>
      </c>
      <c r="C169" s="1524">
        <v>7040</v>
      </c>
      <c r="D169" s="1524">
        <v>7020</v>
      </c>
      <c r="E169" s="1524">
        <v>7670</v>
      </c>
      <c r="F169" s="1542"/>
    </row>
    <row r="170" spans="1:6" s="1518" customFormat="1" ht="14.25" customHeight="1" thickBot="1">
      <c r="A170" s="1530" t="s">
        <v>1540</v>
      </c>
      <c r="B170" s="1524" t="s">
        <v>1330</v>
      </c>
      <c r="C170" s="1524">
        <v>8040</v>
      </c>
      <c r="D170" s="1524">
        <v>7190</v>
      </c>
      <c r="E170" s="1524">
        <v>7850</v>
      </c>
      <c r="F170" s="1542"/>
    </row>
    <row r="171" spans="1:6" s="1518" customFormat="1" ht="14.25" customHeight="1" thickBot="1">
      <c r="A171" s="1530" t="s">
        <v>1540</v>
      </c>
      <c r="B171" s="1524" t="s">
        <v>1341</v>
      </c>
      <c r="C171" s="1524">
        <v>7860</v>
      </c>
      <c r="D171" s="1524">
        <v>7720</v>
      </c>
      <c r="E171" s="1524">
        <v>8150</v>
      </c>
      <c r="F171" s="1538">
        <v>1110</v>
      </c>
    </row>
    <row r="172" spans="1:6" s="1518" customFormat="1" ht="14.25" customHeight="1" thickBot="1">
      <c r="A172" s="1530" t="s">
        <v>1540</v>
      </c>
      <c r="B172" s="1524" t="s">
        <v>1352</v>
      </c>
      <c r="C172" s="1524">
        <v>7210</v>
      </c>
      <c r="D172" s="1524">
        <v>7170</v>
      </c>
      <c r="E172" s="1524">
        <v>7320</v>
      </c>
      <c r="F172" s="1542"/>
    </row>
    <row r="173" spans="1:6" s="1518" customFormat="1" ht="14.25" customHeight="1" thickBot="1">
      <c r="A173" s="1530" t="s">
        <v>1540</v>
      </c>
      <c r="B173" s="1524" t="s">
        <v>1362</v>
      </c>
      <c r="C173" s="1524">
        <v>6860</v>
      </c>
      <c r="D173" s="1524">
        <v>6810</v>
      </c>
      <c r="E173" s="1524">
        <v>7440</v>
      </c>
      <c r="F173" s="1542"/>
    </row>
    <row r="174" spans="1:6" s="1518" customFormat="1" ht="14.25" customHeight="1" thickBot="1">
      <c r="A174" s="1530" t="s">
        <v>1540</v>
      </c>
      <c r="B174" s="1524" t="s">
        <v>1372</v>
      </c>
      <c r="C174" s="1524">
        <v>7120</v>
      </c>
      <c r="D174" s="1524">
        <v>7090</v>
      </c>
      <c r="E174" s="1524">
        <v>7500</v>
      </c>
      <c r="F174" s="1538">
        <v>1490</v>
      </c>
    </row>
    <row r="175" spans="1:6" s="1518" customFormat="1" ht="14.25" customHeight="1" thickBot="1">
      <c r="A175" s="1530" t="s">
        <v>1540</v>
      </c>
      <c r="B175" s="1524" t="s">
        <v>1382</v>
      </c>
      <c r="C175" s="1524">
        <v>7850</v>
      </c>
      <c r="D175" s="1524">
        <v>7820</v>
      </c>
      <c r="E175" s="1524">
        <v>8120</v>
      </c>
      <c r="F175" s="1538">
        <v>1530</v>
      </c>
    </row>
    <row r="176" spans="1:6" s="1518" customFormat="1" ht="14.25" customHeight="1" thickBot="1">
      <c r="A176" s="1530" t="s">
        <v>1540</v>
      </c>
      <c r="B176" s="1524" t="s">
        <v>1392</v>
      </c>
      <c r="C176" s="1524">
        <v>7620</v>
      </c>
      <c r="D176" s="1524">
        <v>7570</v>
      </c>
      <c r="E176" s="1524">
        <v>7990</v>
      </c>
      <c r="F176" s="1538">
        <v>1480</v>
      </c>
    </row>
    <row r="177" spans="1:6" s="1518" customFormat="1" ht="14.25" customHeight="1" thickBot="1">
      <c r="A177" s="1530" t="s">
        <v>1540</v>
      </c>
      <c r="B177" s="1524" t="s">
        <v>1401</v>
      </c>
      <c r="C177" s="1524">
        <v>8590</v>
      </c>
      <c r="D177" s="1524">
        <v>8570</v>
      </c>
      <c r="E177" s="1524">
        <v>8740</v>
      </c>
      <c r="F177" s="1538">
        <v>1540</v>
      </c>
    </row>
    <row r="178" spans="1:6" s="1518" customFormat="1" ht="14.25" customHeight="1" thickBot="1">
      <c r="A178" s="1530" t="s">
        <v>1540</v>
      </c>
      <c r="B178" s="1524" t="s">
        <v>1410</v>
      </c>
      <c r="C178" s="1524">
        <v>7510</v>
      </c>
      <c r="D178" s="1524">
        <v>7470</v>
      </c>
      <c r="E178" s="1524">
        <v>8090</v>
      </c>
      <c r="F178" s="1538">
        <v>1320</v>
      </c>
    </row>
    <row r="179" spans="1:6" s="1518" customFormat="1" ht="14.25" customHeight="1" thickBot="1">
      <c r="A179" s="1530" t="s">
        <v>1540</v>
      </c>
      <c r="B179" s="1524" t="s">
        <v>1418</v>
      </c>
      <c r="C179" s="1524">
        <v>6380</v>
      </c>
      <c r="D179" s="1524">
        <v>6340</v>
      </c>
      <c r="E179" s="1524">
        <v>6810</v>
      </c>
      <c r="F179" s="1542"/>
    </row>
    <row r="180" spans="1:6" s="1518" customFormat="1" ht="14.25" customHeight="1" thickBot="1">
      <c r="A180" s="1530" t="s">
        <v>1540</v>
      </c>
      <c r="B180" s="1524" t="s">
        <v>1425</v>
      </c>
      <c r="C180" s="1524">
        <v>7830</v>
      </c>
      <c r="D180" s="1524">
        <v>7800</v>
      </c>
      <c r="E180" s="1524">
        <v>7780</v>
      </c>
      <c r="F180" s="1538">
        <v>1440</v>
      </c>
    </row>
    <row r="181" spans="1:6" s="1518" customFormat="1" ht="14.25" customHeight="1" thickBot="1">
      <c r="A181" s="1530" t="s">
        <v>1540</v>
      </c>
      <c r="B181" s="1524" t="s">
        <v>1432</v>
      </c>
      <c r="C181" s="1524">
        <v>7110</v>
      </c>
      <c r="D181" s="1524">
        <v>7080</v>
      </c>
      <c r="E181" s="1524">
        <v>7730</v>
      </c>
      <c r="F181" s="1538">
        <v>1350</v>
      </c>
    </row>
    <row r="182" spans="1:6" s="1518" customFormat="1" ht="14.25" customHeight="1" thickBot="1">
      <c r="A182" s="1530" t="s">
        <v>1540</v>
      </c>
      <c r="B182" s="1524" t="s">
        <v>1439</v>
      </c>
      <c r="C182" s="1524">
        <v>7310</v>
      </c>
      <c r="D182" s="1524">
        <v>7280</v>
      </c>
      <c r="E182" s="1524">
        <v>7950</v>
      </c>
      <c r="F182" s="1538">
        <v>1220</v>
      </c>
    </row>
    <row r="183" spans="1:6" s="1518" customFormat="1" ht="14.25" customHeight="1" thickBot="1">
      <c r="A183" s="1530" t="s">
        <v>1540</v>
      </c>
      <c r="B183" s="1524" t="s">
        <v>1446</v>
      </c>
      <c r="C183" s="1524">
        <v>7470</v>
      </c>
      <c r="D183" s="1524">
        <v>7440</v>
      </c>
      <c r="E183" s="1524">
        <v>7880</v>
      </c>
      <c r="F183" s="1542"/>
    </row>
    <row r="184" spans="1:6" s="1518" customFormat="1" ht="14.25" customHeight="1" thickBot="1">
      <c r="A184" s="1530" t="s">
        <v>1540</v>
      </c>
      <c r="B184" s="1524" t="s">
        <v>1453</v>
      </c>
      <c r="C184" s="1524">
        <v>6960</v>
      </c>
      <c r="D184" s="1524">
        <v>6930</v>
      </c>
      <c r="E184" s="1524">
        <v>7570</v>
      </c>
      <c r="F184" s="1542"/>
    </row>
    <row r="185" spans="1:6" s="1518" customFormat="1" ht="14.25" customHeight="1" thickBot="1">
      <c r="A185" s="1530" t="s">
        <v>1540</v>
      </c>
      <c r="B185" s="1524" t="s">
        <v>1460</v>
      </c>
      <c r="C185" s="1524">
        <v>7260</v>
      </c>
      <c r="D185" s="1524">
        <v>7230</v>
      </c>
      <c r="E185" s="1524">
        <v>7710</v>
      </c>
      <c r="F185" s="1538">
        <v>1360</v>
      </c>
    </row>
    <row r="186" spans="1:6" s="1518" customFormat="1" ht="14.25" customHeight="1" thickBot="1">
      <c r="A186" s="1530" t="s">
        <v>1540</v>
      </c>
      <c r="B186" s="1524" t="s">
        <v>1465</v>
      </c>
      <c r="C186" s="1524"/>
      <c r="D186" s="1524"/>
      <c r="E186" s="1524"/>
      <c r="F186" s="1538">
        <v>1560</v>
      </c>
    </row>
    <row r="187" spans="1:6" s="1518" customFormat="1" ht="14.25" customHeight="1" thickBot="1">
      <c r="A187" s="1530" t="s">
        <v>1540</v>
      </c>
      <c r="B187" s="1524" t="s">
        <v>1469</v>
      </c>
      <c r="C187" s="1524"/>
      <c r="D187" s="1524"/>
      <c r="E187" s="1524"/>
      <c r="F187" s="1538">
        <v>1560</v>
      </c>
    </row>
    <row r="188" spans="1:6" s="1518" customFormat="1" ht="14.25" customHeight="1" thickBot="1">
      <c r="A188" s="1530" t="s">
        <v>1540</v>
      </c>
      <c r="B188" s="1524" t="s">
        <v>1474</v>
      </c>
      <c r="C188" s="1524"/>
      <c r="D188" s="1524"/>
      <c r="E188" s="1524"/>
      <c r="F188" s="1538">
        <v>1560</v>
      </c>
    </row>
    <row r="189" spans="1:6" s="1518" customFormat="1" ht="14.25" customHeight="1" thickBot="1">
      <c r="A189" s="1530" t="s">
        <v>1540</v>
      </c>
      <c r="B189" s="1524" t="s">
        <v>1479</v>
      </c>
      <c r="C189" s="1524"/>
      <c r="D189" s="1524"/>
      <c r="E189" s="1524"/>
      <c r="F189" s="1538">
        <v>1320</v>
      </c>
    </row>
    <row r="190" spans="1:6" s="1518" customFormat="1" ht="14.25" customHeight="1" thickBot="1">
      <c r="A190" s="1530" t="s">
        <v>1540</v>
      </c>
      <c r="B190" s="1524" t="s">
        <v>1484</v>
      </c>
      <c r="C190" s="1524"/>
      <c r="D190" s="1524"/>
      <c r="E190" s="1524"/>
      <c r="F190" s="1538">
        <v>1320</v>
      </c>
    </row>
    <row r="191" spans="1:6" s="1518" customFormat="1" ht="14.25" customHeight="1" thickBot="1">
      <c r="A191" s="1530" t="s">
        <v>1540</v>
      </c>
      <c r="B191" s="1524" t="s">
        <v>1489</v>
      </c>
      <c r="C191" s="1524"/>
      <c r="D191" s="1524"/>
      <c r="E191" s="1524"/>
      <c r="F191" s="1538">
        <v>1320</v>
      </c>
    </row>
    <row r="192" spans="1:6" s="1518" customFormat="1" ht="14.25" customHeight="1" thickBot="1">
      <c r="A192" s="1530" t="s">
        <v>1540</v>
      </c>
      <c r="B192" s="1524" t="s">
        <v>1493</v>
      </c>
      <c r="C192" s="1524"/>
      <c r="D192" s="1524"/>
      <c r="E192" s="1524"/>
      <c r="F192" s="1538">
        <v>1100</v>
      </c>
    </row>
    <row r="193" spans="1:6" s="1518" customFormat="1" ht="14.25" customHeight="1" thickBot="1">
      <c r="A193" s="1530" t="s">
        <v>1540</v>
      </c>
      <c r="B193" s="1524" t="s">
        <v>1497</v>
      </c>
      <c r="C193" s="1524"/>
      <c r="D193" s="1524"/>
      <c r="E193" s="1524"/>
      <c r="F193" s="1538">
        <v>1100</v>
      </c>
    </row>
    <row r="194" spans="1:6" s="1518" customFormat="1" ht="14.25" customHeight="1" thickBot="1">
      <c r="A194" s="1530" t="s">
        <v>1540</v>
      </c>
      <c r="B194" s="1524" t="s">
        <v>1501</v>
      </c>
      <c r="C194" s="1524"/>
      <c r="D194" s="1524"/>
      <c r="E194" s="1524"/>
      <c r="F194" s="1538">
        <v>1080</v>
      </c>
    </row>
    <row r="195" spans="1:6" s="1518" customFormat="1" ht="14.25" customHeight="1" thickBot="1">
      <c r="A195" s="1530" t="s">
        <v>1540</v>
      </c>
      <c r="B195" s="1524" t="s">
        <v>1505</v>
      </c>
      <c r="C195" s="1524"/>
      <c r="D195" s="1524"/>
      <c r="E195" s="1524"/>
      <c r="F195" s="1538">
        <v>1270</v>
      </c>
    </row>
    <row r="196" spans="1:6" s="1518" customFormat="1" ht="14.25" customHeight="1" thickBot="1">
      <c r="A196" s="1530" t="s">
        <v>1540</v>
      </c>
      <c r="B196" s="1524" t="s">
        <v>1509</v>
      </c>
      <c r="C196" s="1524"/>
      <c r="D196" s="1524"/>
      <c r="E196" s="1524"/>
      <c r="F196" s="1538">
        <v>1150</v>
      </c>
    </row>
    <row r="197" spans="1:6" s="1518" customFormat="1" ht="14.25" customHeight="1" thickBot="1">
      <c r="A197" s="1530" t="s">
        <v>1540</v>
      </c>
      <c r="B197" s="1524" t="s">
        <v>1513</v>
      </c>
      <c r="C197" s="1524"/>
      <c r="D197" s="1524"/>
      <c r="E197" s="1524"/>
      <c r="F197" s="1538">
        <v>1330</v>
      </c>
    </row>
    <row r="198" spans="1:6" s="1518" customFormat="1" ht="14.25" customHeight="1" thickBot="1">
      <c r="A198" s="1530" t="s">
        <v>1540</v>
      </c>
      <c r="B198" s="1524" t="s">
        <v>1516</v>
      </c>
      <c r="C198" s="1524"/>
      <c r="D198" s="1524"/>
      <c r="E198" s="1524"/>
      <c r="F198" s="1538">
        <v>1170</v>
      </c>
    </row>
    <row r="199" spans="1:6" s="1518" customFormat="1" ht="14.25" customHeight="1" thickBot="1">
      <c r="A199" s="1530" t="s">
        <v>1540</v>
      </c>
      <c r="B199" s="1524" t="s">
        <v>1519</v>
      </c>
      <c r="C199" s="1524"/>
      <c r="D199" s="1524"/>
      <c r="E199" s="1524"/>
      <c r="F199" s="1538">
        <v>1120</v>
      </c>
    </row>
    <row r="200" spans="1:6" s="1518" customFormat="1" ht="14.25" customHeight="1" thickBot="1">
      <c r="A200" s="1530" t="s">
        <v>1540</v>
      </c>
      <c r="B200" s="1524" t="s">
        <v>1522</v>
      </c>
      <c r="C200" s="1524"/>
      <c r="D200" s="1524"/>
      <c r="E200" s="1524"/>
      <c r="F200" s="1538">
        <v>1120</v>
      </c>
    </row>
    <row r="201" spans="1:6" s="1518" customFormat="1" ht="14.25" customHeight="1" thickBot="1">
      <c r="A201" s="1530" t="s">
        <v>1540</v>
      </c>
      <c r="B201" s="1524" t="s">
        <v>1525</v>
      </c>
      <c r="C201" s="1524"/>
      <c r="D201" s="1524"/>
      <c r="E201" s="1524"/>
      <c r="F201" s="1538">
        <v>1540</v>
      </c>
    </row>
    <row r="202" spans="1:6" s="1518" customFormat="1" ht="14.25" customHeight="1" thickBot="1">
      <c r="A202" s="1530" t="s">
        <v>1540</v>
      </c>
      <c r="B202" s="1524" t="s">
        <v>1528</v>
      </c>
      <c r="C202" s="1524"/>
      <c r="D202" s="1524"/>
      <c r="E202" s="1524"/>
      <c r="F202" s="1538">
        <v>1310</v>
      </c>
    </row>
    <row r="203" spans="1:6" s="1518" customFormat="1" ht="14.25" customHeight="1" thickBot="1">
      <c r="A203" s="1530" t="s">
        <v>1540</v>
      </c>
      <c r="B203" s="1524" t="s">
        <v>1531</v>
      </c>
      <c r="C203" s="1524"/>
      <c r="D203" s="1524"/>
      <c r="E203" s="1524"/>
      <c r="F203" s="1538">
        <v>1310</v>
      </c>
    </row>
    <row r="204" spans="1:6" s="1518" customFormat="1" ht="14.25" customHeight="1" thickBot="1">
      <c r="A204" s="1530" t="s">
        <v>1540</v>
      </c>
      <c r="B204" s="1524" t="s">
        <v>1533</v>
      </c>
      <c r="C204" s="1524"/>
      <c r="D204" s="1524"/>
      <c r="E204" s="1524"/>
      <c r="F204" s="1538">
        <v>1080</v>
      </c>
    </row>
    <row r="205" spans="1:6" s="1518" customFormat="1" ht="14.25" customHeight="1" thickBot="1">
      <c r="A205" s="1530" t="s">
        <v>1540</v>
      </c>
      <c r="B205" s="1524" t="s">
        <v>1536</v>
      </c>
      <c r="C205" s="1524"/>
      <c r="D205" s="1524"/>
      <c r="E205" s="1524"/>
      <c r="F205" s="1538">
        <v>1080</v>
      </c>
    </row>
    <row r="206" spans="1:6" s="1518" customFormat="1" ht="14.25" customHeight="1" thickBot="1">
      <c r="A206" s="1530" t="s">
        <v>1542</v>
      </c>
      <c r="B206" s="1531" t="s">
        <v>1543</v>
      </c>
      <c r="C206" s="1531">
        <v>5450</v>
      </c>
      <c r="D206" s="1531">
        <v>5430</v>
      </c>
      <c r="E206" s="1531">
        <v>5700</v>
      </c>
      <c r="F206" s="1532">
        <v>1020</v>
      </c>
    </row>
    <row r="207" spans="1:6" s="1518" customFormat="1" ht="14.25" customHeight="1" thickBot="1">
      <c r="A207" s="1530" t="s">
        <v>1542</v>
      </c>
      <c r="B207" s="1524" t="s">
        <v>1208</v>
      </c>
      <c r="C207" s="1524">
        <v>5860</v>
      </c>
      <c r="D207" s="1524">
        <v>5820</v>
      </c>
      <c r="E207" s="1524">
        <v>6050</v>
      </c>
      <c r="F207" s="1538">
        <v>1080</v>
      </c>
    </row>
    <row r="208" spans="1:6" s="1518" customFormat="1" ht="14.25" customHeight="1" thickBot="1">
      <c r="A208" s="1530" t="s">
        <v>1542</v>
      </c>
      <c r="B208" s="1524" t="s">
        <v>1221</v>
      </c>
      <c r="C208" s="1524">
        <v>4630</v>
      </c>
      <c r="D208" s="1524">
        <v>4600</v>
      </c>
      <c r="E208" s="1524">
        <v>4840</v>
      </c>
      <c r="F208" s="1538">
        <v>900</v>
      </c>
    </row>
    <row r="209" spans="1:6" s="1518" customFormat="1" ht="14.25" customHeight="1" thickBot="1">
      <c r="A209" s="1530" t="s">
        <v>1542</v>
      </c>
      <c r="B209" s="1524" t="s">
        <v>1234</v>
      </c>
      <c r="C209" s="1524">
        <v>5320</v>
      </c>
      <c r="D209" s="1524">
        <v>5270</v>
      </c>
      <c r="E209" s="1524">
        <v>5540</v>
      </c>
      <c r="F209" s="1538">
        <v>980</v>
      </c>
    </row>
    <row r="210" spans="1:6" s="1518" customFormat="1" ht="14.25" customHeight="1" thickBot="1">
      <c r="A210" s="1530" t="s">
        <v>1542</v>
      </c>
      <c r="B210" s="1524" t="s">
        <v>1246</v>
      </c>
      <c r="C210" s="1524">
        <v>5760</v>
      </c>
      <c r="D210" s="1524">
        <v>5710</v>
      </c>
      <c r="E210" s="1524">
        <v>6010</v>
      </c>
      <c r="F210" s="1538">
        <v>870</v>
      </c>
    </row>
    <row r="211" spans="1:6" s="1518" customFormat="1" ht="14.25" customHeight="1" thickBot="1">
      <c r="A211" s="1530" t="s">
        <v>1542</v>
      </c>
      <c r="B211" s="1524" t="s">
        <v>1257</v>
      </c>
      <c r="C211" s="1524">
        <v>4160</v>
      </c>
      <c r="D211" s="1524">
        <v>4100</v>
      </c>
      <c r="E211" s="1524">
        <v>4270</v>
      </c>
      <c r="F211" s="1538">
        <v>790</v>
      </c>
    </row>
    <row r="212" spans="1:6" s="1518" customFormat="1" ht="14.25" customHeight="1" thickBot="1">
      <c r="A212" s="1530" t="s">
        <v>1542</v>
      </c>
      <c r="B212" s="1524" t="s">
        <v>1268</v>
      </c>
      <c r="C212" s="1524">
        <v>4880</v>
      </c>
      <c r="D212" s="1524">
        <v>4850</v>
      </c>
      <c r="E212" s="1524">
        <v>5110</v>
      </c>
      <c r="F212" s="1538">
        <v>940</v>
      </c>
    </row>
    <row r="213" spans="1:6" s="1518" customFormat="1" ht="14.25" customHeight="1" thickBot="1">
      <c r="A213" s="1530" t="s">
        <v>1542</v>
      </c>
      <c r="B213" s="1524" t="s">
        <v>1279</v>
      </c>
      <c r="C213" s="1524">
        <v>4640</v>
      </c>
      <c r="D213" s="1524">
        <v>4590</v>
      </c>
      <c r="E213" s="1524">
        <v>4700</v>
      </c>
      <c r="F213" s="1538">
        <v>1030</v>
      </c>
    </row>
    <row r="214" spans="1:6" s="1518" customFormat="1" ht="14.25" customHeight="1" thickBot="1">
      <c r="A214" s="1530" t="s">
        <v>1542</v>
      </c>
      <c r="B214" s="1524" t="s">
        <v>1291</v>
      </c>
      <c r="C214" s="1524">
        <v>4540</v>
      </c>
      <c r="D214" s="1524">
        <v>4490</v>
      </c>
      <c r="E214" s="1524">
        <v>4610</v>
      </c>
      <c r="F214" s="1542"/>
    </row>
    <row r="215" spans="1:6" s="1518" customFormat="1" ht="14.25" customHeight="1" thickBot="1">
      <c r="A215" s="1530" t="s">
        <v>1542</v>
      </c>
      <c r="B215" s="1524" t="s">
        <v>1301</v>
      </c>
      <c r="C215" s="1524">
        <v>5280</v>
      </c>
      <c r="D215" s="1524">
        <v>5250</v>
      </c>
      <c r="E215" s="1524">
        <v>5520</v>
      </c>
      <c r="F215" s="1538">
        <v>1000</v>
      </c>
    </row>
    <row r="216" spans="1:6" s="1518" customFormat="1" ht="14.25" customHeight="1" thickBot="1">
      <c r="A216" s="1530" t="s">
        <v>1542</v>
      </c>
      <c r="B216" s="1524" t="s">
        <v>1311</v>
      </c>
      <c r="C216" s="1524">
        <v>5100</v>
      </c>
      <c r="D216" s="1524">
        <v>5050</v>
      </c>
      <c r="E216" s="1524">
        <v>5300</v>
      </c>
      <c r="F216" s="1538">
        <v>950</v>
      </c>
    </row>
    <row r="217" spans="1:6" s="1518" customFormat="1" ht="14.25" customHeight="1" thickBot="1">
      <c r="A217" s="1530" t="s">
        <v>1542</v>
      </c>
      <c r="B217" s="1524" t="s">
        <v>1321</v>
      </c>
      <c r="C217" s="1524">
        <v>5370</v>
      </c>
      <c r="D217" s="1524">
        <v>5320</v>
      </c>
      <c r="E217" s="1524">
        <v>5410</v>
      </c>
      <c r="F217" s="1538">
        <v>950</v>
      </c>
    </row>
    <row r="218" spans="1:6" s="1518" customFormat="1" ht="14.25" customHeight="1" thickBot="1">
      <c r="A218" s="1530" t="s">
        <v>1542</v>
      </c>
      <c r="B218" s="1524" t="s">
        <v>1331</v>
      </c>
      <c r="C218" s="1524">
        <v>5540</v>
      </c>
      <c r="D218" s="1524">
        <v>5480</v>
      </c>
      <c r="E218" s="1524">
        <v>5740</v>
      </c>
      <c r="F218" s="1538">
        <v>1020</v>
      </c>
    </row>
    <row r="219" spans="1:6" s="1518" customFormat="1" ht="14.25" customHeight="1" thickBot="1">
      <c r="A219" s="1530" t="s">
        <v>1542</v>
      </c>
      <c r="B219" s="1524" t="s">
        <v>1342</v>
      </c>
      <c r="C219" s="1524">
        <v>5140</v>
      </c>
      <c r="D219" s="1524">
        <v>5100</v>
      </c>
      <c r="E219" s="1524">
        <v>5350</v>
      </c>
      <c r="F219" s="1538">
        <v>1120</v>
      </c>
    </row>
    <row r="220" spans="1:6" s="1518" customFormat="1" ht="14.25" customHeight="1" thickBot="1">
      <c r="A220" s="1530" t="s">
        <v>1542</v>
      </c>
      <c r="B220" s="1524" t="s">
        <v>1353</v>
      </c>
      <c r="C220" s="1524">
        <v>5040</v>
      </c>
      <c r="D220" s="1524">
        <v>5000</v>
      </c>
      <c r="E220" s="1524">
        <v>5240</v>
      </c>
      <c r="F220" s="1538">
        <v>980</v>
      </c>
    </row>
    <row r="221" spans="1:6" s="1518" customFormat="1" ht="14.25" customHeight="1" thickBot="1">
      <c r="A221" s="1530" t="s">
        <v>1542</v>
      </c>
      <c r="B221" s="1524" t="s">
        <v>1363</v>
      </c>
      <c r="C221" s="1543"/>
      <c r="D221" s="1543"/>
      <c r="E221" s="1543"/>
      <c r="F221" s="1538">
        <v>1070</v>
      </c>
    </row>
    <row r="222" spans="1:6" s="1518" customFormat="1" ht="14.25" customHeight="1" thickBot="1">
      <c r="A222" s="1530" t="s">
        <v>1542</v>
      </c>
      <c r="B222" s="1524" t="s">
        <v>1373</v>
      </c>
      <c r="C222" s="1543"/>
      <c r="D222" s="1543"/>
      <c r="E222" s="1543"/>
      <c r="F222" s="1538">
        <v>870</v>
      </c>
    </row>
    <row r="223" spans="1:6" s="1518" customFormat="1" ht="14.25" customHeight="1" thickBot="1">
      <c r="A223" s="1530" t="s">
        <v>1542</v>
      </c>
      <c r="B223" s="1524" t="s">
        <v>1383</v>
      </c>
      <c r="C223" s="1543"/>
      <c r="D223" s="1543"/>
      <c r="E223" s="1543"/>
      <c r="F223" s="1538">
        <v>940</v>
      </c>
    </row>
    <row r="224" spans="1:6" s="1518" customFormat="1" ht="14.25" customHeight="1" thickBot="1">
      <c r="A224" s="1530" t="s">
        <v>1542</v>
      </c>
      <c r="B224" s="1524" t="s">
        <v>1393</v>
      </c>
      <c r="C224" s="1543"/>
      <c r="D224" s="1543"/>
      <c r="E224" s="1543"/>
      <c r="F224" s="1538">
        <v>990</v>
      </c>
    </row>
    <row r="225" spans="1:6" s="1518" customFormat="1" ht="14.25" customHeight="1" thickBot="1">
      <c r="A225" s="1530" t="s">
        <v>1542</v>
      </c>
      <c r="B225" s="1524" t="s">
        <v>1402</v>
      </c>
      <c r="C225" s="1524">
        <v>5730</v>
      </c>
      <c r="D225" s="1524">
        <v>5680</v>
      </c>
      <c r="E225" s="1524">
        <v>6020</v>
      </c>
      <c r="F225" s="1538">
        <v>1000</v>
      </c>
    </row>
    <row r="226" spans="1:6" s="1518" customFormat="1" ht="14.25" customHeight="1" thickBot="1">
      <c r="A226" s="1530" t="s">
        <v>1542</v>
      </c>
      <c r="B226" s="1524" t="s">
        <v>1411</v>
      </c>
      <c r="C226" s="1524">
        <v>4970</v>
      </c>
      <c r="D226" s="1524">
        <v>4940</v>
      </c>
      <c r="E226" s="1524">
        <v>5180</v>
      </c>
      <c r="F226" s="1538">
        <v>960</v>
      </c>
    </row>
    <row r="227" spans="1:6" s="1518" customFormat="1" ht="14.25" customHeight="1" thickBot="1">
      <c r="A227" s="1530" t="s">
        <v>1542</v>
      </c>
      <c r="B227" s="1524" t="s">
        <v>1419</v>
      </c>
      <c r="C227" s="1524">
        <v>5550</v>
      </c>
      <c r="D227" s="1524">
        <v>5500</v>
      </c>
      <c r="E227" s="1524">
        <v>5780</v>
      </c>
      <c r="F227" s="1538">
        <v>940</v>
      </c>
    </row>
    <row r="228" spans="1:6" s="1518" customFormat="1" ht="14.25" customHeight="1" thickBot="1">
      <c r="A228" s="1530" t="s">
        <v>1542</v>
      </c>
      <c r="B228" s="1524" t="s">
        <v>1426</v>
      </c>
      <c r="C228" s="1524">
        <v>5460</v>
      </c>
      <c r="D228" s="1524">
        <v>5420</v>
      </c>
      <c r="E228" s="1524">
        <v>5690</v>
      </c>
      <c r="F228" s="1538">
        <v>910</v>
      </c>
    </row>
    <row r="229" spans="1:6" s="1518" customFormat="1" ht="14.25" customHeight="1" thickBot="1">
      <c r="A229" s="1530" t="s">
        <v>1542</v>
      </c>
      <c r="B229" s="1524" t="s">
        <v>1433</v>
      </c>
      <c r="C229" s="1524">
        <v>5310</v>
      </c>
      <c r="D229" s="1524">
        <v>5270</v>
      </c>
      <c r="E229" s="1524">
        <v>5510</v>
      </c>
      <c r="F229" s="1542"/>
    </row>
    <row r="230" spans="1:6" s="1518" customFormat="1" ht="14.25" customHeight="1" thickBot="1">
      <c r="A230" s="1530" t="s">
        <v>1542</v>
      </c>
      <c r="B230" s="1524" t="s">
        <v>1440</v>
      </c>
      <c r="C230" s="1524">
        <v>4540</v>
      </c>
      <c r="D230" s="1524">
        <v>4500</v>
      </c>
      <c r="E230" s="1524">
        <v>4730</v>
      </c>
      <c r="F230" s="1542"/>
    </row>
    <row r="231" spans="1:6" s="1518" customFormat="1" ht="14.25" customHeight="1" thickBot="1">
      <c r="A231" s="1530" t="s">
        <v>1542</v>
      </c>
      <c r="B231" s="1524" t="s">
        <v>1447</v>
      </c>
      <c r="C231" s="1524">
        <v>4480</v>
      </c>
      <c r="D231" s="1524">
        <v>4410</v>
      </c>
      <c r="E231" s="1524">
        <v>4640</v>
      </c>
      <c r="F231" s="1542"/>
    </row>
    <row r="232" spans="1:6" s="1518" customFormat="1" ht="14.25" customHeight="1" thickBot="1">
      <c r="A232" s="1530" t="s">
        <v>1542</v>
      </c>
      <c r="B232" s="1524" t="s">
        <v>1454</v>
      </c>
      <c r="C232" s="1524">
        <v>5670</v>
      </c>
      <c r="D232" s="1524">
        <v>5600</v>
      </c>
      <c r="E232" s="1524">
        <v>5890</v>
      </c>
      <c r="F232" s="1538">
        <v>1150</v>
      </c>
    </row>
    <row r="233" spans="1:6" s="1518" customFormat="1" ht="14.25" customHeight="1" thickBot="1">
      <c r="A233" s="1530" t="s">
        <v>1542</v>
      </c>
      <c r="B233" s="1524" t="s">
        <v>1461</v>
      </c>
      <c r="C233" s="1524">
        <v>4590</v>
      </c>
      <c r="D233" s="1524">
        <v>4500</v>
      </c>
      <c r="E233" s="1524">
        <v>4600</v>
      </c>
      <c r="F233" s="1542"/>
    </row>
    <row r="234" spans="1:6" s="1518" customFormat="1" ht="14.25" customHeight="1" thickBot="1">
      <c r="A234" s="1530" t="s">
        <v>1542</v>
      </c>
      <c r="B234" s="1524" t="s">
        <v>2495</v>
      </c>
      <c r="C234" s="1524">
        <v>3990</v>
      </c>
      <c r="D234" s="1524">
        <v>3950</v>
      </c>
      <c r="E234" s="1524">
        <v>4180</v>
      </c>
      <c r="F234" s="1542"/>
    </row>
    <row r="235" spans="1:6" s="1518" customFormat="1" ht="14.25" customHeight="1" thickBot="1">
      <c r="A235" s="1530" t="s">
        <v>1542</v>
      </c>
      <c r="B235" s="1524" t="s">
        <v>1470</v>
      </c>
      <c r="C235" s="1524">
        <v>5590</v>
      </c>
      <c r="D235" s="1524">
        <v>5540</v>
      </c>
      <c r="E235" s="1524">
        <v>5810</v>
      </c>
      <c r="F235" s="1538">
        <v>970</v>
      </c>
    </row>
    <row r="236" spans="1:6" s="1518" customFormat="1" ht="14.25" customHeight="1" thickBot="1">
      <c r="A236" s="1530" t="s">
        <v>1542</v>
      </c>
      <c r="B236" s="1524" t="s">
        <v>1475</v>
      </c>
      <c r="C236" s="1524"/>
      <c r="D236" s="1524"/>
      <c r="E236" s="1524"/>
      <c r="F236" s="1538">
        <v>1020</v>
      </c>
    </row>
    <row r="237" spans="1:6" s="1518" customFormat="1" ht="14.25" customHeight="1" thickBot="1">
      <c r="A237" s="1530" t="s">
        <v>1542</v>
      </c>
      <c r="B237" s="1524" t="s">
        <v>1480</v>
      </c>
      <c r="C237" s="1524"/>
      <c r="D237" s="1524"/>
      <c r="E237" s="1524"/>
      <c r="F237" s="1538">
        <v>960</v>
      </c>
    </row>
    <row r="238" spans="1:6" s="1518" customFormat="1" ht="14.25" customHeight="1" thickBot="1">
      <c r="A238" s="1530" t="s">
        <v>1542</v>
      </c>
      <c r="B238" s="1524" t="s">
        <v>1485</v>
      </c>
      <c r="C238" s="1524"/>
      <c r="D238" s="1524"/>
      <c r="E238" s="1524"/>
      <c r="F238" s="1538">
        <v>960</v>
      </c>
    </row>
    <row r="239" spans="1:6" s="1518" customFormat="1" ht="14.25" customHeight="1" thickBot="1">
      <c r="A239" s="1530" t="s">
        <v>1542</v>
      </c>
      <c r="B239" s="1524" t="s">
        <v>1490</v>
      </c>
      <c r="C239" s="1524"/>
      <c r="D239" s="1524"/>
      <c r="E239" s="1524"/>
      <c r="F239" s="1538">
        <v>960</v>
      </c>
    </row>
    <row r="240" spans="1:6" s="1518" customFormat="1" ht="14.25" customHeight="1" thickBot="1">
      <c r="A240" s="1530" t="s">
        <v>1542</v>
      </c>
      <c r="B240" s="1524" t="s">
        <v>1494</v>
      </c>
      <c r="C240" s="1524"/>
      <c r="D240" s="1524"/>
      <c r="E240" s="1524"/>
      <c r="F240" s="1538">
        <v>990</v>
      </c>
    </row>
    <row r="241" spans="1:6" s="1518" customFormat="1" ht="14.25" customHeight="1" thickBot="1">
      <c r="A241" s="1530" t="s">
        <v>1542</v>
      </c>
      <c r="B241" s="1524" t="s">
        <v>1498</v>
      </c>
      <c r="C241" s="1524"/>
      <c r="D241" s="1524"/>
      <c r="E241" s="1524"/>
      <c r="F241" s="1538">
        <v>1000</v>
      </c>
    </row>
    <row r="242" spans="1:6" s="1518" customFormat="1" ht="14.25" customHeight="1" thickBot="1">
      <c r="A242" s="1530" t="s">
        <v>1542</v>
      </c>
      <c r="B242" s="1524" t="s">
        <v>1502</v>
      </c>
      <c r="C242" s="1524"/>
      <c r="D242" s="1524"/>
      <c r="E242" s="1524"/>
      <c r="F242" s="1538">
        <v>980</v>
      </c>
    </row>
    <row r="243" spans="1:6" s="1518" customFormat="1" ht="14.25" customHeight="1" thickBot="1">
      <c r="A243" s="1530" t="s">
        <v>1542</v>
      </c>
      <c r="B243" s="1524" t="s">
        <v>1506</v>
      </c>
      <c r="C243" s="1524"/>
      <c r="D243" s="1524"/>
      <c r="E243" s="1524"/>
      <c r="F243" s="1538">
        <v>970</v>
      </c>
    </row>
    <row r="244" spans="1:6" s="1518" customFormat="1" ht="14.25" customHeight="1" thickBot="1">
      <c r="A244" s="1530" t="s">
        <v>1542</v>
      </c>
      <c r="B244" s="1536" t="s">
        <v>1510</v>
      </c>
      <c r="C244" s="1536"/>
      <c r="D244" s="1536"/>
      <c r="E244" s="1536"/>
      <c r="F244" s="1541">
        <v>970</v>
      </c>
    </row>
    <row r="245" spans="1:6" s="1518" customFormat="1" ht="14.25" customHeight="1" thickBot="1">
      <c r="A245" s="1530" t="s">
        <v>1544</v>
      </c>
      <c r="B245" s="1531" t="s">
        <v>1545</v>
      </c>
      <c r="C245" s="1531">
        <v>4050</v>
      </c>
      <c r="D245" s="1531">
        <v>4020</v>
      </c>
      <c r="E245" s="1531">
        <v>4160</v>
      </c>
      <c r="F245" s="1532">
        <v>840</v>
      </c>
    </row>
    <row r="246" spans="1:6" s="1518" customFormat="1" ht="14.25" customHeight="1" thickBot="1">
      <c r="A246" s="1530" t="s">
        <v>1544</v>
      </c>
      <c r="B246" s="1524" t="s">
        <v>1209</v>
      </c>
      <c r="C246" s="1524">
        <v>4010</v>
      </c>
      <c r="D246" s="1524">
        <v>3960</v>
      </c>
      <c r="E246" s="1524">
        <v>4130</v>
      </c>
      <c r="F246" s="1538">
        <v>840</v>
      </c>
    </row>
    <row r="247" spans="1:6" s="1518" customFormat="1" ht="14.25" customHeight="1" thickBot="1">
      <c r="A247" s="1530" t="s">
        <v>1544</v>
      </c>
      <c r="B247" s="1524" t="s">
        <v>1546</v>
      </c>
      <c r="C247" s="1524">
        <v>3170</v>
      </c>
      <c r="D247" s="1524">
        <v>3140</v>
      </c>
      <c r="E247" s="1524">
        <v>3270</v>
      </c>
      <c r="F247" s="1538">
        <v>640</v>
      </c>
    </row>
    <row r="248" spans="1:6" s="1518" customFormat="1" ht="14.25" customHeight="1" thickBot="1">
      <c r="A248" s="1530" t="s">
        <v>1544</v>
      </c>
      <c r="B248" s="1524" t="s">
        <v>1547</v>
      </c>
      <c r="C248" s="1524">
        <v>3140</v>
      </c>
      <c r="D248" s="1524">
        <v>3120</v>
      </c>
      <c r="E248" s="1524">
        <v>3240</v>
      </c>
      <c r="F248" s="1538">
        <v>620</v>
      </c>
    </row>
    <row r="249" spans="1:6" s="1518" customFormat="1" ht="14.25" customHeight="1" thickBot="1">
      <c r="A249" s="1530" t="s">
        <v>1544</v>
      </c>
      <c r="B249" s="1524" t="s">
        <v>1247</v>
      </c>
      <c r="C249" s="1524">
        <v>3200</v>
      </c>
      <c r="D249" s="1524">
        <v>3100</v>
      </c>
      <c r="E249" s="1524">
        <v>3230</v>
      </c>
      <c r="F249" s="1538">
        <v>750</v>
      </c>
    </row>
    <row r="250" spans="1:6" s="1518" customFormat="1" ht="14.25" customHeight="1" thickBot="1">
      <c r="A250" s="1530" t="s">
        <v>1544</v>
      </c>
      <c r="B250" s="1524" t="s">
        <v>1258</v>
      </c>
      <c r="C250" s="1524">
        <v>4060</v>
      </c>
      <c r="D250" s="1524">
        <v>4000</v>
      </c>
      <c r="E250" s="1524">
        <v>4140</v>
      </c>
      <c r="F250" s="1538">
        <v>790</v>
      </c>
    </row>
    <row r="251" spans="1:6" s="1518" customFormat="1" ht="14.25" customHeight="1" thickBot="1">
      <c r="A251" s="1530" t="s">
        <v>1544</v>
      </c>
      <c r="B251" s="1524" t="s">
        <v>1269</v>
      </c>
      <c r="C251" s="1524">
        <v>3990</v>
      </c>
      <c r="D251" s="1524">
        <v>3970</v>
      </c>
      <c r="E251" s="1524">
        <v>4110</v>
      </c>
      <c r="F251" s="1538">
        <v>730</v>
      </c>
    </row>
    <row r="252" spans="1:6" s="1518" customFormat="1" ht="14.25" customHeight="1" thickBot="1">
      <c r="A252" s="1530" t="s">
        <v>1544</v>
      </c>
      <c r="B252" s="1524" t="s">
        <v>1280</v>
      </c>
      <c r="C252" s="1524">
        <v>3560</v>
      </c>
      <c r="D252" s="1524">
        <v>3530</v>
      </c>
      <c r="E252" s="1524">
        <v>3650</v>
      </c>
      <c r="F252" s="1538">
        <v>750</v>
      </c>
    </row>
    <row r="253" spans="1:6" s="1518" customFormat="1" ht="14.25" customHeight="1" thickBot="1">
      <c r="A253" s="1530" t="s">
        <v>1544</v>
      </c>
      <c r="B253" s="1524" t="s">
        <v>1292</v>
      </c>
      <c r="C253" s="1524">
        <v>3780</v>
      </c>
      <c r="D253" s="1524">
        <v>3750</v>
      </c>
      <c r="E253" s="1524">
        <v>3870</v>
      </c>
      <c r="F253" s="1538">
        <v>770</v>
      </c>
    </row>
    <row r="254" spans="1:6" s="1518" customFormat="1" ht="14.25" customHeight="1" thickBot="1">
      <c r="A254" s="1530" t="s">
        <v>1544</v>
      </c>
      <c r="B254" s="1524" t="s">
        <v>1302</v>
      </c>
      <c r="C254" s="1543"/>
      <c r="D254" s="1543"/>
      <c r="E254" s="1543"/>
      <c r="F254" s="1538">
        <v>740</v>
      </c>
    </row>
    <row r="255" spans="1:6" s="1518" customFormat="1" ht="14.25" customHeight="1" thickBot="1">
      <c r="A255" s="1530" t="s">
        <v>1544</v>
      </c>
      <c r="B255" s="1524" t="s">
        <v>1312</v>
      </c>
      <c r="C255" s="1543"/>
      <c r="D255" s="1543"/>
      <c r="E255" s="1543"/>
      <c r="F255" s="1538">
        <v>760</v>
      </c>
    </row>
    <row r="256" spans="1:6" s="1518" customFormat="1" ht="14.25" customHeight="1" thickBot="1">
      <c r="A256" s="1530" t="s">
        <v>1544</v>
      </c>
      <c r="B256" s="1524" t="s">
        <v>1322</v>
      </c>
      <c r="C256" s="1524">
        <v>3760</v>
      </c>
      <c r="D256" s="1524">
        <v>3730</v>
      </c>
      <c r="E256" s="1524">
        <v>3870</v>
      </c>
      <c r="F256" s="1538">
        <v>830</v>
      </c>
    </row>
    <row r="257" spans="1:6" s="1518" customFormat="1" ht="14.25" customHeight="1" thickBot="1">
      <c r="A257" s="1530" t="s">
        <v>1544</v>
      </c>
      <c r="B257" s="1524" t="s">
        <v>1332</v>
      </c>
      <c r="C257" s="1524">
        <v>3570</v>
      </c>
      <c r="D257" s="1524">
        <v>3540</v>
      </c>
      <c r="E257" s="1524">
        <v>3650</v>
      </c>
      <c r="F257" s="1538">
        <v>790</v>
      </c>
    </row>
    <row r="258" spans="1:6" s="1518" customFormat="1" ht="14.25" customHeight="1" thickBot="1">
      <c r="A258" s="1530" t="s">
        <v>1544</v>
      </c>
      <c r="B258" s="1524" t="s">
        <v>1343</v>
      </c>
      <c r="C258" s="1524">
        <v>3410</v>
      </c>
      <c r="D258" s="1524">
        <v>3380</v>
      </c>
      <c r="E258" s="1524">
        <v>3500</v>
      </c>
      <c r="F258" s="1538">
        <v>830</v>
      </c>
    </row>
    <row r="259" spans="1:6" s="1518" customFormat="1" ht="14.25" customHeight="1" thickBot="1">
      <c r="A259" s="1530" t="s">
        <v>1544</v>
      </c>
      <c r="B259" s="1524" t="s">
        <v>1354</v>
      </c>
      <c r="C259" s="1524">
        <v>3870</v>
      </c>
      <c r="D259" s="1524">
        <v>3840</v>
      </c>
      <c r="E259" s="1524">
        <v>3970</v>
      </c>
      <c r="F259" s="1538">
        <v>830</v>
      </c>
    </row>
    <row r="260" spans="1:6" s="1518" customFormat="1" ht="14.25" customHeight="1" thickBot="1">
      <c r="A260" s="1530" t="s">
        <v>1544</v>
      </c>
      <c r="B260" s="1524" t="s">
        <v>1364</v>
      </c>
      <c r="C260" s="1524">
        <v>3700</v>
      </c>
      <c r="D260" s="1524">
        <v>3660</v>
      </c>
      <c r="E260" s="1524">
        <v>3810</v>
      </c>
      <c r="F260" s="1538">
        <v>790</v>
      </c>
    </row>
    <row r="261" spans="1:6" s="1518" customFormat="1" ht="14.25" customHeight="1" thickBot="1">
      <c r="A261" s="1530" t="s">
        <v>1544</v>
      </c>
      <c r="B261" s="1524" t="s">
        <v>1374</v>
      </c>
      <c r="C261" s="1524">
        <v>3470</v>
      </c>
      <c r="D261" s="1524">
        <v>3430</v>
      </c>
      <c r="E261" s="1524">
        <v>3640</v>
      </c>
      <c r="F261" s="1538">
        <v>760</v>
      </c>
    </row>
    <row r="262" spans="1:6" s="1518" customFormat="1" ht="14.25" customHeight="1" thickBot="1">
      <c r="A262" s="1530" t="s">
        <v>1544</v>
      </c>
      <c r="B262" s="1524" t="s">
        <v>1384</v>
      </c>
      <c r="C262" s="1524">
        <v>3510</v>
      </c>
      <c r="D262" s="1524">
        <v>3470</v>
      </c>
      <c r="E262" s="1524">
        <v>3680</v>
      </c>
      <c r="F262" s="1542"/>
    </row>
    <row r="263" spans="1:6" s="1518" customFormat="1" ht="14.25" customHeight="1" thickBot="1">
      <c r="A263" s="1530" t="s">
        <v>1544</v>
      </c>
      <c r="B263" s="1524" t="s">
        <v>1394</v>
      </c>
      <c r="C263" s="1524">
        <v>3960</v>
      </c>
      <c r="D263" s="1524">
        <v>3930</v>
      </c>
      <c r="E263" s="1524">
        <v>4070</v>
      </c>
      <c r="F263" s="1538">
        <v>830</v>
      </c>
    </row>
    <row r="264" spans="1:6" s="1518" customFormat="1" ht="14.25" customHeight="1" thickBot="1">
      <c r="A264" s="1530" t="s">
        <v>1544</v>
      </c>
      <c r="B264" s="1524" t="s">
        <v>1403</v>
      </c>
      <c r="C264" s="1524">
        <v>4010</v>
      </c>
      <c r="D264" s="1524">
        <v>3980</v>
      </c>
      <c r="E264" s="1524">
        <v>4150</v>
      </c>
      <c r="F264" s="1538">
        <v>760</v>
      </c>
    </row>
    <row r="265" spans="1:6" s="1518" customFormat="1" ht="14.25" customHeight="1" thickBot="1">
      <c r="A265" s="1530" t="s">
        <v>1544</v>
      </c>
      <c r="B265" s="1524" t="s">
        <v>1412</v>
      </c>
      <c r="C265" s="1524">
        <v>3910</v>
      </c>
      <c r="D265" s="1524">
        <v>3890</v>
      </c>
      <c r="E265" s="1524">
        <v>4040</v>
      </c>
      <c r="F265" s="1538">
        <v>780</v>
      </c>
    </row>
    <row r="266" spans="1:6" s="1518" customFormat="1" ht="14.25" customHeight="1" thickBot="1">
      <c r="A266" s="1530" t="s">
        <v>1544</v>
      </c>
      <c r="B266" s="1524" t="s">
        <v>1420</v>
      </c>
      <c r="C266" s="1524">
        <v>3930</v>
      </c>
      <c r="D266" s="1524">
        <v>3900</v>
      </c>
      <c r="E266" s="1524">
        <v>4080</v>
      </c>
      <c r="F266" s="1538">
        <v>770</v>
      </c>
    </row>
    <row r="267" spans="1:6" s="1518" customFormat="1" ht="14.25" customHeight="1" thickBot="1">
      <c r="A267" s="1530" t="s">
        <v>1544</v>
      </c>
      <c r="B267" s="1524" t="s">
        <v>1427</v>
      </c>
      <c r="C267" s="1524">
        <v>3800</v>
      </c>
      <c r="D267" s="1524">
        <v>3780</v>
      </c>
      <c r="E267" s="1524">
        <v>3930</v>
      </c>
      <c r="F267" s="1542"/>
    </row>
    <row r="268" spans="1:6" s="1518" customFormat="1" ht="14.25" customHeight="1" thickBot="1">
      <c r="A268" s="1530" t="s">
        <v>1544</v>
      </c>
      <c r="B268" s="1524" t="s">
        <v>1434</v>
      </c>
      <c r="C268" s="1524">
        <v>3460</v>
      </c>
      <c r="D268" s="1524">
        <v>3430</v>
      </c>
      <c r="E268" s="1524">
        <v>3560</v>
      </c>
      <c r="F268" s="1538">
        <v>840</v>
      </c>
    </row>
    <row r="269" spans="1:6" s="1518" customFormat="1" ht="14.25" customHeight="1" thickBot="1">
      <c r="A269" s="1530" t="s">
        <v>1544</v>
      </c>
      <c r="B269" s="1524" t="s">
        <v>1441</v>
      </c>
      <c r="C269" s="1524">
        <v>3210</v>
      </c>
      <c r="D269" s="1524">
        <v>3190</v>
      </c>
      <c r="E269" s="1524">
        <v>3310</v>
      </c>
      <c r="F269" s="1538">
        <v>730</v>
      </c>
    </row>
    <row r="270" spans="1:6" s="1518" customFormat="1" ht="14.25" customHeight="1" thickBot="1">
      <c r="A270" s="1530" t="s">
        <v>1544</v>
      </c>
      <c r="B270" s="1524" t="s">
        <v>1448</v>
      </c>
      <c r="C270" s="1524">
        <v>3240</v>
      </c>
      <c r="D270" s="1524">
        <v>3210</v>
      </c>
      <c r="E270" s="1524">
        <v>3390</v>
      </c>
      <c r="F270" s="1538">
        <v>820</v>
      </c>
    </row>
    <row r="271" spans="1:6" s="1518" customFormat="1" ht="14.25" customHeight="1" thickBot="1">
      <c r="A271" s="1530" t="s">
        <v>1544</v>
      </c>
      <c r="B271" s="1524" t="s">
        <v>1455</v>
      </c>
      <c r="C271" s="1524">
        <v>3300</v>
      </c>
      <c r="D271" s="1524">
        <v>3270</v>
      </c>
      <c r="E271" s="1524">
        <v>3380</v>
      </c>
      <c r="F271" s="1538">
        <v>750</v>
      </c>
    </row>
    <row r="272" spans="1:6" s="1518" customFormat="1" ht="14.25" customHeight="1" thickBot="1">
      <c r="A272" s="1530" t="s">
        <v>1544</v>
      </c>
      <c r="B272" s="1524" t="s">
        <v>1462</v>
      </c>
      <c r="C272" s="1543"/>
      <c r="D272" s="1543"/>
      <c r="E272" s="1543"/>
      <c r="F272" s="1538">
        <v>740</v>
      </c>
    </row>
    <row r="273" spans="1:6" s="1518" customFormat="1" ht="14.25" customHeight="1" thickBot="1">
      <c r="A273" s="1530" t="s">
        <v>1544</v>
      </c>
      <c r="B273" s="1524" t="s">
        <v>1466</v>
      </c>
      <c r="C273" s="1524">
        <v>3130</v>
      </c>
      <c r="D273" s="1524">
        <v>3100</v>
      </c>
      <c r="E273" s="1524">
        <v>3230</v>
      </c>
      <c r="F273" s="1538">
        <v>700</v>
      </c>
    </row>
    <row r="274" spans="1:6" s="1518" customFormat="1" ht="14.25" customHeight="1" thickBot="1">
      <c r="A274" s="1530" t="s">
        <v>1544</v>
      </c>
      <c r="B274" s="1524" t="s">
        <v>1471</v>
      </c>
      <c r="C274" s="1524">
        <v>3460</v>
      </c>
      <c r="D274" s="1524">
        <v>3430</v>
      </c>
      <c r="E274" s="1524">
        <v>3560</v>
      </c>
      <c r="F274" s="1538">
        <v>690</v>
      </c>
    </row>
    <row r="275" spans="1:6" s="1518" customFormat="1" ht="14.25" customHeight="1" thickBot="1">
      <c r="A275" s="1530" t="s">
        <v>1544</v>
      </c>
      <c r="B275" s="1524" t="s">
        <v>1476</v>
      </c>
      <c r="C275" s="1524">
        <v>4040</v>
      </c>
      <c r="D275" s="1524">
        <v>4020</v>
      </c>
      <c r="E275" s="1524">
        <v>4160</v>
      </c>
      <c r="F275" s="1538">
        <v>820</v>
      </c>
    </row>
    <row r="276" spans="1:6" s="1518" customFormat="1" ht="14.25" customHeight="1" thickBot="1">
      <c r="A276" s="1530" t="s">
        <v>1544</v>
      </c>
      <c r="B276" s="1524" t="s">
        <v>1481</v>
      </c>
      <c r="C276" s="1524">
        <v>3270</v>
      </c>
      <c r="D276" s="1524">
        <v>3240</v>
      </c>
      <c r="E276" s="1524">
        <v>3350</v>
      </c>
      <c r="F276" s="1538">
        <v>680</v>
      </c>
    </row>
    <row r="277" spans="1:6" s="1518" customFormat="1" ht="14.25" customHeight="1" thickBot="1">
      <c r="A277" s="1530" t="s">
        <v>1544</v>
      </c>
      <c r="B277" s="1524" t="s">
        <v>1486</v>
      </c>
      <c r="C277" s="1524">
        <v>2930</v>
      </c>
      <c r="D277" s="1524">
        <v>2900</v>
      </c>
      <c r="E277" s="1524">
        <v>3000</v>
      </c>
      <c r="F277" s="1538">
        <v>640</v>
      </c>
    </row>
    <row r="278" spans="1:6" s="1518" customFormat="1" ht="14.25" customHeight="1" thickBot="1">
      <c r="A278" s="1530" t="s">
        <v>1544</v>
      </c>
      <c r="B278" s="1524" t="s">
        <v>1491</v>
      </c>
      <c r="C278" s="1524">
        <v>4080</v>
      </c>
      <c r="D278" s="1524">
        <v>4030</v>
      </c>
      <c r="E278" s="1524">
        <v>4140</v>
      </c>
      <c r="F278" s="1538">
        <v>850</v>
      </c>
    </row>
    <row r="279" spans="1:6" s="1518" customFormat="1" ht="14.25" customHeight="1" thickBot="1">
      <c r="A279" s="1530" t="s">
        <v>1544</v>
      </c>
      <c r="B279" s="1524" t="s">
        <v>1495</v>
      </c>
      <c r="C279" s="1524"/>
      <c r="D279" s="1524"/>
      <c r="E279" s="1524"/>
      <c r="F279" s="1538">
        <v>760</v>
      </c>
    </row>
    <row r="280" spans="1:6" s="1518" customFormat="1" ht="14.25" customHeight="1" thickBot="1">
      <c r="A280" s="1530" t="s">
        <v>1544</v>
      </c>
      <c r="B280" s="1524" t="s">
        <v>1499</v>
      </c>
      <c r="C280" s="1524"/>
      <c r="D280" s="1524"/>
      <c r="E280" s="1524"/>
      <c r="F280" s="1538">
        <v>760</v>
      </c>
    </row>
    <row r="281" spans="1:6" s="1518" customFormat="1" ht="14.25" customHeight="1" thickBot="1">
      <c r="A281" s="1530" t="s">
        <v>1544</v>
      </c>
      <c r="B281" s="1524" t="s">
        <v>1503</v>
      </c>
      <c r="C281" s="1524"/>
      <c r="D281" s="1524"/>
      <c r="E281" s="1524"/>
      <c r="F281" s="1538">
        <v>780</v>
      </c>
    </row>
    <row r="282" spans="1:6" s="1518" customFormat="1" ht="14.25" customHeight="1" thickBot="1">
      <c r="A282" s="1530" t="s">
        <v>1544</v>
      </c>
      <c r="B282" s="1524" t="s">
        <v>1507</v>
      </c>
      <c r="C282" s="1524"/>
      <c r="D282" s="1524"/>
      <c r="E282" s="1524"/>
      <c r="F282" s="1538">
        <v>730</v>
      </c>
    </row>
    <row r="283" spans="1:6" s="1518" customFormat="1" ht="14.25" customHeight="1" thickBot="1">
      <c r="A283" s="1530" t="s">
        <v>1544</v>
      </c>
      <c r="B283" s="1524" t="s">
        <v>1511</v>
      </c>
      <c r="C283" s="1524"/>
      <c r="D283" s="1524"/>
      <c r="E283" s="1524"/>
      <c r="F283" s="1538">
        <v>770</v>
      </c>
    </row>
    <row r="284" spans="1:6" s="1518" customFormat="1" ht="14.25" customHeight="1" thickBot="1">
      <c r="A284" s="1530" t="s">
        <v>1544</v>
      </c>
      <c r="B284" s="1524" t="s">
        <v>1514</v>
      </c>
      <c r="C284" s="1524"/>
      <c r="D284" s="1524"/>
      <c r="E284" s="1524"/>
      <c r="F284" s="1538">
        <v>640</v>
      </c>
    </row>
    <row r="285" spans="1:6" s="1518" customFormat="1" ht="14.25" customHeight="1" thickBot="1">
      <c r="A285" s="1530" t="s">
        <v>1544</v>
      </c>
      <c r="B285" s="1524" t="s">
        <v>1517</v>
      </c>
      <c r="C285" s="1524"/>
      <c r="D285" s="1524"/>
      <c r="E285" s="1524"/>
      <c r="F285" s="1538">
        <v>640</v>
      </c>
    </row>
    <row r="286" spans="1:6" s="1518" customFormat="1" ht="14.25" customHeight="1" thickBot="1">
      <c r="A286" s="1530" t="s">
        <v>1544</v>
      </c>
      <c r="B286" s="1524" t="s">
        <v>1520</v>
      </c>
      <c r="C286" s="1524"/>
      <c r="D286" s="1524"/>
      <c r="E286" s="1524"/>
      <c r="F286" s="1538">
        <v>850</v>
      </c>
    </row>
    <row r="287" spans="1:6" s="1518" customFormat="1" ht="14.25" customHeight="1" thickBot="1">
      <c r="A287" s="1530" t="s">
        <v>1544</v>
      </c>
      <c r="B287" s="1524" t="s">
        <v>1523</v>
      </c>
      <c r="C287" s="1524"/>
      <c r="D287" s="1524"/>
      <c r="E287" s="1524"/>
      <c r="F287" s="1538">
        <v>760</v>
      </c>
    </row>
    <row r="288" spans="1:6" s="1518" customFormat="1" ht="14.25" customHeight="1" thickBot="1">
      <c r="A288" s="1530" t="s">
        <v>1544</v>
      </c>
      <c r="B288" s="1524" t="s">
        <v>1526</v>
      </c>
      <c r="C288" s="1524"/>
      <c r="D288" s="1524"/>
      <c r="E288" s="1524"/>
      <c r="F288" s="1538">
        <v>830</v>
      </c>
    </row>
    <row r="289" spans="1:6" s="1518" customFormat="1" ht="14.25" customHeight="1" thickBot="1">
      <c r="A289" s="1530" t="s">
        <v>1544</v>
      </c>
      <c r="B289" s="1536" t="s">
        <v>1529</v>
      </c>
      <c r="C289" s="1536"/>
      <c r="D289" s="1536"/>
      <c r="E289" s="1536"/>
      <c r="F289" s="1541">
        <v>680</v>
      </c>
    </row>
    <row r="290" spans="1:6" s="1518" customFormat="1" ht="14.25" customHeight="1" thickBot="1">
      <c r="A290" s="1530" t="s">
        <v>1548</v>
      </c>
      <c r="B290" s="1531" t="s">
        <v>1549</v>
      </c>
      <c r="C290" s="1531">
        <v>2770</v>
      </c>
      <c r="D290" s="1531">
        <v>2740</v>
      </c>
      <c r="E290" s="1531">
        <v>2720</v>
      </c>
      <c r="F290" s="1544"/>
    </row>
    <row r="291" spans="1:6" s="1518" customFormat="1" ht="14.25" customHeight="1" thickBot="1">
      <c r="A291" s="1530" t="s">
        <v>1548</v>
      </c>
      <c r="B291" s="1524" t="s">
        <v>1210</v>
      </c>
      <c r="C291" s="1524">
        <v>2670</v>
      </c>
      <c r="D291" s="1524">
        <v>2640</v>
      </c>
      <c r="E291" s="1524">
        <v>2620</v>
      </c>
      <c r="F291" s="1542"/>
    </row>
    <row r="292" spans="1:6" s="1518" customFormat="1" ht="14.25" customHeight="1" thickBot="1">
      <c r="A292" s="1530" t="s">
        <v>1548</v>
      </c>
      <c r="B292" s="1524" t="s">
        <v>1550</v>
      </c>
      <c r="C292" s="1524">
        <v>2180</v>
      </c>
      <c r="D292" s="1524">
        <v>2140</v>
      </c>
      <c r="E292" s="1524">
        <v>2120</v>
      </c>
      <c r="F292" s="1538">
        <v>490</v>
      </c>
    </row>
    <row r="293" spans="1:6" s="1518" customFormat="1" ht="14.25" customHeight="1" thickBot="1">
      <c r="A293" s="1530" t="s">
        <v>1548</v>
      </c>
      <c r="B293" s="1524" t="s">
        <v>1551</v>
      </c>
      <c r="C293" s="1524"/>
      <c r="D293" s="1524"/>
      <c r="E293" s="1524"/>
      <c r="F293" s="1538">
        <v>470</v>
      </c>
    </row>
    <row r="294" spans="1:6" s="1518" customFormat="1" ht="14.25" customHeight="1" thickBot="1">
      <c r="A294" s="1530" t="s">
        <v>1548</v>
      </c>
      <c r="B294" s="1524" t="s">
        <v>1552</v>
      </c>
      <c r="C294" s="1524">
        <v>2730</v>
      </c>
      <c r="D294" s="1524">
        <v>2700</v>
      </c>
      <c r="E294" s="1524">
        <v>2680</v>
      </c>
      <c r="F294" s="1538">
        <v>490</v>
      </c>
    </row>
    <row r="295" spans="1:6" s="1518" customFormat="1" ht="14.25" customHeight="1" thickBot="1">
      <c r="A295" s="1530" t="s">
        <v>1548</v>
      </c>
      <c r="B295" s="1524" t="s">
        <v>1248</v>
      </c>
      <c r="C295" s="1524">
        <v>2380</v>
      </c>
      <c r="D295" s="1524">
        <v>2350</v>
      </c>
      <c r="E295" s="1524">
        <v>2330</v>
      </c>
      <c r="F295" s="1538">
        <v>530</v>
      </c>
    </row>
    <row r="296" spans="1:6" s="1518" customFormat="1" ht="14.25" customHeight="1" thickBot="1">
      <c r="A296" s="1530" t="s">
        <v>1548</v>
      </c>
      <c r="B296" s="1524" t="s">
        <v>1259</v>
      </c>
      <c r="C296" s="1524">
        <v>2650</v>
      </c>
      <c r="D296" s="1524">
        <v>2620</v>
      </c>
      <c r="E296" s="1524">
        <v>2590</v>
      </c>
      <c r="F296" s="1538">
        <v>590</v>
      </c>
    </row>
    <row r="297" spans="1:6" s="1518" customFormat="1" ht="14.25" customHeight="1" thickBot="1">
      <c r="A297" s="1530" t="s">
        <v>1548</v>
      </c>
      <c r="B297" s="1524" t="s">
        <v>1270</v>
      </c>
      <c r="C297" s="1524">
        <v>2700</v>
      </c>
      <c r="D297" s="1524">
        <v>2670</v>
      </c>
      <c r="E297" s="1524">
        <v>2650</v>
      </c>
      <c r="F297" s="1538">
        <v>630</v>
      </c>
    </row>
    <row r="298" spans="1:6" s="1518" customFormat="1" ht="14.25" customHeight="1" thickBot="1">
      <c r="A298" s="1530" t="s">
        <v>1548</v>
      </c>
      <c r="B298" s="1524" t="s">
        <v>1281</v>
      </c>
      <c r="C298" s="1524">
        <v>2650</v>
      </c>
      <c r="D298" s="1524">
        <v>2620</v>
      </c>
      <c r="E298" s="1524">
        <v>2590</v>
      </c>
      <c r="F298" s="1538">
        <v>640</v>
      </c>
    </row>
    <row r="299" spans="1:6" s="1518" customFormat="1" ht="14.25" customHeight="1" thickBot="1">
      <c r="A299" s="1530" t="s">
        <v>1548</v>
      </c>
      <c r="B299" s="1524" t="s">
        <v>1293</v>
      </c>
      <c r="C299" s="1524">
        <v>2500</v>
      </c>
      <c r="D299" s="1524">
        <v>2480</v>
      </c>
      <c r="E299" s="1524">
        <v>2460</v>
      </c>
      <c r="F299" s="1542"/>
    </row>
    <row r="300" spans="1:6" s="1518" customFormat="1" ht="14.25" customHeight="1" thickBot="1">
      <c r="A300" s="1530" t="s">
        <v>1548</v>
      </c>
      <c r="B300" s="1524" t="s">
        <v>1303</v>
      </c>
      <c r="C300" s="1524">
        <v>2760</v>
      </c>
      <c r="D300" s="1524">
        <v>2730</v>
      </c>
      <c r="E300" s="1524">
        <v>2700</v>
      </c>
      <c r="F300" s="1538">
        <v>630</v>
      </c>
    </row>
    <row r="301" spans="1:6" s="1518" customFormat="1" ht="14.25" customHeight="1" thickBot="1">
      <c r="A301" s="1530" t="s">
        <v>1548</v>
      </c>
      <c r="B301" s="1524" t="s">
        <v>1313</v>
      </c>
      <c r="C301" s="1524">
        <v>2510</v>
      </c>
      <c r="D301" s="1524">
        <v>2480</v>
      </c>
      <c r="E301" s="1524">
        <v>2460</v>
      </c>
      <c r="F301" s="1542"/>
    </row>
    <row r="302" spans="1:6" s="1518" customFormat="1" ht="14.25" customHeight="1" thickBot="1">
      <c r="A302" s="1530" t="s">
        <v>1548</v>
      </c>
      <c r="B302" s="1524" t="s">
        <v>1323</v>
      </c>
      <c r="C302" s="1524">
        <v>2480</v>
      </c>
      <c r="D302" s="1524">
        <v>2450</v>
      </c>
      <c r="E302" s="1524">
        <v>2420</v>
      </c>
      <c r="F302" s="1538">
        <v>600</v>
      </c>
    </row>
    <row r="303" spans="1:6" s="1518" customFormat="1" ht="14.25" customHeight="1" thickBot="1">
      <c r="A303" s="1530" t="s">
        <v>1548</v>
      </c>
      <c r="B303" s="1524" t="s">
        <v>1333</v>
      </c>
      <c r="C303" s="1524">
        <v>2270</v>
      </c>
      <c r="D303" s="1524">
        <v>2240</v>
      </c>
      <c r="E303" s="1524">
        <v>2210</v>
      </c>
      <c r="F303" s="1538">
        <v>540</v>
      </c>
    </row>
    <row r="304" spans="1:6" s="1518" customFormat="1" ht="14.25" customHeight="1" thickBot="1">
      <c r="A304" s="1530" t="s">
        <v>1548</v>
      </c>
      <c r="B304" s="1524" t="s">
        <v>1344</v>
      </c>
      <c r="C304" s="1524">
        <v>2310</v>
      </c>
      <c r="D304" s="1524">
        <v>2290</v>
      </c>
      <c r="E304" s="1524">
        <v>2270</v>
      </c>
      <c r="F304" s="1542"/>
    </row>
    <row r="305" spans="1:6" s="1518" customFormat="1" ht="14.25" customHeight="1" thickBot="1">
      <c r="A305" s="1530" t="s">
        <v>1548</v>
      </c>
      <c r="B305" s="1524" t="s">
        <v>1355</v>
      </c>
      <c r="C305" s="1524">
        <v>2490</v>
      </c>
      <c r="D305" s="1524">
        <v>2470</v>
      </c>
      <c r="E305" s="1524">
        <v>2440</v>
      </c>
      <c r="F305" s="1538">
        <v>560</v>
      </c>
    </row>
    <row r="306" spans="1:6" s="1518" customFormat="1" ht="14.25" customHeight="1" thickBot="1">
      <c r="A306" s="1530" t="s">
        <v>1548</v>
      </c>
      <c r="B306" s="1524" t="s">
        <v>1365</v>
      </c>
      <c r="C306" s="1524">
        <v>2420</v>
      </c>
      <c r="D306" s="1524">
        <v>2400</v>
      </c>
      <c r="E306" s="1524">
        <v>2380</v>
      </c>
      <c r="F306" s="1542"/>
    </row>
    <row r="307" spans="1:6" s="1518" customFormat="1" ht="14.25" customHeight="1" thickBot="1">
      <c r="A307" s="1530" t="s">
        <v>1548</v>
      </c>
      <c r="B307" s="1524" t="s">
        <v>1375</v>
      </c>
      <c r="C307" s="1524">
        <v>2770</v>
      </c>
      <c r="D307" s="1524">
        <v>2740</v>
      </c>
      <c r="E307" s="1524">
        <v>2710</v>
      </c>
      <c r="F307" s="1538">
        <v>650</v>
      </c>
    </row>
    <row r="308" spans="1:6" s="1518" customFormat="1" ht="14.25" customHeight="1" thickBot="1">
      <c r="A308" s="1530" t="s">
        <v>1548</v>
      </c>
      <c r="B308" s="1524" t="s">
        <v>1385</v>
      </c>
      <c r="C308" s="1524">
        <v>2610</v>
      </c>
      <c r="D308" s="1524">
        <v>2580</v>
      </c>
      <c r="E308" s="1524">
        <v>2550</v>
      </c>
      <c r="F308" s="1538">
        <v>580</v>
      </c>
    </row>
    <row r="309" spans="1:6" s="1518" customFormat="1" ht="14.25" customHeight="1" thickBot="1">
      <c r="A309" s="1530" t="s">
        <v>1548</v>
      </c>
      <c r="B309" s="1524" t="s">
        <v>1395</v>
      </c>
      <c r="C309" s="1524">
        <v>2690</v>
      </c>
      <c r="D309" s="1524">
        <v>2670</v>
      </c>
      <c r="E309" s="1524">
        <v>2650</v>
      </c>
      <c r="F309" s="1542"/>
    </row>
    <row r="310" spans="1:6" s="1518" customFormat="1" ht="14.25" customHeight="1" thickBot="1">
      <c r="A310" s="1530" t="s">
        <v>1548</v>
      </c>
      <c r="B310" s="1524" t="s">
        <v>1404</v>
      </c>
      <c r="C310" s="1524">
        <v>2360</v>
      </c>
      <c r="D310" s="1524">
        <v>2330</v>
      </c>
      <c r="E310" s="1524">
        <v>2310</v>
      </c>
      <c r="F310" s="1538">
        <v>560</v>
      </c>
    </row>
    <row r="311" spans="1:6" s="1518" customFormat="1" ht="14.25" customHeight="1" thickBot="1">
      <c r="A311" s="1530" t="s">
        <v>1548</v>
      </c>
      <c r="B311" s="1524" t="s">
        <v>1413</v>
      </c>
      <c r="C311" s="1524">
        <v>1970</v>
      </c>
      <c r="D311" s="1524">
        <v>1950</v>
      </c>
      <c r="E311" s="1524">
        <v>1920</v>
      </c>
      <c r="F311" s="1538">
        <v>470</v>
      </c>
    </row>
    <row r="312" spans="1:6" s="1518" customFormat="1" ht="14.25" customHeight="1" thickBot="1">
      <c r="A312" s="1530" t="s">
        <v>1548</v>
      </c>
      <c r="B312" s="1524" t="s">
        <v>1421</v>
      </c>
      <c r="C312" s="1524">
        <v>2230</v>
      </c>
      <c r="D312" s="1524">
        <v>2200</v>
      </c>
      <c r="E312" s="1524">
        <v>2170</v>
      </c>
      <c r="F312" s="1538">
        <v>460</v>
      </c>
    </row>
    <row r="313" spans="1:6" s="1518" customFormat="1" ht="14.25" customHeight="1" thickBot="1">
      <c r="A313" s="1530" t="s">
        <v>1548</v>
      </c>
      <c r="B313" s="1524" t="s">
        <v>1428</v>
      </c>
      <c r="C313" s="1524">
        <v>2770</v>
      </c>
      <c r="D313" s="1524">
        <v>2740</v>
      </c>
      <c r="E313" s="1524">
        <v>2710</v>
      </c>
      <c r="F313" s="1538">
        <v>610</v>
      </c>
    </row>
    <row r="314" spans="1:6" s="1518" customFormat="1" ht="14.25" customHeight="1" thickBot="1">
      <c r="A314" s="1530" t="s">
        <v>1548</v>
      </c>
      <c r="B314" s="1524" t="s">
        <v>1435</v>
      </c>
      <c r="C314" s="1524"/>
      <c r="D314" s="1524"/>
      <c r="E314" s="1524"/>
      <c r="F314" s="1538">
        <v>490</v>
      </c>
    </row>
    <row r="315" spans="1:6" s="1518" customFormat="1" ht="14.25" customHeight="1" thickBot="1">
      <c r="A315" s="1530" t="s">
        <v>1548</v>
      </c>
      <c r="B315" s="1524" t="s">
        <v>1442</v>
      </c>
      <c r="C315" s="1524"/>
      <c r="D315" s="1524"/>
      <c r="E315" s="1524"/>
      <c r="F315" s="1538">
        <v>520</v>
      </c>
    </row>
    <row r="316" spans="1:6" s="1518" customFormat="1" ht="14.25" customHeight="1" thickBot="1">
      <c r="A316" s="1530" t="s">
        <v>1548</v>
      </c>
      <c r="B316" s="1536" t="s">
        <v>1449</v>
      </c>
      <c r="C316" s="1536"/>
      <c r="D316" s="1536"/>
      <c r="E316" s="1536"/>
      <c r="F316" s="1541">
        <v>460</v>
      </c>
    </row>
    <row r="317" spans="1:6" s="1518" customFormat="1" ht="14.25" customHeight="1" thickBot="1">
      <c r="A317" s="1530" t="s">
        <v>1335</v>
      </c>
      <c r="B317" s="1531" t="s">
        <v>1553</v>
      </c>
      <c r="C317" s="1531">
        <v>1200</v>
      </c>
      <c r="D317" s="1531">
        <v>1180</v>
      </c>
      <c r="E317" s="1531">
        <v>1160</v>
      </c>
      <c r="F317" s="1532">
        <v>370</v>
      </c>
    </row>
    <row r="318" spans="1:6" s="1518" customFormat="1" ht="14.25" customHeight="1" thickBot="1">
      <c r="A318" s="1530" t="s">
        <v>1335</v>
      </c>
      <c r="B318" s="1524" t="s">
        <v>1554</v>
      </c>
      <c r="C318" s="1524">
        <v>1090</v>
      </c>
      <c r="D318" s="1524">
        <v>1060</v>
      </c>
      <c r="E318" s="1524">
        <v>1040</v>
      </c>
      <c r="F318" s="1542"/>
    </row>
    <row r="319" spans="1:6" s="1518" customFormat="1" ht="14.25" customHeight="1" thickBot="1">
      <c r="A319" s="1530" t="s">
        <v>1335</v>
      </c>
      <c r="B319" s="1524" t="s">
        <v>1555</v>
      </c>
      <c r="C319" s="1524">
        <v>1520</v>
      </c>
      <c r="D319" s="1524">
        <v>1470</v>
      </c>
      <c r="E319" s="1524">
        <v>1440</v>
      </c>
      <c r="F319" s="1538">
        <v>370</v>
      </c>
    </row>
    <row r="320" spans="1:6" s="1518" customFormat="1" ht="14.25" customHeight="1" thickBot="1">
      <c r="A320" s="1530" t="s">
        <v>1335</v>
      </c>
      <c r="B320" s="1524" t="s">
        <v>1237</v>
      </c>
      <c r="C320" s="1524">
        <v>1360</v>
      </c>
      <c r="D320" s="1524">
        <v>1300</v>
      </c>
      <c r="E320" s="1524">
        <v>1270</v>
      </c>
      <c r="F320" s="1542"/>
    </row>
    <row r="321" spans="1:6" s="1518" customFormat="1" ht="14.25" customHeight="1" thickBot="1">
      <c r="A321" s="1530" t="s">
        <v>1335</v>
      </c>
      <c r="B321" s="1524" t="s">
        <v>1249</v>
      </c>
      <c r="C321" s="1524">
        <v>1750</v>
      </c>
      <c r="D321" s="1524">
        <v>1690</v>
      </c>
      <c r="E321" s="1524">
        <v>1660</v>
      </c>
      <c r="F321" s="1542"/>
    </row>
    <row r="322" spans="1:6" s="1518" customFormat="1" ht="14.25" customHeight="1" thickBot="1">
      <c r="A322" s="1530" t="s">
        <v>1335</v>
      </c>
      <c r="B322" s="1524" t="s">
        <v>1260</v>
      </c>
      <c r="C322" s="1524">
        <v>1650</v>
      </c>
      <c r="D322" s="1524">
        <v>1610</v>
      </c>
      <c r="E322" s="1524">
        <v>1580</v>
      </c>
      <c r="F322" s="1538">
        <v>500</v>
      </c>
    </row>
    <row r="323" spans="1:6" s="1518" customFormat="1" ht="14.25" customHeight="1" thickBot="1">
      <c r="A323" s="1530" t="s">
        <v>1335</v>
      </c>
      <c r="B323" s="1524" t="s">
        <v>1271</v>
      </c>
      <c r="C323" s="1524">
        <v>1780</v>
      </c>
      <c r="D323" s="1524">
        <v>1740</v>
      </c>
      <c r="E323" s="1524">
        <v>1720</v>
      </c>
      <c r="F323" s="1542"/>
    </row>
    <row r="324" spans="1:6" s="1518" customFormat="1" ht="14.25" customHeight="1" thickBot="1">
      <c r="A324" s="1530" t="s">
        <v>1335</v>
      </c>
      <c r="B324" s="1524" t="s">
        <v>1282</v>
      </c>
      <c r="C324" s="1524">
        <v>1650</v>
      </c>
      <c r="D324" s="1524">
        <v>1610</v>
      </c>
      <c r="E324" s="1524">
        <v>1580</v>
      </c>
      <c r="F324" s="1542"/>
    </row>
    <row r="325" spans="1:6" s="1518" customFormat="1" ht="14.25" customHeight="1" thickBot="1">
      <c r="A325" s="1530" t="s">
        <v>1335</v>
      </c>
      <c r="B325" s="1524" t="s">
        <v>1294</v>
      </c>
      <c r="C325" s="1524">
        <v>1330</v>
      </c>
      <c r="D325" s="1524">
        <v>1270</v>
      </c>
      <c r="E325" s="1524">
        <v>1240</v>
      </c>
      <c r="F325" s="1538">
        <v>430</v>
      </c>
    </row>
    <row r="326" spans="1:6" s="1518" customFormat="1" ht="14.25" customHeight="1" thickBot="1">
      <c r="A326" s="1530" t="s">
        <v>1335</v>
      </c>
      <c r="B326" s="1524" t="s">
        <v>1304</v>
      </c>
      <c r="C326" s="1524">
        <v>1470</v>
      </c>
      <c r="D326" s="1524">
        <v>1430</v>
      </c>
      <c r="E326" s="1524">
        <v>1400</v>
      </c>
      <c r="F326" s="1542"/>
    </row>
    <row r="327" spans="1:6" s="1518" customFormat="1" ht="14.25" customHeight="1" thickBot="1">
      <c r="A327" s="1530" t="s">
        <v>1335</v>
      </c>
      <c r="B327" s="1524" t="s">
        <v>1314</v>
      </c>
      <c r="C327" s="1524">
        <v>1420</v>
      </c>
      <c r="D327" s="1524">
        <v>1380</v>
      </c>
      <c r="E327" s="1524">
        <v>1360</v>
      </c>
      <c r="F327" s="1538">
        <v>420</v>
      </c>
    </row>
    <row r="328" spans="1:6" s="1518" customFormat="1" ht="14.25" customHeight="1" thickBot="1">
      <c r="A328" s="1530" t="s">
        <v>1335</v>
      </c>
      <c r="B328" s="1524" t="s">
        <v>1324</v>
      </c>
      <c r="C328" s="1524">
        <v>1400</v>
      </c>
      <c r="D328" s="1524">
        <v>1360</v>
      </c>
      <c r="E328" s="1524">
        <v>1330</v>
      </c>
      <c r="F328" s="1538">
        <v>460</v>
      </c>
    </row>
    <row r="329" spans="1:6" s="1518" customFormat="1" ht="14.25" customHeight="1" thickBot="1">
      <c r="A329" s="1530" t="s">
        <v>1335</v>
      </c>
      <c r="B329" s="1524" t="s">
        <v>1334</v>
      </c>
      <c r="C329" s="1524">
        <v>1640</v>
      </c>
      <c r="D329" s="1524">
        <v>1610</v>
      </c>
      <c r="E329" s="1524">
        <v>1580</v>
      </c>
      <c r="F329" s="1538">
        <v>410</v>
      </c>
    </row>
    <row r="330" spans="1:6" s="1518" customFormat="1" ht="14.25" customHeight="1" thickBot="1">
      <c r="A330" s="1530" t="s">
        <v>1335</v>
      </c>
      <c r="B330" s="1524" t="s">
        <v>1345</v>
      </c>
      <c r="C330" s="1524">
        <v>1260</v>
      </c>
      <c r="D330" s="1524">
        <v>1220</v>
      </c>
      <c r="E330" s="1524">
        <v>1200</v>
      </c>
      <c r="F330" s="1542"/>
    </row>
    <row r="331" spans="1:6" s="1518" customFormat="1" ht="14.25" customHeight="1" thickBot="1">
      <c r="A331" s="1530" t="s">
        <v>1335</v>
      </c>
      <c r="B331" s="1524" t="s">
        <v>1356</v>
      </c>
      <c r="C331" s="1524">
        <v>1620</v>
      </c>
      <c r="D331" s="1524">
        <v>1560</v>
      </c>
      <c r="E331" s="1524">
        <v>1530</v>
      </c>
      <c r="F331" s="1538">
        <v>490</v>
      </c>
    </row>
    <row r="332" spans="1:6" s="1518" customFormat="1" ht="14.25" customHeight="1" thickBot="1">
      <c r="A332" s="1530" t="s">
        <v>1335</v>
      </c>
      <c r="B332" s="1524" t="s">
        <v>1366</v>
      </c>
      <c r="C332" s="1524">
        <v>1520</v>
      </c>
      <c r="D332" s="1524">
        <v>1470</v>
      </c>
      <c r="E332" s="1524">
        <v>1440</v>
      </c>
      <c r="F332" s="1538">
        <v>440</v>
      </c>
    </row>
    <row r="333" spans="1:6" s="1518" customFormat="1" ht="14.25" customHeight="1" thickBot="1">
      <c r="A333" s="1530" t="s">
        <v>1335</v>
      </c>
      <c r="B333" s="1524" t="s">
        <v>1376</v>
      </c>
      <c r="C333" s="1524">
        <v>1370</v>
      </c>
      <c r="D333" s="1524">
        <v>1320</v>
      </c>
      <c r="E333" s="1524">
        <v>1300</v>
      </c>
      <c r="F333" s="1538">
        <v>460</v>
      </c>
    </row>
    <row r="334" spans="1:6" s="1518" customFormat="1" ht="14.25" customHeight="1" thickBot="1">
      <c r="A334" s="1530" t="s">
        <v>1335</v>
      </c>
      <c r="B334" s="1524" t="s">
        <v>1386</v>
      </c>
      <c r="C334" s="1524">
        <v>1410</v>
      </c>
      <c r="D334" s="1524">
        <v>1340</v>
      </c>
      <c r="E334" s="1524">
        <v>1310</v>
      </c>
      <c r="F334" s="1538">
        <v>410</v>
      </c>
    </row>
    <row r="335" spans="1:6" s="1518" customFormat="1" ht="14.25" customHeight="1" thickBot="1">
      <c r="A335" s="1530" t="s">
        <v>1335</v>
      </c>
      <c r="B335" s="1524" t="s">
        <v>1396</v>
      </c>
      <c r="C335" s="1524">
        <v>1260</v>
      </c>
      <c r="D335" s="1524">
        <v>1220</v>
      </c>
      <c r="E335" s="1524">
        <v>1200</v>
      </c>
      <c r="F335" s="1542"/>
    </row>
    <row r="336" spans="1:6" s="1518" customFormat="1" ht="14.25" customHeight="1" thickBot="1">
      <c r="A336" s="1530" t="s">
        <v>1335</v>
      </c>
      <c r="B336" s="1524" t="s">
        <v>1405</v>
      </c>
      <c r="C336" s="1524">
        <v>1160</v>
      </c>
      <c r="D336" s="1524">
        <v>1140</v>
      </c>
      <c r="E336" s="1524">
        <v>1120</v>
      </c>
      <c r="F336" s="1538">
        <v>430</v>
      </c>
    </row>
    <row r="337" spans="1:6" s="1518" customFormat="1" ht="14.25" customHeight="1" thickBot="1">
      <c r="A337" s="1530" t="s">
        <v>1335</v>
      </c>
      <c r="B337" s="1536" t="s">
        <v>1414</v>
      </c>
      <c r="C337" s="1536"/>
      <c r="D337" s="1536"/>
      <c r="E337" s="1536"/>
      <c r="F337" s="1541">
        <v>380</v>
      </c>
    </row>
    <row r="338" spans="1:6" s="1518" customFormat="1" ht="14.25" customHeight="1" thickBot="1">
      <c r="A338" s="1530" t="s">
        <v>1346</v>
      </c>
      <c r="B338" s="1531" t="s">
        <v>1556</v>
      </c>
      <c r="C338" s="1531">
        <v>880</v>
      </c>
      <c r="D338" s="1531">
        <v>850</v>
      </c>
      <c r="E338" s="1531">
        <v>830</v>
      </c>
      <c r="F338" s="1544"/>
    </row>
    <row r="339" spans="1:6" s="1518" customFormat="1" ht="14.25" customHeight="1" thickBot="1">
      <c r="A339" s="1530" t="s">
        <v>1346</v>
      </c>
      <c r="B339" s="1524" t="s">
        <v>1557</v>
      </c>
      <c r="C339" s="1524">
        <v>830</v>
      </c>
      <c r="D339" s="1524">
        <v>800</v>
      </c>
      <c r="E339" s="1524">
        <v>780</v>
      </c>
      <c r="F339" s="1542"/>
    </row>
    <row r="340" spans="1:6" s="1518" customFormat="1" ht="14.25" customHeight="1" thickBot="1">
      <c r="A340" s="1530" t="s">
        <v>1346</v>
      </c>
      <c r="B340" s="1524" t="s">
        <v>1558</v>
      </c>
      <c r="C340" s="1524">
        <v>980</v>
      </c>
      <c r="D340" s="1524">
        <v>950</v>
      </c>
      <c r="E340" s="1524">
        <v>920</v>
      </c>
      <c r="F340" s="1542"/>
    </row>
    <row r="341" spans="1:6" s="1518" customFormat="1" ht="14.25" customHeight="1" thickBot="1">
      <c r="A341" s="1530" t="s">
        <v>1346</v>
      </c>
      <c r="B341" s="1524" t="s">
        <v>1559</v>
      </c>
      <c r="C341" s="1524">
        <v>760</v>
      </c>
      <c r="D341" s="1524">
        <v>720</v>
      </c>
      <c r="E341" s="1524">
        <v>690</v>
      </c>
      <c r="F341" s="1538">
        <v>350</v>
      </c>
    </row>
    <row r="342" spans="1:6" s="1518" customFormat="1" ht="14.25" customHeight="1" thickBot="1">
      <c r="A342" s="1530" t="s">
        <v>1346</v>
      </c>
      <c r="B342" s="1524" t="s">
        <v>1250</v>
      </c>
      <c r="C342" s="1524">
        <v>910</v>
      </c>
      <c r="D342" s="1524">
        <v>870</v>
      </c>
      <c r="E342" s="1524">
        <v>850</v>
      </c>
      <c r="F342" s="1538">
        <v>370</v>
      </c>
    </row>
    <row r="343" spans="1:6" s="1518" customFormat="1" ht="14.25" customHeight="1" thickBot="1">
      <c r="A343" s="1530" t="s">
        <v>1346</v>
      </c>
      <c r="B343" s="1524" t="s">
        <v>1261</v>
      </c>
      <c r="C343" s="1524">
        <v>800</v>
      </c>
      <c r="D343" s="1524">
        <v>760</v>
      </c>
      <c r="E343" s="1524">
        <v>730</v>
      </c>
      <c r="F343" s="1538">
        <v>340</v>
      </c>
    </row>
    <row r="344" spans="1:6" s="1518" customFormat="1" ht="14.25" customHeight="1" thickBot="1">
      <c r="A344" s="1530" t="s">
        <v>1346</v>
      </c>
      <c r="B344" s="1536" t="s">
        <v>1272</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801" t="s">
        <v>2132</v>
      </c>
      <c r="B1" s="3801"/>
    </row>
    <row r="2" spans="1:6" ht="14.25" thickBot="1">
      <c r="A2" s="2112"/>
      <c r="B2" s="2112"/>
    </row>
    <row r="3" spans="1:6" ht="14.25" thickBot="1">
      <c r="A3" s="2112"/>
      <c r="B3" s="2112"/>
      <c r="C3" s="2116" t="s">
        <v>2135</v>
      </c>
      <c r="D3" s="2116" t="s">
        <v>2136</v>
      </c>
      <c r="E3" s="2116" t="s">
        <v>2137</v>
      </c>
      <c r="F3" s="2116" t="s">
        <v>2138</v>
      </c>
    </row>
    <row r="4" spans="1:6" ht="14.25" thickBot="1">
      <c r="A4" s="2114" t="s">
        <v>2133</v>
      </c>
      <c r="B4" s="2115" t="s">
        <v>2134</v>
      </c>
      <c r="C4" s="2116"/>
      <c r="D4" s="2116"/>
      <c r="E4" s="2116"/>
      <c r="F4" s="2116"/>
    </row>
    <row r="5" spans="1:6" ht="14.25" thickBot="1">
      <c r="A5" s="1530" t="s">
        <v>2139</v>
      </c>
      <c r="B5" s="1531" t="s">
        <v>2140</v>
      </c>
      <c r="C5" s="2117">
        <v>8.8999999999999996E-2</v>
      </c>
      <c r="D5" s="2117">
        <v>7.3999999999999996E-2</v>
      </c>
      <c r="E5" s="2117">
        <v>7.4999999999999997E-2</v>
      </c>
      <c r="F5" s="2118">
        <v>0.1</v>
      </c>
    </row>
    <row r="6" spans="1:6" ht="14.25" thickBot="1">
      <c r="A6" s="1530" t="s">
        <v>1226</v>
      </c>
      <c r="B6" s="1524" t="s">
        <v>2141</v>
      </c>
      <c r="C6" s="2119">
        <v>0.1</v>
      </c>
      <c r="D6" s="2119">
        <v>9.0999999999999998E-2</v>
      </c>
      <c r="E6" s="2119">
        <v>9.0999999999999998E-2</v>
      </c>
      <c r="F6" s="2120">
        <v>0.1</v>
      </c>
    </row>
    <row r="7" spans="1:6" ht="14.25" thickBot="1">
      <c r="A7" s="1530" t="s">
        <v>1226</v>
      </c>
      <c r="B7" s="1534" t="s">
        <v>1215</v>
      </c>
      <c r="C7" s="2119">
        <v>8.5999999999999993E-2</v>
      </c>
      <c r="D7" s="2119">
        <v>9.6000000000000002E-2</v>
      </c>
      <c r="E7" s="2119">
        <v>7.5999999999999998E-2</v>
      </c>
      <c r="F7" s="2120">
        <v>0.1</v>
      </c>
    </row>
    <row r="8" spans="1:6" ht="14.25" thickBot="1">
      <c r="A8" s="1530" t="s">
        <v>1226</v>
      </c>
      <c r="B8" s="1524" t="s">
        <v>1227</v>
      </c>
      <c r="C8" s="2119">
        <v>9.9000000000000005E-2</v>
      </c>
      <c r="D8" s="2119">
        <v>9.8000000000000004E-2</v>
      </c>
      <c r="E8" s="2119">
        <v>9.8000000000000004E-2</v>
      </c>
      <c r="F8" s="2120">
        <v>0.1</v>
      </c>
    </row>
    <row r="9" spans="1:6" ht="14.25" thickBot="1">
      <c r="A9" s="1540" t="s">
        <v>1226</v>
      </c>
      <c r="B9" s="1535" t="s">
        <v>1239</v>
      </c>
      <c r="C9" s="2121">
        <v>0.05</v>
      </c>
      <c r="D9" s="2129"/>
      <c r="E9" s="2129"/>
      <c r="F9" s="2130"/>
    </row>
    <row r="10" spans="1:6" ht="14.25" thickBot="1">
      <c r="A10" s="1530" t="s">
        <v>1283</v>
      </c>
      <c r="B10" s="1531" t="s">
        <v>2142</v>
      </c>
      <c r="C10" s="2117">
        <v>8.8999999999999996E-2</v>
      </c>
      <c r="D10" s="2117">
        <v>7.2999999999999995E-2</v>
      </c>
      <c r="E10" s="2117">
        <v>8.2000000000000003E-2</v>
      </c>
      <c r="F10" s="2118">
        <v>0.1</v>
      </c>
    </row>
    <row r="11" spans="1:6" ht="14.25" thickBot="1">
      <c r="A11" s="1530" t="s">
        <v>1283</v>
      </c>
      <c r="B11" s="1534" t="s">
        <v>1202</v>
      </c>
      <c r="C11" s="2119">
        <v>8.8999999999999996E-2</v>
      </c>
      <c r="D11" s="2119">
        <v>7.2999999999999995E-2</v>
      </c>
      <c r="E11" s="2119">
        <v>8.2000000000000003E-2</v>
      </c>
      <c r="F11" s="2120">
        <v>0.1</v>
      </c>
    </row>
    <row r="12" spans="1:6" ht="14.25" thickBot="1">
      <c r="A12" s="1530" t="s">
        <v>1283</v>
      </c>
      <c r="B12" s="1534" t="s">
        <v>1138</v>
      </c>
      <c r="C12" s="2119">
        <v>6.0999999999999999E-2</v>
      </c>
      <c r="D12" s="2119">
        <v>7.0999999999999994E-2</v>
      </c>
      <c r="E12" s="2119">
        <v>9.6000000000000002E-2</v>
      </c>
      <c r="F12" s="2120">
        <v>0.1</v>
      </c>
    </row>
    <row r="13" spans="1:6" ht="14.25" thickBot="1">
      <c r="A13" s="1530" t="s">
        <v>1283</v>
      </c>
      <c r="B13" s="1534" t="s">
        <v>1228</v>
      </c>
      <c r="C13" s="2119">
        <v>6.9000000000000006E-2</v>
      </c>
      <c r="D13" s="2119">
        <v>6.5000000000000002E-2</v>
      </c>
      <c r="E13" s="2119">
        <v>6.6000000000000003E-2</v>
      </c>
      <c r="F13" s="2120">
        <v>0.1</v>
      </c>
    </row>
    <row r="14" spans="1:6" ht="14.25" thickBot="1">
      <c r="A14" s="1530" t="s">
        <v>1283</v>
      </c>
      <c r="B14" s="1534" t="s">
        <v>1240</v>
      </c>
      <c r="C14" s="2119">
        <v>0.1</v>
      </c>
      <c r="D14" s="2119">
        <v>6.5000000000000002E-2</v>
      </c>
      <c r="E14" s="2119">
        <v>7.0000000000000007E-2</v>
      </c>
      <c r="F14" s="2120">
        <v>0.1</v>
      </c>
    </row>
    <row r="15" spans="1:6" ht="14.25" thickBot="1">
      <c r="A15" s="1530" t="s">
        <v>1283</v>
      </c>
      <c r="B15" s="1534" t="s">
        <v>1251</v>
      </c>
      <c r="C15" s="2119">
        <v>9.8000000000000004E-2</v>
      </c>
      <c r="D15" s="2119">
        <v>8.8999999999999996E-2</v>
      </c>
      <c r="E15" s="2119">
        <v>8.8999999999999996E-2</v>
      </c>
      <c r="F15" s="2120">
        <v>0.1</v>
      </c>
    </row>
    <row r="16" spans="1:6" ht="14.25" thickBot="1">
      <c r="A16" s="1530" t="s">
        <v>1283</v>
      </c>
      <c r="B16" s="1534" t="s">
        <v>1262</v>
      </c>
      <c r="C16" s="2119">
        <v>7.0000000000000007E-2</v>
      </c>
      <c r="D16" s="2119">
        <v>9.2999999999999999E-2</v>
      </c>
      <c r="E16" s="2119">
        <v>9.6000000000000002E-2</v>
      </c>
      <c r="F16" s="2120">
        <v>0.1</v>
      </c>
    </row>
    <row r="17" spans="1:6" ht="14.25" thickBot="1">
      <c r="A17" s="1530" t="s">
        <v>1283</v>
      </c>
      <c r="B17" s="1534" t="s">
        <v>1273</v>
      </c>
      <c r="C17" s="2119">
        <v>9.5000000000000001E-2</v>
      </c>
      <c r="D17" s="2119">
        <v>0.1</v>
      </c>
      <c r="E17" s="2119">
        <v>0.1</v>
      </c>
      <c r="F17" s="2131"/>
    </row>
    <row r="18" spans="1:6" ht="14.25" thickBot="1">
      <c r="A18" s="1530" t="s">
        <v>1283</v>
      </c>
      <c r="B18" s="1534" t="s">
        <v>1285</v>
      </c>
      <c r="C18" s="2119">
        <v>7.3999999999999996E-2</v>
      </c>
      <c r="D18" s="2119">
        <v>9.9000000000000005E-2</v>
      </c>
      <c r="E18" s="2119">
        <v>0.1</v>
      </c>
      <c r="F18" s="2131"/>
    </row>
    <row r="19" spans="1:6" ht="14.25" thickBot="1">
      <c r="A19" s="1530" t="s">
        <v>1283</v>
      </c>
      <c r="B19" s="1534" t="s">
        <v>1295</v>
      </c>
      <c r="C19" s="2119">
        <v>9.9000000000000005E-2</v>
      </c>
      <c r="D19" s="2119">
        <v>7.5999999999999998E-2</v>
      </c>
      <c r="E19" s="2119">
        <v>8.6999999999999994E-2</v>
      </c>
      <c r="F19" s="2131"/>
    </row>
    <row r="20" spans="1:6" ht="14.25" thickBot="1">
      <c r="A20" s="1530" t="s">
        <v>1283</v>
      </c>
      <c r="B20" s="1534" t="s">
        <v>1305</v>
      </c>
      <c r="C20" s="2119">
        <v>9.8000000000000004E-2</v>
      </c>
      <c r="D20" s="2119">
        <v>8.5000000000000006E-2</v>
      </c>
      <c r="E20" s="2119">
        <v>8.2000000000000003E-2</v>
      </c>
      <c r="F20" s="2131"/>
    </row>
    <row r="21" spans="1:6" ht="14.25" thickBot="1">
      <c r="A21" s="1530" t="s">
        <v>1283</v>
      </c>
      <c r="B21" s="1534" t="s">
        <v>1315</v>
      </c>
      <c r="C21" s="2119">
        <v>6.6000000000000003E-2</v>
      </c>
      <c r="D21" s="2119">
        <v>6.4000000000000001E-2</v>
      </c>
      <c r="E21" s="2119">
        <v>6.5000000000000002E-2</v>
      </c>
      <c r="F21" s="2131"/>
    </row>
    <row r="22" spans="1:6" ht="14.25" thickBot="1">
      <c r="A22" s="1530" t="s">
        <v>1283</v>
      </c>
      <c r="B22" s="1534" t="s">
        <v>2143</v>
      </c>
      <c r="C22" s="2119">
        <v>0.08</v>
      </c>
      <c r="D22" s="2119">
        <v>9.8000000000000004E-2</v>
      </c>
      <c r="E22" s="2119">
        <v>9.8000000000000004E-2</v>
      </c>
      <c r="F22" s="2131"/>
    </row>
    <row r="23" spans="1:6" ht="14.25" thickBot="1">
      <c r="A23" s="1530" t="s">
        <v>1283</v>
      </c>
      <c r="B23" s="1534" t="s">
        <v>1336</v>
      </c>
      <c r="C23" s="2119">
        <v>9.9000000000000005E-2</v>
      </c>
      <c r="D23" s="2119">
        <v>9.8000000000000004E-2</v>
      </c>
      <c r="E23" s="2119">
        <v>9.0999999999999998E-2</v>
      </c>
      <c r="F23" s="2131"/>
    </row>
    <row r="24" spans="1:6" ht="14.25" thickBot="1">
      <c r="A24" s="1530" t="s">
        <v>1283</v>
      </c>
      <c r="B24" s="1534" t="s">
        <v>1347</v>
      </c>
      <c r="C24" s="2119">
        <v>8.8999999999999996E-2</v>
      </c>
      <c r="D24" s="2119">
        <v>9.7000000000000003E-2</v>
      </c>
      <c r="E24" s="2119">
        <v>7.0000000000000007E-2</v>
      </c>
      <c r="F24" s="2131"/>
    </row>
    <row r="25" spans="1:6" ht="14.25" thickBot="1">
      <c r="A25" s="1530" t="s">
        <v>1283</v>
      </c>
      <c r="B25" s="1534" t="s">
        <v>1357</v>
      </c>
      <c r="C25" s="2119">
        <v>8.8999999999999996E-2</v>
      </c>
      <c r="D25" s="2119">
        <v>0.1</v>
      </c>
      <c r="E25" s="2119">
        <v>8.1000000000000003E-2</v>
      </c>
      <c r="F25" s="2131"/>
    </row>
    <row r="26" spans="1:6" ht="14.25" thickBot="1">
      <c r="A26" s="1530" t="s">
        <v>1283</v>
      </c>
      <c r="B26" s="1534" t="s">
        <v>1367</v>
      </c>
      <c r="C26" s="2132"/>
      <c r="D26" s="2119">
        <v>9.6000000000000002E-2</v>
      </c>
      <c r="E26" s="2119">
        <v>9.2999999999999999E-2</v>
      </c>
      <c r="F26" s="2131"/>
    </row>
    <row r="27" spans="1:6" ht="14.25" thickBot="1">
      <c r="A27" s="1530" t="s">
        <v>1283</v>
      </c>
      <c r="B27" s="1534" t="s">
        <v>1377</v>
      </c>
      <c r="C27" s="2132"/>
      <c r="D27" s="2119">
        <v>7.5999999999999998E-2</v>
      </c>
      <c r="E27" s="2119">
        <v>9.1999999999999998E-2</v>
      </c>
      <c r="F27" s="2131"/>
    </row>
    <row r="28" spans="1:6" ht="14.25" thickBot="1">
      <c r="A28" s="1540" t="s">
        <v>1283</v>
      </c>
      <c r="B28" s="1535" t="s">
        <v>1387</v>
      </c>
      <c r="C28" s="2129"/>
      <c r="D28" s="2121">
        <v>7.5999999999999998E-2</v>
      </c>
      <c r="E28" s="2121">
        <v>9.1999999999999998E-2</v>
      </c>
      <c r="F28" s="2130"/>
    </row>
    <row r="29" spans="1:6" ht="14.25" thickBot="1">
      <c r="A29" s="1530" t="s">
        <v>1456</v>
      </c>
      <c r="B29" s="1531" t="s">
        <v>2144</v>
      </c>
      <c r="C29" s="2117">
        <v>6.4000000000000001E-2</v>
      </c>
      <c r="D29" s="2117">
        <v>6.5000000000000002E-2</v>
      </c>
      <c r="E29" s="2117">
        <v>6.9000000000000006E-2</v>
      </c>
      <c r="F29" s="2118">
        <v>0.1</v>
      </c>
    </row>
    <row r="30" spans="1:6" ht="14.25" thickBot="1">
      <c r="A30" s="1530" t="s">
        <v>1456</v>
      </c>
      <c r="B30" s="1534" t="s">
        <v>1203</v>
      </c>
      <c r="C30" s="2119">
        <v>6.4000000000000001E-2</v>
      </c>
      <c r="D30" s="2119">
        <v>9.9000000000000005E-2</v>
      </c>
      <c r="E30" s="2119">
        <v>0.1</v>
      </c>
      <c r="F30" s="2120">
        <v>0.1</v>
      </c>
    </row>
    <row r="31" spans="1:6" ht="14.25" thickBot="1">
      <c r="A31" s="1530" t="s">
        <v>1456</v>
      </c>
      <c r="B31" s="1534" t="s">
        <v>1216</v>
      </c>
      <c r="C31" s="2119">
        <v>0.1</v>
      </c>
      <c r="D31" s="2119">
        <v>9.5000000000000001E-2</v>
      </c>
      <c r="E31" s="2119">
        <v>8.8999999999999996E-2</v>
      </c>
      <c r="F31" s="2120">
        <v>0.1</v>
      </c>
    </row>
    <row r="32" spans="1:6" ht="14.25" thickBot="1">
      <c r="A32" s="1530" t="s">
        <v>1456</v>
      </c>
      <c r="B32" s="1534" t="s">
        <v>1229</v>
      </c>
      <c r="C32" s="2119">
        <v>0.05</v>
      </c>
      <c r="D32" s="2119">
        <v>0.05</v>
      </c>
      <c r="E32" s="2119">
        <v>8.7999999999999995E-2</v>
      </c>
      <c r="F32" s="2120">
        <v>0.1</v>
      </c>
    </row>
    <row r="33" spans="1:6" ht="14.25" thickBot="1">
      <c r="A33" s="1530" t="s">
        <v>1456</v>
      </c>
      <c r="B33" s="1534" t="s">
        <v>1241</v>
      </c>
      <c r="C33" s="2119">
        <v>7.4999999999999997E-2</v>
      </c>
      <c r="D33" s="2119">
        <v>9.4E-2</v>
      </c>
      <c r="E33" s="2119">
        <v>9.7000000000000003E-2</v>
      </c>
      <c r="F33" s="2120">
        <v>0.1</v>
      </c>
    </row>
    <row r="34" spans="1:6" ht="14.25" thickBot="1">
      <c r="A34" s="1530" t="s">
        <v>1456</v>
      </c>
      <c r="B34" s="1534" t="s">
        <v>1252</v>
      </c>
      <c r="C34" s="2119">
        <v>9.8000000000000004E-2</v>
      </c>
      <c r="D34" s="2119">
        <v>8.5999999999999993E-2</v>
      </c>
      <c r="E34" s="2119">
        <v>9.7000000000000003E-2</v>
      </c>
      <c r="F34" s="2120">
        <v>0.1</v>
      </c>
    </row>
    <row r="35" spans="1:6" ht="14.25" thickBot="1">
      <c r="A35" s="1530" t="s">
        <v>1456</v>
      </c>
      <c r="B35" s="1534" t="s">
        <v>1263</v>
      </c>
      <c r="C35" s="2119">
        <v>5.8999999999999997E-2</v>
      </c>
      <c r="D35" s="2119">
        <v>6.5000000000000002E-2</v>
      </c>
      <c r="E35" s="2119">
        <v>7.0000000000000007E-2</v>
      </c>
      <c r="F35" s="2120">
        <v>0.1</v>
      </c>
    </row>
    <row r="36" spans="1:6" ht="14.25" thickBot="1">
      <c r="A36" s="1530" t="s">
        <v>1456</v>
      </c>
      <c r="B36" s="1534" t="s">
        <v>1274</v>
      </c>
      <c r="C36" s="2119">
        <v>6.3E-2</v>
      </c>
      <c r="D36" s="2119">
        <v>0.1</v>
      </c>
      <c r="E36" s="2119">
        <v>0.1</v>
      </c>
      <c r="F36" s="2120">
        <v>0.1</v>
      </c>
    </row>
    <row r="37" spans="1:6" ht="14.25" thickBot="1">
      <c r="A37" s="1530" t="s">
        <v>1456</v>
      </c>
      <c r="B37" s="1534" t="s">
        <v>1286</v>
      </c>
      <c r="C37" s="2119">
        <v>7.3999999999999996E-2</v>
      </c>
      <c r="D37" s="2119">
        <v>0.1</v>
      </c>
      <c r="E37" s="2119">
        <v>0.1</v>
      </c>
      <c r="F37" s="2120">
        <v>0.1</v>
      </c>
    </row>
    <row r="38" spans="1:6" ht="14.25" thickBot="1">
      <c r="A38" s="1530" t="s">
        <v>1456</v>
      </c>
      <c r="B38" s="1534" t="s">
        <v>1296</v>
      </c>
      <c r="C38" s="2119">
        <v>0.1</v>
      </c>
      <c r="D38" s="2119">
        <v>9.6000000000000002E-2</v>
      </c>
      <c r="E38" s="2119">
        <v>9.6000000000000002E-2</v>
      </c>
      <c r="F38" s="2131"/>
    </row>
    <row r="39" spans="1:6" ht="14.25" thickBot="1">
      <c r="A39" s="1530" t="s">
        <v>1456</v>
      </c>
      <c r="B39" s="1534" t="s">
        <v>1306</v>
      </c>
      <c r="C39" s="2119">
        <v>0.1</v>
      </c>
      <c r="D39" s="2119">
        <v>9.6000000000000002E-2</v>
      </c>
      <c r="E39" s="2119">
        <v>9.6000000000000002E-2</v>
      </c>
      <c r="F39" s="2131"/>
    </row>
    <row r="40" spans="1:6" ht="14.25" thickBot="1">
      <c r="A40" s="1530" t="s">
        <v>1456</v>
      </c>
      <c r="B40" s="1534" t="s">
        <v>1316</v>
      </c>
      <c r="C40" s="2119">
        <v>9.6000000000000002E-2</v>
      </c>
      <c r="D40" s="2119">
        <v>0.1</v>
      </c>
      <c r="E40" s="2119">
        <v>9.9000000000000005E-2</v>
      </c>
      <c r="F40" s="2131"/>
    </row>
    <row r="41" spans="1:6" ht="14.25" thickBot="1">
      <c r="A41" s="1530" t="s">
        <v>1456</v>
      </c>
      <c r="B41" s="1534" t="s">
        <v>1326</v>
      </c>
      <c r="C41" s="2119">
        <v>9.6000000000000002E-2</v>
      </c>
      <c r="D41" s="2119">
        <v>9.8000000000000004E-2</v>
      </c>
      <c r="E41" s="2119">
        <v>9.8000000000000004E-2</v>
      </c>
      <c r="F41" s="2131"/>
    </row>
    <row r="42" spans="1:6" ht="14.25" thickBot="1">
      <c r="A42" s="1530" t="s">
        <v>1456</v>
      </c>
      <c r="B42" s="1534" t="s">
        <v>1337</v>
      </c>
      <c r="C42" s="2119">
        <v>0.1</v>
      </c>
      <c r="D42" s="2119">
        <v>8.7999999999999995E-2</v>
      </c>
      <c r="E42" s="2119">
        <v>0.1</v>
      </c>
      <c r="F42" s="2131"/>
    </row>
    <row r="43" spans="1:6" ht="14.25" thickBot="1">
      <c r="A43" s="1530" t="s">
        <v>1456</v>
      </c>
      <c r="B43" s="1534" t="s">
        <v>1348</v>
      </c>
      <c r="C43" s="2119">
        <v>9.8000000000000004E-2</v>
      </c>
      <c r="D43" s="2119">
        <v>9.7000000000000003E-2</v>
      </c>
      <c r="E43" s="2119">
        <v>9.6000000000000002E-2</v>
      </c>
      <c r="F43" s="2131"/>
    </row>
    <row r="44" spans="1:6" ht="14.25" thickBot="1">
      <c r="A44" s="1530" t="s">
        <v>1456</v>
      </c>
      <c r="B44" s="1534" t="s">
        <v>1358</v>
      </c>
      <c r="C44" s="2119">
        <v>8.5999999999999993E-2</v>
      </c>
      <c r="D44" s="2119">
        <v>7.9000000000000001E-2</v>
      </c>
      <c r="E44" s="2119">
        <v>7.0999999999999994E-2</v>
      </c>
      <c r="F44" s="2131"/>
    </row>
    <row r="45" spans="1:6" ht="14.25" thickBot="1">
      <c r="A45" s="1530" t="s">
        <v>1456</v>
      </c>
      <c r="B45" s="1534" t="s">
        <v>1368</v>
      </c>
      <c r="C45" s="2119">
        <v>9.8000000000000004E-2</v>
      </c>
      <c r="D45" s="2119">
        <v>9.6000000000000002E-2</v>
      </c>
      <c r="E45" s="2119">
        <v>9.6000000000000002E-2</v>
      </c>
      <c r="F45" s="2131"/>
    </row>
    <row r="46" spans="1:6" ht="14.25" thickBot="1">
      <c r="A46" s="1530" t="s">
        <v>1456</v>
      </c>
      <c r="B46" s="1534" t="s">
        <v>1378</v>
      </c>
      <c r="C46" s="2119">
        <v>8.5999999999999993E-2</v>
      </c>
      <c r="D46" s="2119">
        <v>9.8000000000000004E-2</v>
      </c>
      <c r="E46" s="2119">
        <v>8.7999999999999995E-2</v>
      </c>
      <c r="F46" s="2131"/>
    </row>
    <row r="47" spans="1:6" ht="14.25" thickBot="1">
      <c r="A47" s="1530" t="s">
        <v>1456</v>
      </c>
      <c r="B47" s="1534" t="s">
        <v>1388</v>
      </c>
      <c r="C47" s="2119">
        <v>9.6000000000000002E-2</v>
      </c>
      <c r="D47" s="2132"/>
      <c r="E47" s="2119">
        <v>6.9000000000000006E-2</v>
      </c>
      <c r="F47" s="2131"/>
    </row>
    <row r="48" spans="1:6" ht="14.25" thickBot="1">
      <c r="A48" s="1540" t="s">
        <v>1456</v>
      </c>
      <c r="B48" s="1535" t="s">
        <v>1397</v>
      </c>
      <c r="C48" s="2121">
        <v>9.8000000000000004E-2</v>
      </c>
      <c r="D48" s="2129"/>
      <c r="E48" s="2121">
        <v>9.5000000000000001E-2</v>
      </c>
      <c r="F48" s="2130"/>
    </row>
    <row r="49" spans="1:6" ht="14.25" thickBot="1">
      <c r="A49" s="1530" t="s">
        <v>1137</v>
      </c>
      <c r="B49" s="1531" t="s">
        <v>2145</v>
      </c>
      <c r="C49" s="2117">
        <v>9.7000000000000003E-2</v>
      </c>
      <c r="D49" s="2117">
        <v>9.5000000000000001E-2</v>
      </c>
      <c r="E49" s="2117">
        <v>9.7000000000000003E-2</v>
      </c>
      <c r="F49" s="2118">
        <v>0.1</v>
      </c>
    </row>
    <row r="50" spans="1:6" ht="14.25" thickBot="1">
      <c r="A50" s="1530" t="s">
        <v>1137</v>
      </c>
      <c r="B50" s="1524" t="s">
        <v>1204</v>
      </c>
      <c r="C50" s="2119">
        <v>7.4999999999999997E-2</v>
      </c>
      <c r="D50" s="2119">
        <v>9.5000000000000001E-2</v>
      </c>
      <c r="E50" s="2119">
        <v>0.1</v>
      </c>
      <c r="F50" s="2120">
        <v>0.1</v>
      </c>
    </row>
    <row r="51" spans="1:6" ht="14.25" thickBot="1">
      <c r="A51" s="1530" t="s">
        <v>1137</v>
      </c>
      <c r="B51" s="1524" t="s">
        <v>1217</v>
      </c>
      <c r="C51" s="2119">
        <v>9.8000000000000004E-2</v>
      </c>
      <c r="D51" s="2119">
        <v>8.8999999999999996E-2</v>
      </c>
      <c r="E51" s="2119">
        <v>0.1</v>
      </c>
      <c r="F51" s="2120">
        <v>0.1</v>
      </c>
    </row>
    <row r="52" spans="1:6" ht="14.25" thickBot="1">
      <c r="A52" s="1530" t="s">
        <v>1137</v>
      </c>
      <c r="B52" s="1524" t="s">
        <v>1230</v>
      </c>
      <c r="C52" s="2119">
        <v>9.8000000000000004E-2</v>
      </c>
      <c r="D52" s="2119">
        <v>9.7000000000000003E-2</v>
      </c>
      <c r="E52" s="2119">
        <v>8.1000000000000003E-2</v>
      </c>
      <c r="F52" s="2120">
        <v>0.1</v>
      </c>
    </row>
    <row r="53" spans="1:6" ht="14.25" thickBot="1">
      <c r="A53" s="1530" t="s">
        <v>1137</v>
      </c>
      <c r="B53" s="1524" t="s">
        <v>1242</v>
      </c>
      <c r="C53" s="2119">
        <v>9.7000000000000003E-2</v>
      </c>
      <c r="D53" s="2119">
        <v>7.5999999999999998E-2</v>
      </c>
      <c r="E53" s="2119">
        <v>7.0999999999999994E-2</v>
      </c>
      <c r="F53" s="2120">
        <v>0.1</v>
      </c>
    </row>
    <row r="54" spans="1:6" ht="14.25" thickBot="1">
      <c r="A54" s="1530" t="s">
        <v>1137</v>
      </c>
      <c r="B54" s="1524" t="s">
        <v>1253</v>
      </c>
      <c r="C54" s="2119">
        <v>7.5999999999999998E-2</v>
      </c>
      <c r="D54" s="2119">
        <v>0.1</v>
      </c>
      <c r="E54" s="2119">
        <v>9.9000000000000005E-2</v>
      </c>
      <c r="F54" s="2120">
        <v>0.1</v>
      </c>
    </row>
    <row r="55" spans="1:6" ht="14.25" thickBot="1">
      <c r="A55" s="1530" t="s">
        <v>1137</v>
      </c>
      <c r="B55" s="1524" t="s">
        <v>1264</v>
      </c>
      <c r="C55" s="2119">
        <v>0.1</v>
      </c>
      <c r="D55" s="2119">
        <v>0.1</v>
      </c>
      <c r="E55" s="2119">
        <v>9.6000000000000002E-2</v>
      </c>
      <c r="F55" s="2120">
        <v>0.1</v>
      </c>
    </row>
    <row r="56" spans="1:6" ht="14.25" thickBot="1">
      <c r="A56" s="1530" t="s">
        <v>1137</v>
      </c>
      <c r="B56" s="1524" t="s">
        <v>1275</v>
      </c>
      <c r="C56" s="2119">
        <v>0.1</v>
      </c>
      <c r="D56" s="2119">
        <v>9.6000000000000002E-2</v>
      </c>
      <c r="E56" s="2119">
        <v>5.1999999999999998E-2</v>
      </c>
      <c r="F56" s="2120">
        <v>0.1</v>
      </c>
    </row>
    <row r="57" spans="1:6" ht="14.25" thickBot="1">
      <c r="A57" s="1530" t="s">
        <v>1137</v>
      </c>
      <c r="B57" s="1524" t="s">
        <v>1287</v>
      </c>
      <c r="C57" s="2119">
        <v>9.7000000000000003E-2</v>
      </c>
      <c r="D57" s="2119">
        <v>9.6000000000000002E-2</v>
      </c>
      <c r="E57" s="2119">
        <v>9.6000000000000002E-2</v>
      </c>
      <c r="F57" s="2120">
        <v>0.1</v>
      </c>
    </row>
    <row r="58" spans="1:6" ht="14.25" thickBot="1">
      <c r="A58" s="1530" t="s">
        <v>1137</v>
      </c>
      <c r="B58" s="1524" t="s">
        <v>1297</v>
      </c>
      <c r="C58" s="2119">
        <v>9.6000000000000002E-2</v>
      </c>
      <c r="D58" s="2119">
        <v>9.9000000000000005E-2</v>
      </c>
      <c r="E58" s="2119">
        <v>9.6000000000000002E-2</v>
      </c>
      <c r="F58" s="2120">
        <v>0.1</v>
      </c>
    </row>
    <row r="59" spans="1:6" ht="14.25" thickBot="1">
      <c r="A59" s="1530" t="s">
        <v>1137</v>
      </c>
      <c r="B59" s="1524" t="s">
        <v>1307</v>
      </c>
      <c r="C59" s="2119">
        <v>7.1999999999999995E-2</v>
      </c>
      <c r="D59" s="2119">
        <v>9.6000000000000002E-2</v>
      </c>
      <c r="E59" s="2119">
        <v>7.0999999999999994E-2</v>
      </c>
      <c r="F59" s="2120">
        <v>0.1</v>
      </c>
    </row>
    <row r="60" spans="1:6" ht="14.25" thickBot="1">
      <c r="A60" s="1530" t="s">
        <v>1137</v>
      </c>
      <c r="B60" s="1524" t="s">
        <v>1317</v>
      </c>
      <c r="C60" s="2119">
        <v>9.6000000000000002E-2</v>
      </c>
      <c r="D60" s="2119">
        <v>8.8999999999999996E-2</v>
      </c>
      <c r="E60" s="2119">
        <v>9.6000000000000002E-2</v>
      </c>
      <c r="F60" s="2120">
        <v>0.1</v>
      </c>
    </row>
    <row r="61" spans="1:6" ht="14.25" thickBot="1">
      <c r="A61" s="1530" t="s">
        <v>1137</v>
      </c>
      <c r="B61" s="1524" t="s">
        <v>1327</v>
      </c>
      <c r="C61" s="2119">
        <v>8.8999999999999996E-2</v>
      </c>
      <c r="D61" s="2119">
        <v>9.8000000000000004E-2</v>
      </c>
      <c r="E61" s="2119">
        <v>8.7999999999999995E-2</v>
      </c>
      <c r="F61" s="2131"/>
    </row>
    <row r="62" spans="1:6" ht="14.25" thickBot="1">
      <c r="A62" s="1530" t="s">
        <v>1137</v>
      </c>
      <c r="B62" s="1524" t="s">
        <v>1338</v>
      </c>
      <c r="C62" s="2119">
        <v>9.8000000000000004E-2</v>
      </c>
      <c r="D62" s="2119">
        <v>9.2999999999999999E-2</v>
      </c>
      <c r="E62" s="2119">
        <v>9.7000000000000003E-2</v>
      </c>
      <c r="F62" s="2131"/>
    </row>
    <row r="63" spans="1:6" ht="14.25" thickBot="1">
      <c r="A63" s="1530" t="s">
        <v>1137</v>
      </c>
      <c r="B63" s="1524" t="s">
        <v>1349</v>
      </c>
      <c r="C63" s="2119">
        <v>9.6000000000000002E-2</v>
      </c>
      <c r="D63" s="2119">
        <v>9.8000000000000004E-2</v>
      </c>
      <c r="E63" s="2119">
        <v>0.09</v>
      </c>
      <c r="F63" s="2131"/>
    </row>
    <row r="64" spans="1:6" ht="14.25" thickBot="1">
      <c r="A64" s="1530" t="s">
        <v>1137</v>
      </c>
      <c r="B64" s="1524" t="s">
        <v>1359</v>
      </c>
      <c r="C64" s="2119">
        <v>9.9000000000000005E-2</v>
      </c>
      <c r="D64" s="2119">
        <v>9.7000000000000003E-2</v>
      </c>
      <c r="E64" s="2119">
        <v>9.9000000000000005E-2</v>
      </c>
      <c r="F64" s="2131"/>
    </row>
    <row r="65" spans="1:6" ht="14.25" thickBot="1">
      <c r="A65" s="1530" t="s">
        <v>1137</v>
      </c>
      <c r="B65" s="1524" t="s">
        <v>1369</v>
      </c>
      <c r="C65" s="2119">
        <v>9.8000000000000004E-2</v>
      </c>
      <c r="D65" s="2119">
        <v>9.6000000000000002E-2</v>
      </c>
      <c r="E65" s="2119">
        <v>9.6000000000000002E-2</v>
      </c>
      <c r="F65" s="2131"/>
    </row>
    <row r="66" spans="1:6" ht="14.25" thickBot="1">
      <c r="A66" s="1530" t="s">
        <v>1137</v>
      </c>
      <c r="B66" s="1524" t="s">
        <v>1379</v>
      </c>
      <c r="C66" s="2119">
        <v>9.6000000000000002E-2</v>
      </c>
      <c r="D66" s="2119">
        <v>9.1999999999999998E-2</v>
      </c>
      <c r="E66" s="2119">
        <v>9.6000000000000002E-2</v>
      </c>
      <c r="F66" s="2131"/>
    </row>
    <row r="67" spans="1:6" ht="14.25" thickBot="1">
      <c r="A67" s="1530" t="s">
        <v>1137</v>
      </c>
      <c r="B67" s="1524" t="s">
        <v>1389</v>
      </c>
      <c r="C67" s="2119">
        <v>9.4E-2</v>
      </c>
      <c r="D67" s="2119">
        <v>0.1</v>
      </c>
      <c r="E67" s="2119">
        <v>8.7999999999999995E-2</v>
      </c>
      <c r="F67" s="2131"/>
    </row>
    <row r="68" spans="1:6" ht="14.25" thickBot="1">
      <c r="A68" s="1530" t="s">
        <v>1137</v>
      </c>
      <c r="B68" s="1524" t="s">
        <v>1398</v>
      </c>
      <c r="C68" s="2119">
        <v>0.1</v>
      </c>
      <c r="D68" s="2119">
        <v>8.7999999999999995E-2</v>
      </c>
      <c r="E68" s="2119">
        <v>9.7000000000000003E-2</v>
      </c>
      <c r="F68" s="2131"/>
    </row>
    <row r="69" spans="1:6" ht="14.25" thickBot="1">
      <c r="A69" s="1530" t="s">
        <v>1137</v>
      </c>
      <c r="B69" s="1524" t="s">
        <v>1407</v>
      </c>
      <c r="C69" s="2119">
        <v>6.4000000000000001E-2</v>
      </c>
      <c r="D69" s="2119">
        <v>0.1</v>
      </c>
      <c r="E69" s="2119">
        <v>0.1</v>
      </c>
      <c r="F69" s="2131"/>
    </row>
    <row r="70" spans="1:6" ht="14.25" thickBot="1">
      <c r="A70" s="1530" t="s">
        <v>1137</v>
      </c>
      <c r="B70" s="1524" t="s">
        <v>1415</v>
      </c>
      <c r="C70" s="2119">
        <v>9.0999999999999998E-2</v>
      </c>
      <c r="D70" s="2132"/>
      <c r="E70" s="2132"/>
      <c r="F70" s="2131"/>
    </row>
    <row r="71" spans="1:6" ht="14.25" thickBot="1">
      <c r="A71" s="1530" t="s">
        <v>1137</v>
      </c>
      <c r="B71" s="1524" t="s">
        <v>1422</v>
      </c>
      <c r="C71" s="2119">
        <v>0.1</v>
      </c>
      <c r="D71" s="2132"/>
      <c r="E71" s="2132"/>
      <c r="F71" s="2131"/>
    </row>
    <row r="72" spans="1:6" ht="14.25" thickBot="1">
      <c r="A72" s="1530" t="s">
        <v>1137</v>
      </c>
      <c r="B72" s="1524" t="s">
        <v>2146</v>
      </c>
      <c r="C72" s="2132"/>
      <c r="D72" s="2132"/>
      <c r="E72" s="2132"/>
      <c r="F72" s="2120">
        <v>0.05</v>
      </c>
    </row>
    <row r="73" spans="1:6" ht="14.25" thickBot="1">
      <c r="A73" s="1530" t="s">
        <v>1137</v>
      </c>
      <c r="B73" s="1524" t="s">
        <v>2147</v>
      </c>
      <c r="C73" s="2132"/>
      <c r="D73" s="2132"/>
      <c r="E73" s="2132"/>
      <c r="F73" s="2120">
        <v>0.05</v>
      </c>
    </row>
    <row r="74" spans="1:6" ht="14.25" thickBot="1">
      <c r="A74" s="1530" t="s">
        <v>1137</v>
      </c>
      <c r="B74" s="1524" t="s">
        <v>2148</v>
      </c>
      <c r="C74" s="2132"/>
      <c r="D74" s="2132"/>
      <c r="E74" s="2132"/>
      <c r="F74" s="2120">
        <v>0.05</v>
      </c>
    </row>
    <row r="75" spans="1:6" ht="14.25" thickBot="1">
      <c r="A75" s="1540" t="s">
        <v>1137</v>
      </c>
      <c r="B75" s="1536" t="s">
        <v>2149</v>
      </c>
      <c r="C75" s="2129"/>
      <c r="D75" s="2129"/>
      <c r="E75" s="2129"/>
      <c r="F75" s="2122">
        <v>0.05</v>
      </c>
    </row>
    <row r="76" spans="1:6" ht="14.25" thickBot="1">
      <c r="A76" s="1530" t="s">
        <v>1537</v>
      </c>
      <c r="B76" s="1531" t="s">
        <v>2150</v>
      </c>
      <c r="C76" s="2117">
        <v>0.1</v>
      </c>
      <c r="D76" s="2117">
        <v>0.1</v>
      </c>
      <c r="E76" s="2117">
        <v>0.1</v>
      </c>
      <c r="F76" s="2118">
        <v>0.1</v>
      </c>
    </row>
    <row r="77" spans="1:6" ht="14.25" thickBot="1">
      <c r="A77" s="1530" t="s">
        <v>1537</v>
      </c>
      <c r="B77" s="1524" t="s">
        <v>1205</v>
      </c>
      <c r="C77" s="2119">
        <v>8.7999999999999995E-2</v>
      </c>
      <c r="D77" s="2119">
        <v>8.6999999999999994E-2</v>
      </c>
      <c r="E77" s="2119">
        <v>7.9000000000000001E-2</v>
      </c>
      <c r="F77" s="2120">
        <v>0.1</v>
      </c>
    </row>
    <row r="78" spans="1:6" ht="14.25" thickBot="1">
      <c r="A78" s="1530" t="s">
        <v>1537</v>
      </c>
      <c r="B78" s="1524" t="s">
        <v>1218</v>
      </c>
      <c r="C78" s="2119">
        <v>8.6999999999999994E-2</v>
      </c>
      <c r="D78" s="2119">
        <v>8.4000000000000005E-2</v>
      </c>
      <c r="E78" s="2119">
        <v>9.6000000000000002E-2</v>
      </c>
      <c r="F78" s="2120">
        <v>0.1</v>
      </c>
    </row>
    <row r="79" spans="1:6" ht="14.25" thickBot="1">
      <c r="A79" s="1530" t="s">
        <v>1537</v>
      </c>
      <c r="B79" s="1524" t="s">
        <v>1231</v>
      </c>
      <c r="C79" s="2119">
        <v>9.8000000000000004E-2</v>
      </c>
      <c r="D79" s="2119">
        <v>9.8000000000000004E-2</v>
      </c>
      <c r="E79" s="2119">
        <v>9.0999999999999998E-2</v>
      </c>
      <c r="F79" s="2120">
        <v>0.1</v>
      </c>
    </row>
    <row r="80" spans="1:6" ht="14.25" thickBot="1">
      <c r="A80" s="1530" t="s">
        <v>1537</v>
      </c>
      <c r="B80" s="1524" t="s">
        <v>1243</v>
      </c>
      <c r="C80" s="2119">
        <v>9.6000000000000002E-2</v>
      </c>
      <c r="D80" s="2119">
        <v>9.6000000000000002E-2</v>
      </c>
      <c r="E80" s="2119">
        <v>0.1</v>
      </c>
      <c r="F80" s="2120">
        <v>0.1</v>
      </c>
    </row>
    <row r="81" spans="1:6" ht="14.25" thickBot="1">
      <c r="A81" s="1530" t="s">
        <v>1537</v>
      </c>
      <c r="B81" s="1524" t="s">
        <v>1254</v>
      </c>
      <c r="C81" s="2119">
        <v>9.9000000000000005E-2</v>
      </c>
      <c r="D81" s="2119">
        <v>9.9000000000000005E-2</v>
      </c>
      <c r="E81" s="2119">
        <v>9.8000000000000004E-2</v>
      </c>
      <c r="F81" s="2120">
        <v>0.1</v>
      </c>
    </row>
    <row r="82" spans="1:6" ht="14.25" thickBot="1">
      <c r="A82" s="1530" t="s">
        <v>1537</v>
      </c>
      <c r="B82" s="1524" t="s">
        <v>1265</v>
      </c>
      <c r="C82" s="2119">
        <v>9.9000000000000005E-2</v>
      </c>
      <c r="D82" s="2119">
        <v>9.9000000000000005E-2</v>
      </c>
      <c r="E82" s="2119">
        <v>9.7000000000000003E-2</v>
      </c>
      <c r="F82" s="2120">
        <v>0.1</v>
      </c>
    </row>
    <row r="83" spans="1:6" ht="14.25" thickBot="1">
      <c r="A83" s="1530" t="s">
        <v>1537</v>
      </c>
      <c r="B83" s="1524" t="s">
        <v>1276</v>
      </c>
      <c r="C83" s="2119">
        <v>9.8000000000000004E-2</v>
      </c>
      <c r="D83" s="2119">
        <v>9.8000000000000004E-2</v>
      </c>
      <c r="E83" s="2119">
        <v>9.8000000000000004E-2</v>
      </c>
      <c r="F83" s="2120">
        <v>0.1</v>
      </c>
    </row>
    <row r="84" spans="1:6" ht="14.25" thickBot="1">
      <c r="A84" s="1530" t="s">
        <v>1537</v>
      </c>
      <c r="B84" s="1524" t="s">
        <v>1288</v>
      </c>
      <c r="C84" s="2119">
        <v>9.9000000000000005E-2</v>
      </c>
      <c r="D84" s="2119">
        <v>9.9000000000000005E-2</v>
      </c>
      <c r="E84" s="2119">
        <v>9.9000000000000005E-2</v>
      </c>
      <c r="F84" s="2120">
        <v>0.1</v>
      </c>
    </row>
    <row r="85" spans="1:6" ht="14.25" thickBot="1">
      <c r="A85" s="1530" t="s">
        <v>1537</v>
      </c>
      <c r="B85" s="1524" t="s">
        <v>1298</v>
      </c>
      <c r="C85" s="2119">
        <v>9.9000000000000005E-2</v>
      </c>
      <c r="D85" s="2119">
        <v>9.9000000000000005E-2</v>
      </c>
      <c r="E85" s="2119">
        <v>9.9000000000000005E-2</v>
      </c>
      <c r="F85" s="2120">
        <v>0.1</v>
      </c>
    </row>
    <row r="86" spans="1:6" ht="14.25" thickBot="1">
      <c r="A86" s="1530" t="s">
        <v>1537</v>
      </c>
      <c r="B86" s="1524" t="s">
        <v>1308</v>
      </c>
      <c r="C86" s="2119">
        <v>0.1</v>
      </c>
      <c r="D86" s="2119">
        <v>0.1</v>
      </c>
      <c r="E86" s="2119">
        <v>7.6999999999999999E-2</v>
      </c>
      <c r="F86" s="2120">
        <v>0.1</v>
      </c>
    </row>
    <row r="87" spans="1:6" ht="14.25" thickBot="1">
      <c r="A87" s="1530" t="s">
        <v>1537</v>
      </c>
      <c r="B87" s="1524" t="s">
        <v>1318</v>
      </c>
      <c r="C87" s="2119">
        <v>0.1</v>
      </c>
      <c r="D87" s="2119">
        <v>0.1</v>
      </c>
      <c r="E87" s="2119">
        <v>9.8000000000000004E-2</v>
      </c>
      <c r="F87" s="2131"/>
    </row>
    <row r="88" spans="1:6" ht="14.25" thickBot="1">
      <c r="A88" s="1530" t="s">
        <v>1537</v>
      </c>
      <c r="B88" s="1524" t="s">
        <v>1328</v>
      </c>
      <c r="C88" s="2119">
        <v>9.1999999999999998E-2</v>
      </c>
      <c r="D88" s="2119">
        <v>8.5000000000000006E-2</v>
      </c>
      <c r="E88" s="2119">
        <v>9.6000000000000002E-2</v>
      </c>
      <c r="F88" s="2131"/>
    </row>
    <row r="89" spans="1:6" ht="14.25" thickBot="1">
      <c r="A89" s="1530" t="s">
        <v>1537</v>
      </c>
      <c r="B89" s="1524" t="s">
        <v>1339</v>
      </c>
      <c r="C89" s="2119">
        <v>0.1</v>
      </c>
      <c r="D89" s="2119">
        <v>0.1</v>
      </c>
      <c r="E89" s="2119">
        <v>9.7000000000000003E-2</v>
      </c>
      <c r="F89" s="2131"/>
    </row>
    <row r="90" spans="1:6" ht="14.25" thickBot="1">
      <c r="A90" s="1530" t="s">
        <v>1537</v>
      </c>
      <c r="B90" s="1524" t="s">
        <v>1350</v>
      </c>
      <c r="C90" s="2119">
        <v>9.8000000000000004E-2</v>
      </c>
      <c r="D90" s="2119">
        <v>9.8000000000000004E-2</v>
      </c>
      <c r="E90" s="2119">
        <v>8.7999999999999995E-2</v>
      </c>
      <c r="F90" s="2131"/>
    </row>
    <row r="91" spans="1:6" ht="14.25" thickBot="1">
      <c r="A91" s="1530" t="s">
        <v>1537</v>
      </c>
      <c r="B91" s="1524" t="s">
        <v>1360</v>
      </c>
      <c r="C91" s="2119">
        <v>9.9000000000000005E-2</v>
      </c>
      <c r="D91" s="2119">
        <v>9.9000000000000005E-2</v>
      </c>
      <c r="E91" s="2119">
        <v>9.0999999999999998E-2</v>
      </c>
      <c r="F91" s="2131"/>
    </row>
    <row r="92" spans="1:6" ht="14.25" thickBot="1">
      <c r="A92" s="1530" t="s">
        <v>1537</v>
      </c>
      <c r="B92" s="1524" t="s">
        <v>1370</v>
      </c>
      <c r="C92" s="2119">
        <v>9.6000000000000002E-2</v>
      </c>
      <c r="D92" s="2119">
        <v>9.6000000000000002E-2</v>
      </c>
      <c r="E92" s="2119">
        <v>7.2999999999999995E-2</v>
      </c>
      <c r="F92" s="2131"/>
    </row>
    <row r="93" spans="1:6" ht="14.25" thickBot="1">
      <c r="A93" s="1530" t="s">
        <v>1537</v>
      </c>
      <c r="B93" s="1524" t="s">
        <v>1380</v>
      </c>
      <c r="C93" s="2119">
        <v>9.6000000000000002E-2</v>
      </c>
      <c r="D93" s="2119">
        <v>9.6000000000000002E-2</v>
      </c>
      <c r="E93" s="2119">
        <v>9.9000000000000005E-2</v>
      </c>
      <c r="F93" s="2131"/>
    </row>
    <row r="94" spans="1:6" ht="14.25" thickBot="1">
      <c r="A94" s="1530" t="s">
        <v>1537</v>
      </c>
      <c r="B94" s="1524" t="s">
        <v>1390</v>
      </c>
      <c r="C94" s="2119">
        <v>7.5999999999999998E-2</v>
      </c>
      <c r="D94" s="2119">
        <v>7.3999999999999996E-2</v>
      </c>
      <c r="E94" s="2119">
        <v>9.7000000000000003E-2</v>
      </c>
      <c r="F94" s="2131"/>
    </row>
    <row r="95" spans="1:6" ht="14.25" thickBot="1">
      <c r="A95" s="1530" t="s">
        <v>1537</v>
      </c>
      <c r="B95" s="1524" t="s">
        <v>1399</v>
      </c>
      <c r="C95" s="2119">
        <v>9.9000000000000005E-2</v>
      </c>
      <c r="D95" s="2119">
        <v>9.4E-2</v>
      </c>
      <c r="E95" s="2119">
        <v>9.6000000000000002E-2</v>
      </c>
      <c r="F95" s="2131"/>
    </row>
    <row r="96" spans="1:6" ht="14.25" thickBot="1">
      <c r="A96" s="1530" t="s">
        <v>1537</v>
      </c>
      <c r="B96" s="1524" t="s">
        <v>1408</v>
      </c>
      <c r="C96" s="2119">
        <v>9.9000000000000005E-2</v>
      </c>
      <c r="D96" s="2119">
        <v>9.9000000000000005E-2</v>
      </c>
      <c r="E96" s="2119">
        <v>9.9000000000000005E-2</v>
      </c>
      <c r="F96" s="2131"/>
    </row>
    <row r="97" spans="1:6" ht="14.25" thickBot="1">
      <c r="A97" s="1530" t="s">
        <v>1537</v>
      </c>
      <c r="B97" s="1524" t="s">
        <v>1416</v>
      </c>
      <c r="C97" s="2119">
        <v>9.8000000000000004E-2</v>
      </c>
      <c r="D97" s="2119">
        <v>9.8000000000000004E-2</v>
      </c>
      <c r="E97" s="2119">
        <v>9.7000000000000003E-2</v>
      </c>
      <c r="F97" s="2131"/>
    </row>
    <row r="98" spans="1:6" ht="14.25" thickBot="1">
      <c r="A98" s="1530" t="s">
        <v>1537</v>
      </c>
      <c r="B98" s="1524" t="s">
        <v>1423</v>
      </c>
      <c r="C98" s="2119">
        <v>0.1</v>
      </c>
      <c r="D98" s="2119">
        <v>0.1</v>
      </c>
      <c r="E98" s="2119">
        <v>9.7000000000000003E-2</v>
      </c>
      <c r="F98" s="2131"/>
    </row>
    <row r="99" spans="1:6" ht="14.25" thickBot="1">
      <c r="A99" s="1530" t="s">
        <v>1537</v>
      </c>
      <c r="B99" s="1524" t="s">
        <v>1430</v>
      </c>
      <c r="C99" s="2119">
        <v>0.1</v>
      </c>
      <c r="D99" s="2119">
        <v>0.1</v>
      </c>
      <c r="E99" s="2132"/>
      <c r="F99" s="2131"/>
    </row>
    <row r="100" spans="1:6" ht="14.25" thickBot="1">
      <c r="A100" s="1530" t="s">
        <v>1537</v>
      </c>
      <c r="B100" s="1524" t="s">
        <v>1437</v>
      </c>
      <c r="C100" s="2119">
        <v>0.09</v>
      </c>
      <c r="D100" s="2119">
        <v>8.8999999999999996E-2</v>
      </c>
      <c r="E100" s="2132"/>
      <c r="F100" s="2131"/>
    </row>
    <row r="101" spans="1:6" ht="14.25" thickBot="1">
      <c r="A101" s="1530" t="s">
        <v>1537</v>
      </c>
      <c r="B101" s="1524" t="s">
        <v>1444</v>
      </c>
      <c r="C101" s="2119">
        <v>9.8000000000000004E-2</v>
      </c>
      <c r="D101" s="2119">
        <v>9.7000000000000003E-2</v>
      </c>
      <c r="E101" s="2132"/>
      <c r="F101" s="2131"/>
    </row>
    <row r="102" spans="1:6" ht="14.25" thickBot="1">
      <c r="A102" s="1530" t="s">
        <v>1537</v>
      </c>
      <c r="B102" s="1524" t="s">
        <v>2151</v>
      </c>
      <c r="C102" s="2132"/>
      <c r="D102" s="2132"/>
      <c r="E102" s="2132"/>
      <c r="F102" s="2120">
        <v>0.05</v>
      </c>
    </row>
    <row r="103" spans="1:6" ht="24.75" thickBot="1">
      <c r="A103" s="1530" t="s">
        <v>1537</v>
      </c>
      <c r="B103" s="1524" t="s">
        <v>2152</v>
      </c>
      <c r="C103" s="2132"/>
      <c r="D103" s="2132"/>
      <c r="E103" s="2132"/>
      <c r="F103" s="2120">
        <v>0.05</v>
      </c>
    </row>
    <row r="104" spans="1:6" ht="14.25" thickBot="1">
      <c r="A104" s="1530" t="s">
        <v>1537</v>
      </c>
      <c r="B104" s="1524" t="s">
        <v>2153</v>
      </c>
      <c r="C104" s="2132"/>
      <c r="D104" s="2132"/>
      <c r="E104" s="2132"/>
      <c r="F104" s="2120">
        <v>0.05</v>
      </c>
    </row>
    <row r="105" spans="1:6" ht="14.25" thickBot="1">
      <c r="A105" s="1530" t="s">
        <v>1537</v>
      </c>
      <c r="B105" s="1524" t="s">
        <v>2154</v>
      </c>
      <c r="C105" s="2132"/>
      <c r="D105" s="2132"/>
      <c r="E105" s="2132"/>
      <c r="F105" s="2120">
        <v>0.05</v>
      </c>
    </row>
    <row r="106" spans="1:6" ht="14.25" thickBot="1">
      <c r="A106" s="1530" t="s">
        <v>1537</v>
      </c>
      <c r="B106" s="1524" t="s">
        <v>2155</v>
      </c>
      <c r="C106" s="2132"/>
      <c r="D106" s="2132"/>
      <c r="E106" s="2132"/>
      <c r="F106" s="2120">
        <v>0.05</v>
      </c>
    </row>
    <row r="107" spans="1:6" ht="24.75" thickBot="1">
      <c r="A107" s="1530" t="s">
        <v>1537</v>
      </c>
      <c r="B107" s="1524" t="s">
        <v>2156</v>
      </c>
      <c r="C107" s="2132"/>
      <c r="D107" s="2132"/>
      <c r="E107" s="2132"/>
      <c r="F107" s="2120">
        <v>0.05</v>
      </c>
    </row>
    <row r="108" spans="1:6" ht="24.75" thickBot="1">
      <c r="A108" s="1530" t="s">
        <v>1537</v>
      </c>
      <c r="B108" s="1524" t="s">
        <v>2157</v>
      </c>
      <c r="C108" s="2132"/>
      <c r="D108" s="2132"/>
      <c r="E108" s="2132"/>
      <c r="F108" s="2120">
        <v>0.05</v>
      </c>
    </row>
    <row r="109" spans="1:6" ht="24.75" thickBot="1">
      <c r="A109" s="1540" t="s">
        <v>1537</v>
      </c>
      <c r="B109" s="1536" t="s">
        <v>2158</v>
      </c>
      <c r="C109" s="2129"/>
      <c r="D109" s="2129"/>
      <c r="E109" s="2129"/>
      <c r="F109" s="2122">
        <v>0.05</v>
      </c>
    </row>
    <row r="110" spans="1:6" ht="14.25" thickBot="1">
      <c r="A110" s="1530" t="s">
        <v>202</v>
      </c>
      <c r="B110" s="1531" t="s">
        <v>2159</v>
      </c>
      <c r="C110" s="2117">
        <v>0.129</v>
      </c>
      <c r="D110" s="2117">
        <v>0.129</v>
      </c>
      <c r="E110" s="2117">
        <v>0.126</v>
      </c>
      <c r="F110" s="2118">
        <v>0.13</v>
      </c>
    </row>
    <row r="111" spans="1:6" ht="14.25" thickBot="1">
      <c r="A111" s="1530" t="s">
        <v>202</v>
      </c>
      <c r="B111" s="1524" t="s">
        <v>1206</v>
      </c>
      <c r="C111" s="2119">
        <v>0.11</v>
      </c>
      <c r="D111" s="2119">
        <v>0.11</v>
      </c>
      <c r="E111" s="2119">
        <v>9.9000000000000005E-2</v>
      </c>
      <c r="F111" s="2120">
        <v>0.128</v>
      </c>
    </row>
    <row r="112" spans="1:6" ht="14.25" thickBot="1">
      <c r="A112" s="1530" t="s">
        <v>202</v>
      </c>
      <c r="B112" s="1524" t="s">
        <v>1219</v>
      </c>
      <c r="C112" s="2119">
        <v>0.125</v>
      </c>
      <c r="D112" s="2119">
        <v>0.125</v>
      </c>
      <c r="E112" s="2119">
        <v>0.12</v>
      </c>
      <c r="F112" s="2120">
        <v>0.125</v>
      </c>
    </row>
    <row r="113" spans="1:6" ht="14.25" thickBot="1">
      <c r="A113" s="1530" t="s">
        <v>202</v>
      </c>
      <c r="B113" s="1524" t="s">
        <v>1232</v>
      </c>
      <c r="C113" s="2119">
        <v>0.13</v>
      </c>
      <c r="D113" s="2119">
        <v>0.13</v>
      </c>
      <c r="E113" s="2119">
        <v>0.13</v>
      </c>
      <c r="F113" s="2120">
        <v>0.13</v>
      </c>
    </row>
    <row r="114" spans="1:6" ht="14.25" thickBot="1">
      <c r="A114" s="1530" t="s">
        <v>202</v>
      </c>
      <c r="B114" s="1524" t="s">
        <v>1244</v>
      </c>
      <c r="C114" s="2119">
        <v>0.123</v>
      </c>
      <c r="D114" s="2119">
        <v>0.123</v>
      </c>
      <c r="E114" s="2119">
        <v>0.12</v>
      </c>
      <c r="F114" s="2120">
        <v>0.13</v>
      </c>
    </row>
    <row r="115" spans="1:6" ht="14.25" thickBot="1">
      <c r="A115" s="1530" t="s">
        <v>202</v>
      </c>
      <c r="B115" s="1524" t="s">
        <v>1255</v>
      </c>
      <c r="C115" s="2119">
        <v>0.125</v>
      </c>
      <c r="D115" s="2119">
        <v>0.125</v>
      </c>
      <c r="E115" s="2119">
        <v>0.11700000000000001</v>
      </c>
      <c r="F115" s="2120">
        <v>0.13</v>
      </c>
    </row>
    <row r="116" spans="1:6" ht="14.25" thickBot="1">
      <c r="A116" s="1530" t="s">
        <v>202</v>
      </c>
      <c r="B116" s="1524" t="s">
        <v>1266</v>
      </c>
      <c r="C116" s="2119">
        <v>0.11700000000000001</v>
      </c>
      <c r="D116" s="2119">
        <v>0.11700000000000001</v>
      </c>
      <c r="E116" s="2119">
        <v>8.7999999999999995E-2</v>
      </c>
      <c r="F116" s="2120">
        <v>0.13</v>
      </c>
    </row>
    <row r="117" spans="1:6" ht="14.25" thickBot="1">
      <c r="A117" s="1530" t="s">
        <v>202</v>
      </c>
      <c r="B117" s="1524" t="s">
        <v>1277</v>
      </c>
      <c r="C117" s="2119">
        <v>0.13</v>
      </c>
      <c r="D117" s="2119">
        <v>0.13</v>
      </c>
      <c r="E117" s="2119">
        <v>0.129</v>
      </c>
      <c r="F117" s="2120">
        <v>0.13</v>
      </c>
    </row>
    <row r="118" spans="1:6" ht="14.25" thickBot="1">
      <c r="A118" s="1530" t="s">
        <v>202</v>
      </c>
      <c r="B118" s="1524" t="s">
        <v>1289</v>
      </c>
      <c r="C118" s="2119">
        <v>0.123</v>
      </c>
      <c r="D118" s="2119">
        <v>0.123</v>
      </c>
      <c r="E118" s="2119">
        <v>0.11600000000000001</v>
      </c>
      <c r="F118" s="2120">
        <v>0.13</v>
      </c>
    </row>
    <row r="119" spans="1:6" ht="14.25" thickBot="1">
      <c r="A119" s="1530" t="s">
        <v>202</v>
      </c>
      <c r="B119" s="1524" t="s">
        <v>1299</v>
      </c>
      <c r="C119" s="2119">
        <v>0.127</v>
      </c>
      <c r="D119" s="2119">
        <v>0.127</v>
      </c>
      <c r="E119" s="2119">
        <v>0.124</v>
      </c>
      <c r="F119" s="2120">
        <v>0.13</v>
      </c>
    </row>
    <row r="120" spans="1:6" ht="14.25" thickBot="1">
      <c r="A120" s="1530" t="s">
        <v>202</v>
      </c>
      <c r="B120" s="1524" t="s">
        <v>1309</v>
      </c>
      <c r="C120" s="2119">
        <v>0.125</v>
      </c>
      <c r="D120" s="2119">
        <v>0.125</v>
      </c>
      <c r="E120" s="2119">
        <v>0.122</v>
      </c>
      <c r="F120" s="2120">
        <v>0.13</v>
      </c>
    </row>
    <row r="121" spans="1:6" ht="14.25" thickBot="1">
      <c r="A121" s="1530" t="s">
        <v>202</v>
      </c>
      <c r="B121" s="1524" t="s">
        <v>1319</v>
      </c>
      <c r="C121" s="2119">
        <v>0.13</v>
      </c>
      <c r="D121" s="2119">
        <v>0.13</v>
      </c>
      <c r="E121" s="2119">
        <v>0.13</v>
      </c>
      <c r="F121" s="2120">
        <v>0.13</v>
      </c>
    </row>
    <row r="122" spans="1:6" ht="14.25" thickBot="1">
      <c r="A122" s="1530" t="s">
        <v>202</v>
      </c>
      <c r="B122" s="1524" t="s">
        <v>1329</v>
      </c>
      <c r="C122" s="2119">
        <v>0.13</v>
      </c>
      <c r="D122" s="2119">
        <v>0.13</v>
      </c>
      <c r="E122" s="2119">
        <v>0.125</v>
      </c>
      <c r="F122" s="2120">
        <v>0.13</v>
      </c>
    </row>
    <row r="123" spans="1:6" ht="14.25" thickBot="1">
      <c r="A123" s="1530" t="s">
        <v>202</v>
      </c>
      <c r="B123" s="1524" t="s">
        <v>1340</v>
      </c>
      <c r="C123" s="2119">
        <v>0.129</v>
      </c>
      <c r="D123" s="2119">
        <v>0.129</v>
      </c>
      <c r="E123" s="2119">
        <v>0.123</v>
      </c>
      <c r="F123" s="2120">
        <v>0.13</v>
      </c>
    </row>
    <row r="124" spans="1:6" ht="14.25" thickBot="1">
      <c r="A124" s="1530" t="s">
        <v>202</v>
      </c>
      <c r="B124" s="1524" t="s">
        <v>1351</v>
      </c>
      <c r="C124" s="2119">
        <v>0.10199999999999999</v>
      </c>
      <c r="D124" s="2119">
        <v>0.10100000000000001</v>
      </c>
      <c r="E124" s="2119">
        <v>0.08</v>
      </c>
      <c r="F124" s="2131"/>
    </row>
    <row r="125" spans="1:6" ht="14.25" thickBot="1">
      <c r="A125" s="1530" t="s">
        <v>202</v>
      </c>
      <c r="B125" s="1524" t="s">
        <v>1361</v>
      </c>
      <c r="C125" s="2119">
        <v>0.13</v>
      </c>
      <c r="D125" s="2119">
        <v>0.13</v>
      </c>
      <c r="E125" s="2119">
        <v>0.129</v>
      </c>
      <c r="F125" s="2131"/>
    </row>
    <row r="126" spans="1:6" ht="14.25" thickBot="1">
      <c r="A126" s="1530" t="s">
        <v>202</v>
      </c>
      <c r="B126" s="1524" t="s">
        <v>1371</v>
      </c>
      <c r="C126" s="2119">
        <v>0.13</v>
      </c>
      <c r="D126" s="2119">
        <v>0.13</v>
      </c>
      <c r="E126" s="2119">
        <v>0.126</v>
      </c>
      <c r="F126" s="2131"/>
    </row>
    <row r="127" spans="1:6" ht="14.25" thickBot="1">
      <c r="A127" s="1530" t="s">
        <v>202</v>
      </c>
      <c r="B127" s="1524" t="s">
        <v>1381</v>
      </c>
      <c r="C127" s="2119">
        <v>0.125</v>
      </c>
      <c r="D127" s="2119">
        <v>0.125</v>
      </c>
      <c r="E127" s="2119">
        <v>0.121</v>
      </c>
      <c r="F127" s="2131"/>
    </row>
    <row r="128" spans="1:6" ht="14.25" thickBot="1">
      <c r="A128" s="1530" t="s">
        <v>202</v>
      </c>
      <c r="B128" s="1524" t="s">
        <v>1391</v>
      </c>
      <c r="C128" s="2119">
        <v>0.12</v>
      </c>
      <c r="D128" s="2119">
        <v>0.12</v>
      </c>
      <c r="E128" s="2119">
        <v>0.105</v>
      </c>
      <c r="F128" s="2131"/>
    </row>
    <row r="129" spans="1:6" ht="14.25" thickBot="1">
      <c r="A129" s="1530" t="s">
        <v>202</v>
      </c>
      <c r="B129" s="1524" t="s">
        <v>1400</v>
      </c>
      <c r="C129" s="2119">
        <v>0.13</v>
      </c>
      <c r="D129" s="2119">
        <v>0.13</v>
      </c>
      <c r="E129" s="2119">
        <v>0.126</v>
      </c>
      <c r="F129" s="2131"/>
    </row>
    <row r="130" spans="1:6" ht="14.25" thickBot="1">
      <c r="A130" s="1530" t="s">
        <v>202</v>
      </c>
      <c r="B130" s="1524" t="s">
        <v>1409</v>
      </c>
      <c r="C130" s="2119">
        <v>0.125</v>
      </c>
      <c r="D130" s="2119">
        <v>0.125</v>
      </c>
      <c r="E130" s="2119">
        <v>0.122</v>
      </c>
      <c r="F130" s="2131"/>
    </row>
    <row r="131" spans="1:6" ht="14.25" thickBot="1">
      <c r="A131" s="1530" t="s">
        <v>202</v>
      </c>
      <c r="B131" s="1524" t="s">
        <v>1417</v>
      </c>
      <c r="C131" s="2119">
        <v>0.127</v>
      </c>
      <c r="D131" s="2119">
        <v>0.126</v>
      </c>
      <c r="E131" s="2119">
        <v>0.123</v>
      </c>
      <c r="F131" s="2131"/>
    </row>
    <row r="132" spans="1:6" ht="14.25" thickBot="1">
      <c r="A132" s="1530" t="s">
        <v>202</v>
      </c>
      <c r="B132" s="1524" t="s">
        <v>1424</v>
      </c>
      <c r="C132" s="2119">
        <v>9.0999999999999998E-2</v>
      </c>
      <c r="D132" s="2119">
        <v>0.121</v>
      </c>
      <c r="E132" s="2119">
        <v>9.9000000000000005E-2</v>
      </c>
      <c r="F132" s="2131"/>
    </row>
    <row r="133" spans="1:6" ht="14.25" thickBot="1">
      <c r="A133" s="1530" t="s">
        <v>202</v>
      </c>
      <c r="B133" s="1524" t="s">
        <v>1431</v>
      </c>
      <c r="C133" s="2119">
        <v>0.13</v>
      </c>
      <c r="D133" s="2119">
        <v>0.13</v>
      </c>
      <c r="E133" s="2119">
        <v>0.129</v>
      </c>
      <c r="F133" s="2131"/>
    </row>
    <row r="134" spans="1:6" ht="14.25" thickBot="1">
      <c r="A134" s="1530" t="s">
        <v>202</v>
      </c>
      <c r="B134" s="1524" t="s">
        <v>2160</v>
      </c>
      <c r="C134" s="2119">
        <v>6.8000000000000005E-2</v>
      </c>
      <c r="D134" s="2119">
        <v>6.5000000000000002E-2</v>
      </c>
      <c r="E134" s="2119">
        <v>6.5000000000000002E-2</v>
      </c>
      <c r="F134" s="2120">
        <v>0.13</v>
      </c>
    </row>
    <row r="135" spans="1:6" ht="14.25" thickBot="1">
      <c r="A135" s="1530" t="s">
        <v>202</v>
      </c>
      <c r="B135" s="1524" t="s">
        <v>1445</v>
      </c>
      <c r="C135" s="2119">
        <v>0.123</v>
      </c>
      <c r="D135" s="2119">
        <v>0.123</v>
      </c>
      <c r="E135" s="2119">
        <v>0.11</v>
      </c>
      <c r="F135" s="2131"/>
    </row>
    <row r="136" spans="1:6" ht="14.25" thickBot="1">
      <c r="A136" s="1530" t="s">
        <v>202</v>
      </c>
      <c r="B136" s="1524" t="s">
        <v>1452</v>
      </c>
      <c r="C136" s="2119">
        <v>0.13</v>
      </c>
      <c r="D136" s="2119">
        <v>0.13</v>
      </c>
      <c r="E136" s="2119">
        <v>0.125</v>
      </c>
      <c r="F136" s="2131"/>
    </row>
    <row r="137" spans="1:6" ht="14.25" thickBot="1">
      <c r="A137" s="1530" t="s">
        <v>202</v>
      </c>
      <c r="B137" s="1524" t="s">
        <v>1459</v>
      </c>
      <c r="C137" s="2119">
        <v>0.121</v>
      </c>
      <c r="D137" s="2119">
        <v>0.122</v>
      </c>
      <c r="E137" s="2119">
        <v>0.115</v>
      </c>
      <c r="F137" s="2131"/>
    </row>
    <row r="138" spans="1:6" ht="14.25" thickBot="1">
      <c r="A138" s="1530" t="s">
        <v>202</v>
      </c>
      <c r="B138" s="1524" t="s">
        <v>2161</v>
      </c>
      <c r="C138" s="2119">
        <v>0.105</v>
      </c>
      <c r="D138" s="2119">
        <v>0.125</v>
      </c>
      <c r="E138" s="2119">
        <v>0.112</v>
      </c>
      <c r="F138" s="2131"/>
    </row>
    <row r="139" spans="1:6" ht="14.25" thickBot="1">
      <c r="A139" s="1530" t="s">
        <v>202</v>
      </c>
      <c r="B139" s="1524" t="s">
        <v>2162</v>
      </c>
      <c r="C139" s="2119">
        <v>0.127</v>
      </c>
      <c r="D139" s="2119">
        <v>0.127</v>
      </c>
      <c r="E139" s="2119">
        <v>0.122</v>
      </c>
      <c r="F139" s="2120">
        <v>0.13</v>
      </c>
    </row>
    <row r="140" spans="1:6" ht="14.25" thickBot="1">
      <c r="A140" s="1530" t="s">
        <v>202</v>
      </c>
      <c r="B140" s="1524" t="s">
        <v>2163</v>
      </c>
      <c r="C140" s="2119">
        <v>0.125</v>
      </c>
      <c r="D140" s="2119">
        <v>0.125</v>
      </c>
      <c r="E140" s="2119">
        <v>0.11899999999999999</v>
      </c>
      <c r="F140" s="2120">
        <v>0.13</v>
      </c>
    </row>
    <row r="141" spans="1:6" ht="14.25" thickBot="1">
      <c r="A141" s="1530" t="s">
        <v>202</v>
      </c>
      <c r="B141" s="1524" t="s">
        <v>1478</v>
      </c>
      <c r="C141" s="2119">
        <v>0.125</v>
      </c>
      <c r="D141" s="2119">
        <v>0.125</v>
      </c>
      <c r="E141" s="2119">
        <v>0.11700000000000001</v>
      </c>
      <c r="F141" s="2131"/>
    </row>
    <row r="142" spans="1:6" ht="14.25" thickBot="1">
      <c r="A142" s="1530" t="s">
        <v>202</v>
      </c>
      <c r="B142" s="1524" t="s">
        <v>1483</v>
      </c>
      <c r="C142" s="2119">
        <v>0.125</v>
      </c>
      <c r="D142" s="2119">
        <v>0.125</v>
      </c>
      <c r="E142" s="2119">
        <v>0.115</v>
      </c>
      <c r="F142" s="2131"/>
    </row>
    <row r="143" spans="1:6" ht="14.25" thickBot="1">
      <c r="A143" s="1530" t="s">
        <v>202</v>
      </c>
      <c r="B143" s="1524" t="s">
        <v>1488</v>
      </c>
      <c r="C143" s="2119">
        <v>0.121</v>
      </c>
      <c r="D143" s="2119">
        <v>0.121</v>
      </c>
      <c r="E143" s="2119">
        <v>0.108</v>
      </c>
      <c r="F143" s="2131"/>
    </row>
    <row r="144" spans="1:6" ht="14.25" thickBot="1">
      <c r="A144" s="1530" t="s">
        <v>202</v>
      </c>
      <c r="B144" s="2123" t="s">
        <v>2164</v>
      </c>
      <c r="C144" s="2124">
        <v>0.126</v>
      </c>
      <c r="D144" s="2124">
        <v>0.126</v>
      </c>
      <c r="E144" s="2124">
        <v>0.121</v>
      </c>
      <c r="F144" s="2131"/>
    </row>
    <row r="145" spans="1:6" ht="14.25" thickBot="1">
      <c r="A145" s="1540" t="s">
        <v>202</v>
      </c>
      <c r="B145" s="2125" t="s">
        <v>2165</v>
      </c>
      <c r="C145" s="2133"/>
      <c r="D145" s="2133"/>
      <c r="E145" s="2133"/>
      <c r="F145" s="2126">
        <v>0.05</v>
      </c>
    </row>
    <row r="146" spans="1:6" ht="24.75" thickBot="1">
      <c r="A146" s="2127" t="s">
        <v>202</v>
      </c>
      <c r="B146" s="1534" t="s">
        <v>2166</v>
      </c>
      <c r="C146" s="2132"/>
      <c r="D146" s="2132"/>
      <c r="E146" s="2132"/>
      <c r="F146" s="2128">
        <v>0.05</v>
      </c>
    </row>
    <row r="147" spans="1:6" ht="24.75" thickBot="1">
      <c r="A147" s="1530" t="s">
        <v>202</v>
      </c>
      <c r="B147" s="1524" t="s">
        <v>2167</v>
      </c>
      <c r="C147" s="2132"/>
      <c r="D147" s="2132"/>
      <c r="E147" s="2132"/>
      <c r="F147" s="2120">
        <v>0.05</v>
      </c>
    </row>
    <row r="148" spans="1:6" ht="24.75" thickBot="1">
      <c r="A148" s="1530" t="s">
        <v>202</v>
      </c>
      <c r="B148" s="1524" t="s">
        <v>2168</v>
      </c>
      <c r="C148" s="2132"/>
      <c r="D148" s="2132"/>
      <c r="E148" s="2132"/>
      <c r="F148" s="2120">
        <v>0.05</v>
      </c>
    </row>
    <row r="149" spans="1:6" ht="24.75" thickBot="1">
      <c r="A149" s="1530" t="s">
        <v>202</v>
      </c>
      <c r="B149" s="1524" t="s">
        <v>2169</v>
      </c>
      <c r="C149" s="2132"/>
      <c r="D149" s="2132"/>
      <c r="E149" s="2132"/>
      <c r="F149" s="2120">
        <v>0.05</v>
      </c>
    </row>
    <row r="150" spans="1:6" ht="24.75" thickBot="1">
      <c r="A150" s="1530" t="s">
        <v>202</v>
      </c>
      <c r="B150" s="1524" t="s">
        <v>2170</v>
      </c>
      <c r="C150" s="2132"/>
      <c r="D150" s="2132"/>
      <c r="E150" s="2132"/>
      <c r="F150" s="2120">
        <v>0.05</v>
      </c>
    </row>
    <row r="151" spans="1:6" ht="24.75" thickBot="1">
      <c r="A151" s="1530" t="s">
        <v>202</v>
      </c>
      <c r="B151" s="1524" t="s">
        <v>2171</v>
      </c>
      <c r="C151" s="2132"/>
      <c r="D151" s="2132"/>
      <c r="E151" s="2132"/>
      <c r="F151" s="2120">
        <v>0.05</v>
      </c>
    </row>
    <row r="152" spans="1:6" ht="24.75" thickBot="1">
      <c r="A152" s="1530" t="s">
        <v>202</v>
      </c>
      <c r="B152" s="1524" t="s">
        <v>1521</v>
      </c>
      <c r="C152" s="2132"/>
      <c r="D152" s="2132"/>
      <c r="E152" s="2132"/>
      <c r="F152" s="2120">
        <v>0.05</v>
      </c>
    </row>
    <row r="153" spans="1:6" ht="14.25" thickBot="1">
      <c r="A153" s="1530" t="s">
        <v>202</v>
      </c>
      <c r="B153" s="1524" t="s">
        <v>2172</v>
      </c>
      <c r="C153" s="2132"/>
      <c r="D153" s="2132"/>
      <c r="E153" s="2132"/>
      <c r="F153" s="2120">
        <v>0.05</v>
      </c>
    </row>
    <row r="154" spans="1:6" ht="14.25" thickBot="1">
      <c r="A154" s="1530" t="s">
        <v>202</v>
      </c>
      <c r="B154" s="1524" t="s">
        <v>2173</v>
      </c>
      <c r="C154" s="2132"/>
      <c r="D154" s="2132"/>
      <c r="E154" s="2132"/>
      <c r="F154" s="2120">
        <v>0.05</v>
      </c>
    </row>
    <row r="155" spans="1:6" ht="24.75" thickBot="1">
      <c r="A155" s="1530" t="s">
        <v>202</v>
      </c>
      <c r="B155" s="1524" t="s">
        <v>2174</v>
      </c>
      <c r="C155" s="2132"/>
      <c r="D155" s="2132"/>
      <c r="E155" s="2132"/>
      <c r="F155" s="2120">
        <v>0.05</v>
      </c>
    </row>
    <row r="156" spans="1:6" ht="24.75" thickBot="1">
      <c r="A156" s="1530" t="s">
        <v>202</v>
      </c>
      <c r="B156" s="1524" t="s">
        <v>2175</v>
      </c>
      <c r="C156" s="2132"/>
      <c r="D156" s="2132"/>
      <c r="E156" s="2132"/>
      <c r="F156" s="2120">
        <v>0.05</v>
      </c>
    </row>
    <row r="157" spans="1:6" ht="14.25" thickBot="1">
      <c r="A157" s="1540" t="s">
        <v>202</v>
      </c>
      <c r="B157" s="1536" t="s">
        <v>2176</v>
      </c>
      <c r="C157" s="2129"/>
      <c r="D157" s="2129"/>
      <c r="E157" s="2129"/>
      <c r="F157" s="2122">
        <v>0.05</v>
      </c>
    </row>
    <row r="158" spans="1:6" ht="14.25" thickBot="1">
      <c r="A158" s="1530" t="s">
        <v>1540</v>
      </c>
      <c r="B158" s="1531" t="s">
        <v>2177</v>
      </c>
      <c r="C158" s="2117">
        <v>0.13</v>
      </c>
      <c r="D158" s="2117">
        <v>0.13</v>
      </c>
      <c r="E158" s="2117">
        <v>0.13</v>
      </c>
      <c r="F158" s="2118">
        <v>0.13</v>
      </c>
    </row>
    <row r="159" spans="1:6" ht="14.25" thickBot="1">
      <c r="A159" s="1530" t="s">
        <v>1540</v>
      </c>
      <c r="B159" s="1524" t="s">
        <v>1207</v>
      </c>
      <c r="C159" s="2119">
        <v>0.13</v>
      </c>
      <c r="D159" s="2119">
        <v>0.13</v>
      </c>
      <c r="E159" s="2119">
        <v>0.13</v>
      </c>
      <c r="F159" s="2120">
        <v>0.13</v>
      </c>
    </row>
    <row r="160" spans="1:6" ht="14.25" thickBot="1">
      <c r="A160" s="1530" t="s">
        <v>1540</v>
      </c>
      <c r="B160" s="1524" t="s">
        <v>1220</v>
      </c>
      <c r="C160" s="2119">
        <v>0.13</v>
      </c>
      <c r="D160" s="2119">
        <v>0.13</v>
      </c>
      <c r="E160" s="2119">
        <v>0.129</v>
      </c>
      <c r="F160" s="2120">
        <v>0.13</v>
      </c>
    </row>
    <row r="161" spans="1:6" ht="14.25" thickBot="1">
      <c r="A161" s="1530" t="s">
        <v>1540</v>
      </c>
      <c r="B161" s="1524" t="s">
        <v>1233</v>
      </c>
      <c r="C161" s="2119">
        <v>0.128</v>
      </c>
      <c r="D161" s="2119">
        <v>0.128</v>
      </c>
      <c r="E161" s="2119">
        <v>0.125</v>
      </c>
      <c r="F161" s="2120">
        <v>0.13</v>
      </c>
    </row>
    <row r="162" spans="1:6" ht="14.25" thickBot="1">
      <c r="A162" s="1530" t="s">
        <v>1540</v>
      </c>
      <c r="B162" s="1524" t="s">
        <v>1245</v>
      </c>
      <c r="C162" s="2119">
        <v>0.122</v>
      </c>
      <c r="D162" s="2119">
        <v>0.122</v>
      </c>
      <c r="E162" s="2119">
        <v>0.126</v>
      </c>
      <c r="F162" s="2120">
        <v>0.122</v>
      </c>
    </row>
    <row r="163" spans="1:6" ht="14.25" thickBot="1">
      <c r="A163" s="1530" t="s">
        <v>1540</v>
      </c>
      <c r="B163" s="1524" t="s">
        <v>1256</v>
      </c>
      <c r="C163" s="2119">
        <v>0.13</v>
      </c>
      <c r="D163" s="2119">
        <v>0.13</v>
      </c>
      <c r="E163" s="2119">
        <v>0.125</v>
      </c>
      <c r="F163" s="2120">
        <v>0.13</v>
      </c>
    </row>
    <row r="164" spans="1:6" ht="14.25" thickBot="1">
      <c r="A164" s="1530" t="s">
        <v>1540</v>
      </c>
      <c r="B164" s="1524" t="s">
        <v>1267</v>
      </c>
      <c r="C164" s="2119">
        <v>0.13</v>
      </c>
      <c r="D164" s="2119">
        <v>0.13</v>
      </c>
      <c r="E164" s="2119">
        <v>0.13</v>
      </c>
      <c r="F164" s="2120">
        <v>0.13</v>
      </c>
    </row>
    <row r="165" spans="1:6" ht="14.25" thickBot="1">
      <c r="A165" s="1530" t="s">
        <v>1540</v>
      </c>
      <c r="B165" s="1524" t="s">
        <v>1278</v>
      </c>
      <c r="C165" s="2119">
        <v>0.13</v>
      </c>
      <c r="D165" s="2119">
        <v>0.13</v>
      </c>
      <c r="E165" s="2119">
        <v>0.124</v>
      </c>
      <c r="F165" s="2120">
        <v>0.13</v>
      </c>
    </row>
    <row r="166" spans="1:6" ht="14.25" thickBot="1">
      <c r="A166" s="1530" t="s">
        <v>1540</v>
      </c>
      <c r="B166" s="1524" t="s">
        <v>1290</v>
      </c>
      <c r="C166" s="2119">
        <v>0.13</v>
      </c>
      <c r="D166" s="2119">
        <v>0.13</v>
      </c>
      <c r="E166" s="2119">
        <v>0.13</v>
      </c>
      <c r="F166" s="2120">
        <v>0.13</v>
      </c>
    </row>
    <row r="167" spans="1:6" ht="14.25" thickBot="1">
      <c r="A167" s="1530" t="s">
        <v>1540</v>
      </c>
      <c r="B167" s="1524" t="s">
        <v>1300</v>
      </c>
      <c r="C167" s="2119">
        <v>0.125</v>
      </c>
      <c r="D167" s="2119">
        <v>0.125</v>
      </c>
      <c r="E167" s="2119">
        <v>0.121</v>
      </c>
      <c r="F167" s="2131"/>
    </row>
    <row r="168" spans="1:6" ht="14.25" thickBot="1">
      <c r="A168" s="1530" t="s">
        <v>1540</v>
      </c>
      <c r="B168" s="1524" t="s">
        <v>1310</v>
      </c>
      <c r="C168" s="2119">
        <v>0.13</v>
      </c>
      <c r="D168" s="2119">
        <v>0.13</v>
      </c>
      <c r="E168" s="2119">
        <v>0.126</v>
      </c>
      <c r="F168" s="2131"/>
    </row>
    <row r="169" spans="1:6" ht="14.25" thickBot="1">
      <c r="A169" s="1530" t="s">
        <v>1540</v>
      </c>
      <c r="B169" s="1524" t="s">
        <v>1320</v>
      </c>
      <c r="C169" s="2119">
        <v>0.128</v>
      </c>
      <c r="D169" s="2119">
        <v>0.129</v>
      </c>
      <c r="E169" s="2119">
        <v>0.13</v>
      </c>
      <c r="F169" s="2131"/>
    </row>
    <row r="170" spans="1:6" ht="14.25" thickBot="1">
      <c r="A170" s="1530" t="s">
        <v>1540</v>
      </c>
      <c r="B170" s="1524" t="s">
        <v>1330</v>
      </c>
      <c r="C170" s="2119">
        <v>0.14099999999999999</v>
      </c>
      <c r="D170" s="2119">
        <v>0.13</v>
      </c>
      <c r="E170" s="2119">
        <v>0.125</v>
      </c>
      <c r="F170" s="2131"/>
    </row>
    <row r="171" spans="1:6" ht="14.25" thickBot="1">
      <c r="A171" s="1530" t="s">
        <v>1540</v>
      </c>
      <c r="B171" s="1524" t="s">
        <v>2178</v>
      </c>
      <c r="C171" s="2119">
        <v>0.127</v>
      </c>
      <c r="D171" s="2119">
        <v>0.126</v>
      </c>
      <c r="E171" s="2119">
        <v>0.126</v>
      </c>
      <c r="F171" s="2120">
        <v>0.11799999999999999</v>
      </c>
    </row>
    <row r="172" spans="1:6" ht="14.25" thickBot="1">
      <c r="A172" s="1530" t="s">
        <v>1540</v>
      </c>
      <c r="B172" s="1524" t="s">
        <v>2179</v>
      </c>
      <c r="C172" s="2119">
        <v>0.13</v>
      </c>
      <c r="D172" s="2119">
        <v>0.13</v>
      </c>
      <c r="E172" s="2119">
        <v>0.13</v>
      </c>
      <c r="F172" s="2131"/>
    </row>
    <row r="173" spans="1:6" ht="14.25" thickBot="1">
      <c r="A173" s="1530" t="s">
        <v>1540</v>
      </c>
      <c r="B173" s="1524" t="s">
        <v>1362</v>
      </c>
      <c r="C173" s="2119">
        <v>0.13</v>
      </c>
      <c r="D173" s="2119">
        <v>0.13</v>
      </c>
      <c r="E173" s="2119">
        <v>0.13</v>
      </c>
      <c r="F173" s="2131"/>
    </row>
    <row r="174" spans="1:6" ht="14.25" thickBot="1">
      <c r="A174" s="1530" t="s">
        <v>1540</v>
      </c>
      <c r="B174" s="1524" t="s">
        <v>2180</v>
      </c>
      <c r="C174" s="2119">
        <v>0.13</v>
      </c>
      <c r="D174" s="2119">
        <v>0.13</v>
      </c>
      <c r="E174" s="2119">
        <v>0.13</v>
      </c>
      <c r="F174" s="2120">
        <v>0.13</v>
      </c>
    </row>
    <row r="175" spans="1:6" ht="14.25" thickBot="1">
      <c r="A175" s="1530" t="s">
        <v>1540</v>
      </c>
      <c r="B175" s="1524" t="s">
        <v>2181</v>
      </c>
      <c r="C175" s="2119">
        <v>0.13</v>
      </c>
      <c r="D175" s="2119">
        <v>0.13</v>
      </c>
      <c r="E175" s="2119">
        <v>0.13</v>
      </c>
      <c r="F175" s="2120">
        <v>0.13</v>
      </c>
    </row>
    <row r="176" spans="1:6" ht="14.25" thickBot="1">
      <c r="A176" s="1530" t="s">
        <v>1540</v>
      </c>
      <c r="B176" s="1524" t="s">
        <v>1392</v>
      </c>
      <c r="C176" s="2119">
        <v>0.13</v>
      </c>
      <c r="D176" s="2119">
        <v>0.13</v>
      </c>
      <c r="E176" s="2119">
        <v>0.13</v>
      </c>
      <c r="F176" s="2120">
        <v>0.13</v>
      </c>
    </row>
    <row r="177" spans="1:6" ht="14.25" thickBot="1">
      <c r="A177" s="1530" t="s">
        <v>1540</v>
      </c>
      <c r="B177" s="1524" t="s">
        <v>2182</v>
      </c>
      <c r="C177" s="2119">
        <v>0.13</v>
      </c>
      <c r="D177" s="2119">
        <v>0.13</v>
      </c>
      <c r="E177" s="2119">
        <v>0.13</v>
      </c>
      <c r="F177" s="2120">
        <v>0.13</v>
      </c>
    </row>
    <row r="178" spans="1:6" ht="14.25" thickBot="1">
      <c r="A178" s="1530" t="s">
        <v>1540</v>
      </c>
      <c r="B178" s="1524" t="s">
        <v>1410</v>
      </c>
      <c r="C178" s="2119">
        <v>0.13</v>
      </c>
      <c r="D178" s="2119">
        <v>0.13</v>
      </c>
      <c r="E178" s="2119">
        <v>0.13</v>
      </c>
      <c r="F178" s="2120">
        <v>0.127</v>
      </c>
    </row>
    <row r="179" spans="1:6" ht="14.25" thickBot="1">
      <c r="A179" s="1530" t="s">
        <v>1540</v>
      </c>
      <c r="B179" s="1524" t="s">
        <v>1418</v>
      </c>
      <c r="C179" s="2119">
        <v>0.13</v>
      </c>
      <c r="D179" s="2119">
        <v>0.13</v>
      </c>
      <c r="E179" s="2119">
        <v>0.13</v>
      </c>
      <c r="F179" s="2131"/>
    </row>
    <row r="180" spans="1:6" ht="14.25" thickBot="1">
      <c r="A180" s="1530" t="s">
        <v>1540</v>
      </c>
      <c r="B180" s="1524" t="s">
        <v>2183</v>
      </c>
      <c r="C180" s="2119">
        <v>0.13</v>
      </c>
      <c r="D180" s="2119">
        <v>0.13</v>
      </c>
      <c r="E180" s="2119">
        <v>0.125</v>
      </c>
      <c r="F180" s="2120">
        <v>0.13</v>
      </c>
    </row>
    <row r="181" spans="1:6" ht="14.25" thickBot="1">
      <c r="A181" s="1530" t="s">
        <v>1540</v>
      </c>
      <c r="B181" s="1524" t="s">
        <v>1432</v>
      </c>
      <c r="C181" s="2119">
        <v>0.122</v>
      </c>
      <c r="D181" s="2119">
        <v>0.123</v>
      </c>
      <c r="E181" s="2119">
        <v>0.126</v>
      </c>
      <c r="F181" s="2120">
        <v>0.121</v>
      </c>
    </row>
    <row r="182" spans="1:6" ht="14.25" thickBot="1">
      <c r="A182" s="1530" t="s">
        <v>1540</v>
      </c>
      <c r="B182" s="1524" t="s">
        <v>1439</v>
      </c>
      <c r="C182" s="2119">
        <v>0.125</v>
      </c>
      <c r="D182" s="2119">
        <v>0.125</v>
      </c>
      <c r="E182" s="2119">
        <v>0.11700000000000001</v>
      </c>
      <c r="F182" s="2120">
        <v>0.13</v>
      </c>
    </row>
    <row r="183" spans="1:6" ht="14.25" thickBot="1">
      <c r="A183" s="1530" t="s">
        <v>1540</v>
      </c>
      <c r="B183" s="1524" t="s">
        <v>1446</v>
      </c>
      <c r="C183" s="2119">
        <v>0.127</v>
      </c>
      <c r="D183" s="2119">
        <v>0.127</v>
      </c>
      <c r="E183" s="2119">
        <v>0.128</v>
      </c>
      <c r="F183" s="2131"/>
    </row>
    <row r="184" spans="1:6" ht="14.25" thickBot="1">
      <c r="A184" s="1530" t="s">
        <v>1540</v>
      </c>
      <c r="B184" s="1524" t="s">
        <v>1453</v>
      </c>
      <c r="C184" s="2119">
        <v>0.125</v>
      </c>
      <c r="D184" s="2119">
        <v>0.125</v>
      </c>
      <c r="E184" s="2119">
        <v>0.127</v>
      </c>
      <c r="F184" s="2131"/>
    </row>
    <row r="185" spans="1:6" ht="14.25" thickBot="1">
      <c r="A185" s="1530" t="s">
        <v>1540</v>
      </c>
      <c r="B185" s="1524" t="s">
        <v>2184</v>
      </c>
      <c r="C185" s="2119">
        <v>0.127</v>
      </c>
      <c r="D185" s="2119">
        <v>0.127</v>
      </c>
      <c r="E185" s="2119">
        <v>0.128</v>
      </c>
      <c r="F185" s="2120">
        <v>0.13</v>
      </c>
    </row>
    <row r="186" spans="1:6" ht="24.75" thickBot="1">
      <c r="A186" s="1530" t="s">
        <v>1540</v>
      </c>
      <c r="B186" s="1524" t="s">
        <v>2185</v>
      </c>
      <c r="C186" s="2132"/>
      <c r="D186" s="2132"/>
      <c r="E186" s="2132"/>
      <c r="F186" s="2120">
        <v>0.05</v>
      </c>
    </row>
    <row r="187" spans="1:6" ht="14.25" thickBot="1">
      <c r="A187" s="1530" t="s">
        <v>1540</v>
      </c>
      <c r="B187" s="1524" t="s">
        <v>2186</v>
      </c>
      <c r="C187" s="2132"/>
      <c r="D187" s="2132"/>
      <c r="E187" s="2132"/>
      <c r="F187" s="2120">
        <v>0.05</v>
      </c>
    </row>
    <row r="188" spans="1:6" ht="14.25" thickBot="1">
      <c r="A188" s="1530" t="s">
        <v>1540</v>
      </c>
      <c r="B188" s="1524" t="s">
        <v>2187</v>
      </c>
      <c r="C188" s="2132"/>
      <c r="D188" s="2132"/>
      <c r="E188" s="2132"/>
      <c r="F188" s="2120">
        <v>0.05</v>
      </c>
    </row>
    <row r="189" spans="1:6" ht="24.75" thickBot="1">
      <c r="A189" s="1530" t="s">
        <v>1540</v>
      </c>
      <c r="B189" s="1524" t="s">
        <v>2188</v>
      </c>
      <c r="C189" s="2132"/>
      <c r="D189" s="2132"/>
      <c r="E189" s="2132"/>
      <c r="F189" s="2120">
        <v>0.05</v>
      </c>
    </row>
    <row r="190" spans="1:6" ht="24.75" thickBot="1">
      <c r="A190" s="1530" t="s">
        <v>1540</v>
      </c>
      <c r="B190" s="1524" t="s">
        <v>2189</v>
      </c>
      <c r="C190" s="2132"/>
      <c r="D190" s="2132"/>
      <c r="E190" s="2132"/>
      <c r="F190" s="2120">
        <v>0.05</v>
      </c>
    </row>
    <row r="191" spans="1:6" ht="24.75" thickBot="1">
      <c r="A191" s="1530" t="s">
        <v>1540</v>
      </c>
      <c r="B191" s="1524" t="s">
        <v>2190</v>
      </c>
      <c r="C191" s="2132"/>
      <c r="D191" s="2132"/>
      <c r="E191" s="2132"/>
      <c r="F191" s="2120">
        <v>0.05</v>
      </c>
    </row>
    <row r="192" spans="1:6" ht="24.75" thickBot="1">
      <c r="A192" s="1530" t="s">
        <v>1540</v>
      </c>
      <c r="B192" s="1524" t="s">
        <v>2191</v>
      </c>
      <c r="C192" s="2132"/>
      <c r="D192" s="2132"/>
      <c r="E192" s="2132"/>
      <c r="F192" s="2120">
        <v>0.05</v>
      </c>
    </row>
    <row r="193" spans="1:6" ht="24.75" thickBot="1">
      <c r="A193" s="1530" t="s">
        <v>1540</v>
      </c>
      <c r="B193" s="1524" t="s">
        <v>2192</v>
      </c>
      <c r="C193" s="2132"/>
      <c r="D193" s="2132"/>
      <c r="E193" s="2132"/>
      <c r="F193" s="2120">
        <v>0.05</v>
      </c>
    </row>
    <row r="194" spans="1:6" ht="24.75" thickBot="1">
      <c r="A194" s="1530" t="s">
        <v>1540</v>
      </c>
      <c r="B194" s="1524" t="s">
        <v>2193</v>
      </c>
      <c r="C194" s="2132"/>
      <c r="D194" s="2132"/>
      <c r="E194" s="2132"/>
      <c r="F194" s="2120">
        <v>0.05</v>
      </c>
    </row>
    <row r="195" spans="1:6" ht="14.25" thickBot="1">
      <c r="A195" s="1530" t="s">
        <v>1540</v>
      </c>
      <c r="B195" s="1524" t="s">
        <v>2194</v>
      </c>
      <c r="C195" s="2132"/>
      <c r="D195" s="2132"/>
      <c r="E195" s="2132"/>
      <c r="F195" s="2120">
        <v>0.05</v>
      </c>
    </row>
    <row r="196" spans="1:6" ht="24.75" thickBot="1">
      <c r="A196" s="1530" t="s">
        <v>1540</v>
      </c>
      <c r="B196" s="1524" t="s">
        <v>2195</v>
      </c>
      <c r="C196" s="2132"/>
      <c r="D196" s="2132"/>
      <c r="E196" s="2132"/>
      <c r="F196" s="2120">
        <v>0.05</v>
      </c>
    </row>
    <row r="197" spans="1:6" ht="24.75" thickBot="1">
      <c r="A197" s="1530" t="s">
        <v>1540</v>
      </c>
      <c r="B197" s="1524" t="s">
        <v>2196</v>
      </c>
      <c r="C197" s="2132"/>
      <c r="D197" s="2132"/>
      <c r="E197" s="2132"/>
      <c r="F197" s="2120">
        <v>0.05</v>
      </c>
    </row>
    <row r="198" spans="1:6" ht="24.75" thickBot="1">
      <c r="A198" s="1530" t="s">
        <v>1540</v>
      </c>
      <c r="B198" s="1524" t="s">
        <v>2197</v>
      </c>
      <c r="C198" s="2132"/>
      <c r="D198" s="2132"/>
      <c r="E198" s="2132"/>
      <c r="F198" s="2120">
        <v>0.05</v>
      </c>
    </row>
    <row r="199" spans="1:6" ht="24.75" thickBot="1">
      <c r="A199" s="1530" t="s">
        <v>1540</v>
      </c>
      <c r="B199" s="1524" t="s">
        <v>2198</v>
      </c>
      <c r="C199" s="2132"/>
      <c r="D199" s="2132"/>
      <c r="E199" s="2132"/>
      <c r="F199" s="2120">
        <v>0.05</v>
      </c>
    </row>
    <row r="200" spans="1:6" ht="24.75" thickBot="1">
      <c r="A200" s="1530" t="s">
        <v>1540</v>
      </c>
      <c r="B200" s="1524" t="s">
        <v>2199</v>
      </c>
      <c r="C200" s="2132"/>
      <c r="D200" s="2132"/>
      <c r="E200" s="2132"/>
      <c r="F200" s="2120">
        <v>0.05</v>
      </c>
    </row>
    <row r="201" spans="1:6" ht="24.75" thickBot="1">
      <c r="A201" s="1530" t="s">
        <v>1540</v>
      </c>
      <c r="B201" s="1524" t="s">
        <v>2200</v>
      </c>
      <c r="C201" s="2132"/>
      <c r="D201" s="2132"/>
      <c r="E201" s="2132"/>
      <c r="F201" s="2120">
        <v>0.05</v>
      </c>
    </row>
    <row r="202" spans="1:6" ht="24.75" thickBot="1">
      <c r="A202" s="1530" t="s">
        <v>1540</v>
      </c>
      <c r="B202" s="1524" t="s">
        <v>2201</v>
      </c>
      <c r="C202" s="2132"/>
      <c r="D202" s="2132"/>
      <c r="E202" s="2132"/>
      <c r="F202" s="2120">
        <v>0.05</v>
      </c>
    </row>
    <row r="203" spans="1:6" ht="24.75" thickBot="1">
      <c r="A203" s="1530" t="s">
        <v>1540</v>
      </c>
      <c r="B203" s="1524" t="s">
        <v>2202</v>
      </c>
      <c r="C203" s="2132"/>
      <c r="D203" s="2132"/>
      <c r="E203" s="2132"/>
      <c r="F203" s="2120">
        <v>0.05</v>
      </c>
    </row>
    <row r="204" spans="1:6" ht="14.25" thickBot="1">
      <c r="A204" s="1530" t="s">
        <v>1540</v>
      </c>
      <c r="B204" s="1524" t="s">
        <v>2203</v>
      </c>
      <c r="C204" s="2132"/>
      <c r="D204" s="2132"/>
      <c r="E204" s="2132"/>
      <c r="F204" s="2120">
        <v>0.05</v>
      </c>
    </row>
    <row r="205" spans="1:6" ht="14.25" thickBot="1">
      <c r="A205" s="1540" t="s">
        <v>1540</v>
      </c>
      <c r="B205" s="1536" t="s">
        <v>2204</v>
      </c>
      <c r="C205" s="2129"/>
      <c r="D205" s="2129"/>
      <c r="E205" s="2129"/>
      <c r="F205" s="2122">
        <v>0.05</v>
      </c>
    </row>
    <row r="206" spans="1:6" ht="14.25" thickBot="1">
      <c r="A206" s="1530" t="s">
        <v>1542</v>
      </c>
      <c r="B206" s="1531" t="s">
        <v>2205</v>
      </c>
      <c r="C206" s="2117">
        <v>0.15</v>
      </c>
      <c r="D206" s="2117">
        <v>0.15</v>
      </c>
      <c r="E206" s="2117">
        <v>0.15</v>
      </c>
      <c r="F206" s="2118">
        <v>0.15</v>
      </c>
    </row>
    <row r="207" spans="1:6" ht="14.25" thickBot="1">
      <c r="A207" s="1530" t="s">
        <v>1542</v>
      </c>
      <c r="B207" s="1524" t="s">
        <v>1208</v>
      </c>
      <c r="C207" s="2119">
        <v>0.15</v>
      </c>
      <c r="D207" s="2119">
        <v>0.15</v>
      </c>
      <c r="E207" s="2119">
        <v>0.15</v>
      </c>
      <c r="F207" s="2120">
        <v>0.14399999999999999</v>
      </c>
    </row>
    <row r="208" spans="1:6" ht="14.25" thickBot="1">
      <c r="A208" s="1530" t="s">
        <v>1542</v>
      </c>
      <c r="B208" s="1524" t="s">
        <v>1221</v>
      </c>
      <c r="C208" s="2119">
        <v>0.15</v>
      </c>
      <c r="D208" s="2119">
        <v>0.15</v>
      </c>
      <c r="E208" s="2119">
        <v>0.15</v>
      </c>
      <c r="F208" s="2120">
        <v>0.15</v>
      </c>
    </row>
    <row r="209" spans="1:6" ht="14.25" thickBot="1">
      <c r="A209" s="1530" t="s">
        <v>1542</v>
      </c>
      <c r="B209" s="1524" t="s">
        <v>1234</v>
      </c>
      <c r="C209" s="2119">
        <v>0.13700000000000001</v>
      </c>
      <c r="D209" s="2119">
        <v>0.13700000000000001</v>
      </c>
      <c r="E209" s="2119">
        <v>0.14000000000000001</v>
      </c>
      <c r="F209" s="2120">
        <v>0.11700000000000001</v>
      </c>
    </row>
    <row r="210" spans="1:6" ht="14.25" thickBot="1">
      <c r="A210" s="1530" t="s">
        <v>1542</v>
      </c>
      <c r="B210" s="1524" t="s">
        <v>2206</v>
      </c>
      <c r="C210" s="2119">
        <v>0.15</v>
      </c>
      <c r="D210" s="2119">
        <v>0.15</v>
      </c>
      <c r="E210" s="2119">
        <v>0.15</v>
      </c>
      <c r="F210" s="2120">
        <v>0.13800000000000001</v>
      </c>
    </row>
    <row r="211" spans="1:6" ht="14.25" thickBot="1">
      <c r="A211" s="1530" t="s">
        <v>1542</v>
      </c>
      <c r="B211" s="1524" t="s">
        <v>2207</v>
      </c>
      <c r="C211" s="2119">
        <v>0.13700000000000001</v>
      </c>
      <c r="D211" s="2119">
        <v>0.13500000000000001</v>
      </c>
      <c r="E211" s="2119">
        <v>0.13600000000000001</v>
      </c>
      <c r="F211" s="2120">
        <v>0.1</v>
      </c>
    </row>
    <row r="212" spans="1:6" ht="14.25" thickBot="1">
      <c r="A212" s="1530" t="s">
        <v>1542</v>
      </c>
      <c r="B212" s="1524" t="s">
        <v>2208</v>
      </c>
      <c r="C212" s="2119">
        <v>0.15</v>
      </c>
      <c r="D212" s="2119">
        <v>0.15</v>
      </c>
      <c r="E212" s="2119">
        <v>0.14799999999999999</v>
      </c>
      <c r="F212" s="2120">
        <v>0.13600000000000001</v>
      </c>
    </row>
    <row r="213" spans="1:6" ht="14.25" thickBot="1">
      <c r="A213" s="1530" t="s">
        <v>1542</v>
      </c>
      <c r="B213" s="1524" t="s">
        <v>1279</v>
      </c>
      <c r="C213" s="2119">
        <v>0.15</v>
      </c>
      <c r="D213" s="2119">
        <v>0.15</v>
      </c>
      <c r="E213" s="2119">
        <v>0.15</v>
      </c>
      <c r="F213" s="2120">
        <v>0.13800000000000001</v>
      </c>
    </row>
    <row r="214" spans="1:6" ht="14.25" thickBot="1">
      <c r="A214" s="1530" t="s">
        <v>1542</v>
      </c>
      <c r="B214" s="1524" t="s">
        <v>1291</v>
      </c>
      <c r="C214" s="2119">
        <v>9.0999999999999998E-2</v>
      </c>
      <c r="D214" s="2119">
        <v>0.09</v>
      </c>
      <c r="E214" s="2119">
        <v>9.1999999999999998E-2</v>
      </c>
      <c r="F214" s="2131"/>
    </row>
    <row r="215" spans="1:6" ht="14.25" thickBot="1">
      <c r="A215" s="1530" t="s">
        <v>1542</v>
      </c>
      <c r="B215" s="1524" t="s">
        <v>2209</v>
      </c>
      <c r="C215" s="2119">
        <v>0.15</v>
      </c>
      <c r="D215" s="2119">
        <v>0.15</v>
      </c>
      <c r="E215" s="2119">
        <v>0.15</v>
      </c>
      <c r="F215" s="2120">
        <v>0.15</v>
      </c>
    </row>
    <row r="216" spans="1:6" ht="14.25" thickBot="1">
      <c r="A216" s="1530" t="s">
        <v>1542</v>
      </c>
      <c r="B216" s="1524" t="s">
        <v>1311</v>
      </c>
      <c r="C216" s="2119">
        <v>0.14699999999999999</v>
      </c>
      <c r="D216" s="2119">
        <v>0.14699999999999999</v>
      </c>
      <c r="E216" s="2119">
        <v>0.15</v>
      </c>
      <c r="F216" s="2120">
        <v>0.14000000000000001</v>
      </c>
    </row>
    <row r="217" spans="1:6" ht="14.25" thickBot="1">
      <c r="A217" s="1530" t="s">
        <v>1542</v>
      </c>
      <c r="B217" s="1524" t="s">
        <v>1321</v>
      </c>
      <c r="C217" s="2119">
        <v>0.15</v>
      </c>
      <c r="D217" s="2119">
        <v>0.15</v>
      </c>
      <c r="E217" s="2119">
        <v>0.15</v>
      </c>
      <c r="F217" s="2120">
        <v>0.15</v>
      </c>
    </row>
    <row r="218" spans="1:6" ht="14.25" thickBot="1">
      <c r="A218" s="1530" t="s">
        <v>1542</v>
      </c>
      <c r="B218" s="1524" t="s">
        <v>2210</v>
      </c>
      <c r="C218" s="2119">
        <v>0.15</v>
      </c>
      <c r="D218" s="2119">
        <v>0.15</v>
      </c>
      <c r="E218" s="2119">
        <v>0.15</v>
      </c>
      <c r="F218" s="2120">
        <v>0.15</v>
      </c>
    </row>
    <row r="219" spans="1:6" ht="14.25" thickBot="1">
      <c r="A219" s="1530" t="s">
        <v>1542</v>
      </c>
      <c r="B219" s="1524" t="s">
        <v>1342</v>
      </c>
      <c r="C219" s="2119">
        <v>0.15</v>
      </c>
      <c r="D219" s="2119">
        <v>0.15</v>
      </c>
      <c r="E219" s="2119">
        <v>0.15</v>
      </c>
      <c r="F219" s="2120">
        <v>0.14799999999999999</v>
      </c>
    </row>
    <row r="220" spans="1:6" ht="14.25" thickBot="1">
      <c r="A220" s="1530" t="s">
        <v>1542</v>
      </c>
      <c r="B220" s="1524" t="s">
        <v>2211</v>
      </c>
      <c r="C220" s="2119">
        <v>0.15</v>
      </c>
      <c r="D220" s="2119">
        <v>0.15</v>
      </c>
      <c r="E220" s="2119">
        <v>0.15</v>
      </c>
      <c r="F220" s="2120">
        <v>0.15</v>
      </c>
    </row>
    <row r="221" spans="1:6" ht="14.25" thickBot="1">
      <c r="A221" s="1530" t="s">
        <v>1542</v>
      </c>
      <c r="B221" s="1524" t="s">
        <v>1363</v>
      </c>
      <c r="C221" s="2119"/>
      <c r="D221" s="2132"/>
      <c r="E221" s="2132"/>
      <c r="F221" s="2120">
        <v>0.14799999999999999</v>
      </c>
    </row>
    <row r="222" spans="1:6" ht="14.25" thickBot="1">
      <c r="A222" s="1530" t="s">
        <v>1542</v>
      </c>
      <c r="B222" s="1524" t="s">
        <v>1373</v>
      </c>
      <c r="C222" s="2119"/>
      <c r="D222" s="2132"/>
      <c r="E222" s="2132"/>
      <c r="F222" s="2120">
        <v>0.1</v>
      </c>
    </row>
    <row r="223" spans="1:6" ht="14.25" thickBot="1">
      <c r="A223" s="1530" t="s">
        <v>1542</v>
      </c>
      <c r="B223" s="1524" t="s">
        <v>1383</v>
      </c>
      <c r="C223" s="2119"/>
      <c r="D223" s="2132"/>
      <c r="E223" s="2132"/>
      <c r="F223" s="2120">
        <v>0.15</v>
      </c>
    </row>
    <row r="224" spans="1:6" ht="14.25" thickBot="1">
      <c r="A224" s="1530" t="s">
        <v>1542</v>
      </c>
      <c r="B224" s="1524" t="s">
        <v>1393</v>
      </c>
      <c r="C224" s="2119"/>
      <c r="D224" s="2132"/>
      <c r="E224" s="2132"/>
      <c r="F224" s="2120">
        <v>0.15</v>
      </c>
    </row>
    <row r="225" spans="1:6" ht="14.25" thickBot="1">
      <c r="A225" s="1530" t="s">
        <v>1542</v>
      </c>
      <c r="B225" s="1524" t="s">
        <v>2212</v>
      </c>
      <c r="C225" s="2119">
        <v>0.15</v>
      </c>
      <c r="D225" s="2119">
        <v>0.15</v>
      </c>
      <c r="E225" s="2119">
        <v>0.15</v>
      </c>
      <c r="F225" s="2120">
        <v>0.15</v>
      </c>
    </row>
    <row r="226" spans="1:6" ht="14.25" thickBot="1">
      <c r="A226" s="1530" t="s">
        <v>1542</v>
      </c>
      <c r="B226" s="1524" t="s">
        <v>1411</v>
      </c>
      <c r="C226" s="2119">
        <v>0.15</v>
      </c>
      <c r="D226" s="2119">
        <v>0.15</v>
      </c>
      <c r="E226" s="2119">
        <v>0.15</v>
      </c>
      <c r="F226" s="2120">
        <v>0.14799999999999999</v>
      </c>
    </row>
    <row r="227" spans="1:6" ht="14.25" thickBot="1">
      <c r="A227" s="1530" t="s">
        <v>1542</v>
      </c>
      <c r="B227" s="1524" t="s">
        <v>2213</v>
      </c>
      <c r="C227" s="2119">
        <v>0.15</v>
      </c>
      <c r="D227" s="2119">
        <v>0.15</v>
      </c>
      <c r="E227" s="2119">
        <v>0.15</v>
      </c>
      <c r="F227" s="2120">
        <v>0.15</v>
      </c>
    </row>
    <row r="228" spans="1:6" ht="14.25" thickBot="1">
      <c r="A228" s="1530" t="s">
        <v>1542</v>
      </c>
      <c r="B228" s="1524" t="s">
        <v>1426</v>
      </c>
      <c r="C228" s="2119">
        <v>0.15</v>
      </c>
      <c r="D228" s="2119">
        <v>0.15</v>
      </c>
      <c r="E228" s="2119">
        <v>0.15</v>
      </c>
      <c r="F228" s="2120">
        <v>0.15</v>
      </c>
    </row>
    <row r="229" spans="1:6" ht="14.25" thickBot="1">
      <c r="A229" s="1530" t="s">
        <v>1542</v>
      </c>
      <c r="B229" s="1524" t="s">
        <v>1433</v>
      </c>
      <c r="C229" s="2119">
        <v>0.15</v>
      </c>
      <c r="D229" s="2119">
        <v>0.15</v>
      </c>
      <c r="E229" s="2119">
        <v>0.15</v>
      </c>
      <c r="F229" s="2131"/>
    </row>
    <row r="230" spans="1:6" ht="14.25" thickBot="1">
      <c r="A230" s="1530" t="s">
        <v>1542</v>
      </c>
      <c r="B230" s="1524" t="s">
        <v>1440</v>
      </c>
      <c r="C230" s="2119">
        <v>0.14499999999999999</v>
      </c>
      <c r="D230" s="2119">
        <v>0.14499999999999999</v>
      </c>
      <c r="E230" s="2119">
        <v>0.14399999999999999</v>
      </c>
      <c r="F230" s="2131"/>
    </row>
    <row r="231" spans="1:6" ht="14.25" thickBot="1">
      <c r="A231" s="1530" t="s">
        <v>1542</v>
      </c>
      <c r="B231" s="1524" t="s">
        <v>2214</v>
      </c>
      <c r="C231" s="2119">
        <v>0.128</v>
      </c>
      <c r="D231" s="2119">
        <v>0.125</v>
      </c>
      <c r="E231" s="2119">
        <v>0.13200000000000001</v>
      </c>
      <c r="F231" s="2131"/>
    </row>
    <row r="232" spans="1:6" ht="14.25" thickBot="1">
      <c r="A232" s="1530" t="s">
        <v>1542</v>
      </c>
      <c r="B232" s="1524" t="s">
        <v>2215</v>
      </c>
      <c r="C232" s="2119">
        <v>0.14499999999999999</v>
      </c>
      <c r="D232" s="2119">
        <v>0.14399999999999999</v>
      </c>
      <c r="E232" s="2119">
        <v>0.14599999999999999</v>
      </c>
      <c r="F232" s="2120">
        <v>0.13800000000000001</v>
      </c>
    </row>
    <row r="233" spans="1:6" ht="14.25" thickBot="1">
      <c r="A233" s="1530" t="s">
        <v>1542</v>
      </c>
      <c r="B233" s="1524" t="s">
        <v>2216</v>
      </c>
      <c r="C233" s="2119">
        <v>0.14499999999999999</v>
      </c>
      <c r="D233" s="2119">
        <v>0.14299999999999999</v>
      </c>
      <c r="E233" s="2119">
        <v>0.14199999999999999</v>
      </c>
      <c r="F233" s="2131"/>
    </row>
    <row r="234" spans="1:6" ht="14.25" thickBot="1">
      <c r="A234" s="1530" t="s">
        <v>1542</v>
      </c>
      <c r="B234" s="1524" t="s">
        <v>2217</v>
      </c>
      <c r="C234" s="2119">
        <v>0.14000000000000001</v>
      </c>
      <c r="D234" s="2119">
        <v>0.14000000000000001</v>
      </c>
      <c r="E234" s="2119">
        <v>0.14399999999999999</v>
      </c>
      <c r="F234" s="2131"/>
    </row>
    <row r="235" spans="1:6" ht="14.25" thickBot="1">
      <c r="A235" s="1530" t="s">
        <v>1542</v>
      </c>
      <c r="B235" s="1524" t="s">
        <v>2218</v>
      </c>
      <c r="C235" s="2119">
        <v>0.14099999999999999</v>
      </c>
      <c r="D235" s="2119">
        <v>0.14199999999999999</v>
      </c>
      <c r="E235" s="2119">
        <v>0.14499999999999999</v>
      </c>
      <c r="F235" s="2120">
        <v>0.15</v>
      </c>
    </row>
    <row r="236" spans="1:6" ht="14.25" thickBot="1">
      <c r="A236" s="1530" t="s">
        <v>1542</v>
      </c>
      <c r="B236" s="1524" t="s">
        <v>1475</v>
      </c>
      <c r="C236" s="2132"/>
      <c r="D236" s="2132"/>
      <c r="E236" s="2132"/>
      <c r="F236" s="2120">
        <v>0.14299999999999999</v>
      </c>
    </row>
    <row r="237" spans="1:6" ht="24.75" thickBot="1">
      <c r="A237" s="1530" t="s">
        <v>1542</v>
      </c>
      <c r="B237" s="1524" t="s">
        <v>2219</v>
      </c>
      <c r="C237" s="2132"/>
      <c r="D237" s="2132"/>
      <c r="E237" s="2132"/>
      <c r="F237" s="2120">
        <v>0.05</v>
      </c>
    </row>
    <row r="238" spans="1:6" ht="24.75" thickBot="1">
      <c r="A238" s="1530" t="s">
        <v>1542</v>
      </c>
      <c r="B238" s="1524" t="s">
        <v>2220</v>
      </c>
      <c r="C238" s="2132"/>
      <c r="D238" s="2132"/>
      <c r="E238" s="2132"/>
      <c r="F238" s="2120">
        <v>0.05</v>
      </c>
    </row>
    <row r="239" spans="1:6" ht="24.75" thickBot="1">
      <c r="A239" s="1530" t="s">
        <v>1542</v>
      </c>
      <c r="B239" s="1524" t="s">
        <v>2221</v>
      </c>
      <c r="C239" s="2132"/>
      <c r="D239" s="2132"/>
      <c r="E239" s="2132"/>
      <c r="F239" s="2120">
        <v>0.05</v>
      </c>
    </row>
    <row r="240" spans="1:6" ht="24.75" thickBot="1">
      <c r="A240" s="1530" t="s">
        <v>1542</v>
      </c>
      <c r="B240" s="1524" t="s">
        <v>2222</v>
      </c>
      <c r="C240" s="2132"/>
      <c r="D240" s="2132"/>
      <c r="E240" s="2132"/>
      <c r="F240" s="2120">
        <v>0.05</v>
      </c>
    </row>
    <row r="241" spans="1:6" ht="24.75" thickBot="1">
      <c r="A241" s="1530" t="s">
        <v>1542</v>
      </c>
      <c r="B241" s="1524" t="s">
        <v>2223</v>
      </c>
      <c r="C241" s="2132"/>
      <c r="D241" s="2132"/>
      <c r="E241" s="2132"/>
      <c r="F241" s="2120">
        <v>0.05</v>
      </c>
    </row>
    <row r="242" spans="1:6" ht="24.75" thickBot="1">
      <c r="A242" s="1530" t="s">
        <v>1542</v>
      </c>
      <c r="B242" s="1524" t="s">
        <v>2224</v>
      </c>
      <c r="C242" s="2132"/>
      <c r="D242" s="2132"/>
      <c r="E242" s="2132"/>
      <c r="F242" s="2120">
        <v>0.05</v>
      </c>
    </row>
    <row r="243" spans="1:6" ht="24.75" thickBot="1">
      <c r="A243" s="1530" t="s">
        <v>1542</v>
      </c>
      <c r="B243" s="1524" t="s">
        <v>2225</v>
      </c>
      <c r="C243" s="2132"/>
      <c r="D243" s="2132"/>
      <c r="E243" s="2132"/>
      <c r="F243" s="2120">
        <v>0.05</v>
      </c>
    </row>
    <row r="244" spans="1:6" ht="24.75" thickBot="1">
      <c r="A244" s="1540" t="s">
        <v>1542</v>
      </c>
      <c r="B244" s="1536" t="s">
        <v>2226</v>
      </c>
      <c r="C244" s="2129"/>
      <c r="D244" s="2129"/>
      <c r="E244" s="2129"/>
      <c r="F244" s="2122">
        <v>0.05</v>
      </c>
    </row>
    <row r="245" spans="1:6" ht="14.25" thickBot="1">
      <c r="A245" s="1530" t="s">
        <v>1544</v>
      </c>
      <c r="B245" s="1531" t="s">
        <v>2227</v>
      </c>
      <c r="C245" s="2117">
        <v>0.15</v>
      </c>
      <c r="D245" s="2117">
        <v>0.15</v>
      </c>
      <c r="E245" s="2117">
        <v>0.15</v>
      </c>
      <c r="F245" s="2118">
        <v>0.14299999999999999</v>
      </c>
    </row>
    <row r="246" spans="1:6" ht="14.25" thickBot="1">
      <c r="A246" s="1530" t="s">
        <v>1544</v>
      </c>
      <c r="B246" s="1524" t="s">
        <v>1209</v>
      </c>
      <c r="C246" s="2119">
        <v>0.15</v>
      </c>
      <c r="D246" s="2119">
        <v>0.15</v>
      </c>
      <c r="E246" s="2119">
        <v>0.15</v>
      </c>
      <c r="F246" s="2120">
        <v>0.114</v>
      </c>
    </row>
    <row r="247" spans="1:6" ht="14.25" thickBot="1">
      <c r="A247" s="1530" t="s">
        <v>1544</v>
      </c>
      <c r="B247" s="1524" t="s">
        <v>2228</v>
      </c>
      <c r="C247" s="2119">
        <v>0.15</v>
      </c>
      <c r="D247" s="2119">
        <v>0.15</v>
      </c>
      <c r="E247" s="2119">
        <v>0.15</v>
      </c>
      <c r="F247" s="2120">
        <v>0.15</v>
      </c>
    </row>
    <row r="248" spans="1:6" ht="14.25" thickBot="1">
      <c r="A248" s="1530" t="s">
        <v>1544</v>
      </c>
      <c r="B248" s="1524" t="s">
        <v>2229</v>
      </c>
      <c r="C248" s="2119">
        <v>0.15</v>
      </c>
      <c r="D248" s="2119">
        <v>0.15</v>
      </c>
      <c r="E248" s="2119">
        <v>0.15</v>
      </c>
      <c r="F248" s="2120">
        <v>0.14000000000000001</v>
      </c>
    </row>
    <row r="249" spans="1:6" ht="14.25" thickBot="1">
      <c r="A249" s="1530" t="s">
        <v>1544</v>
      </c>
      <c r="B249" s="1524" t="s">
        <v>2230</v>
      </c>
      <c r="C249" s="2119">
        <v>0.15</v>
      </c>
      <c r="D249" s="2119">
        <v>0.14899999999999999</v>
      </c>
      <c r="E249" s="2119">
        <v>0.15</v>
      </c>
      <c r="F249" s="2120">
        <v>0.1</v>
      </c>
    </row>
    <row r="250" spans="1:6" ht="14.25" thickBot="1">
      <c r="A250" s="1530" t="s">
        <v>1544</v>
      </c>
      <c r="B250" s="1524" t="s">
        <v>2231</v>
      </c>
      <c r="C250" s="2119">
        <v>0.15</v>
      </c>
      <c r="D250" s="2119">
        <v>0.15</v>
      </c>
      <c r="E250" s="2119">
        <v>0.15</v>
      </c>
      <c r="F250" s="2120">
        <v>0.14399999999999999</v>
      </c>
    </row>
    <row r="251" spans="1:6" ht="14.25" thickBot="1">
      <c r="A251" s="1530" t="s">
        <v>1544</v>
      </c>
      <c r="B251" s="1524" t="s">
        <v>1269</v>
      </c>
      <c r="C251" s="2119">
        <v>0.15</v>
      </c>
      <c r="D251" s="2119">
        <v>0.15</v>
      </c>
      <c r="E251" s="2119">
        <v>0.15</v>
      </c>
      <c r="F251" s="2120">
        <v>0.14299999999999999</v>
      </c>
    </row>
    <row r="252" spans="1:6" ht="14.25" thickBot="1">
      <c r="A252" s="1530" t="s">
        <v>1544</v>
      </c>
      <c r="B252" s="1524" t="s">
        <v>1280</v>
      </c>
      <c r="C252" s="2119">
        <v>0.15</v>
      </c>
      <c r="D252" s="2119">
        <v>0.15</v>
      </c>
      <c r="E252" s="2119">
        <v>0.15</v>
      </c>
      <c r="F252" s="2120">
        <v>0.1</v>
      </c>
    </row>
    <row r="253" spans="1:6" ht="14.25" thickBot="1">
      <c r="A253" s="1530" t="s">
        <v>1544</v>
      </c>
      <c r="B253" s="1524" t="s">
        <v>1292</v>
      </c>
      <c r="C253" s="2119">
        <v>0.15</v>
      </c>
      <c r="D253" s="2119">
        <v>0.15</v>
      </c>
      <c r="E253" s="2119">
        <v>0.15</v>
      </c>
      <c r="F253" s="2120">
        <v>0.1</v>
      </c>
    </row>
    <row r="254" spans="1:6" ht="14.25" thickBot="1">
      <c r="A254" s="1530" t="s">
        <v>1544</v>
      </c>
      <c r="B254" s="1524" t="s">
        <v>1302</v>
      </c>
      <c r="C254" s="2132"/>
      <c r="D254" s="2132"/>
      <c r="E254" s="2132"/>
      <c r="F254" s="2120">
        <v>0.15</v>
      </c>
    </row>
    <row r="255" spans="1:6" ht="14.25" thickBot="1">
      <c r="A255" s="1530" t="s">
        <v>1544</v>
      </c>
      <c r="B255" s="1524" t="s">
        <v>1312</v>
      </c>
      <c r="C255" s="2132"/>
      <c r="D255" s="2132"/>
      <c r="E255" s="2132"/>
      <c r="F255" s="2120">
        <v>0.14299999999999999</v>
      </c>
    </row>
    <row r="256" spans="1:6" ht="14.25" thickBot="1">
      <c r="A256" s="1530" t="s">
        <v>1544</v>
      </c>
      <c r="B256" s="1524" t="s">
        <v>2232</v>
      </c>
      <c r="C256" s="2119">
        <v>0.14599999999999999</v>
      </c>
      <c r="D256" s="2119">
        <v>0.14699999999999999</v>
      </c>
      <c r="E256" s="2119">
        <v>0.15</v>
      </c>
      <c r="F256" s="2120">
        <v>0.13200000000000001</v>
      </c>
    </row>
    <row r="257" spans="1:6" ht="14.25" thickBot="1">
      <c r="A257" s="1530" t="s">
        <v>1544</v>
      </c>
      <c r="B257" s="1524" t="s">
        <v>1332</v>
      </c>
      <c r="C257" s="2119">
        <v>0.15</v>
      </c>
      <c r="D257" s="2119">
        <v>0.15</v>
      </c>
      <c r="E257" s="2119">
        <v>0.15</v>
      </c>
      <c r="F257" s="2120">
        <v>0.13900000000000001</v>
      </c>
    </row>
    <row r="258" spans="1:6" ht="14.25" thickBot="1">
      <c r="A258" s="1530" t="s">
        <v>1544</v>
      </c>
      <c r="B258" s="1524" t="s">
        <v>1343</v>
      </c>
      <c r="C258" s="2119">
        <v>0.15</v>
      </c>
      <c r="D258" s="2119">
        <v>0.15</v>
      </c>
      <c r="E258" s="2119">
        <v>0.15</v>
      </c>
      <c r="F258" s="2120">
        <v>0.13</v>
      </c>
    </row>
    <row r="259" spans="1:6" ht="14.25" thickBot="1">
      <c r="A259" s="1530" t="s">
        <v>1544</v>
      </c>
      <c r="B259" s="1524" t="s">
        <v>2233</v>
      </c>
      <c r="C259" s="2119">
        <v>0.14799999999999999</v>
      </c>
      <c r="D259" s="2119">
        <v>0.14899999999999999</v>
      </c>
      <c r="E259" s="2119">
        <v>0.15</v>
      </c>
      <c r="F259" s="2120">
        <v>0.13700000000000001</v>
      </c>
    </row>
    <row r="260" spans="1:6" ht="14.25" thickBot="1">
      <c r="A260" s="1530" t="s">
        <v>1544</v>
      </c>
      <c r="B260" s="1524" t="s">
        <v>1364</v>
      </c>
      <c r="C260" s="2119">
        <v>0.15</v>
      </c>
      <c r="D260" s="2119">
        <v>0.15</v>
      </c>
      <c r="E260" s="2119">
        <v>0.15</v>
      </c>
      <c r="F260" s="2120">
        <v>0.14199999999999999</v>
      </c>
    </row>
    <row r="261" spans="1:6" ht="14.25" thickBot="1">
      <c r="A261" s="1530" t="s">
        <v>1544</v>
      </c>
      <c r="B261" s="1524" t="s">
        <v>1374</v>
      </c>
      <c r="C261" s="2119">
        <v>0.15</v>
      </c>
      <c r="D261" s="2119">
        <v>0.15</v>
      </c>
      <c r="E261" s="2119">
        <v>0.14899999999999999</v>
      </c>
      <c r="F261" s="2120">
        <v>0.14799999999999999</v>
      </c>
    </row>
    <row r="262" spans="1:6" ht="14.25" thickBot="1">
      <c r="A262" s="1530" t="s">
        <v>1544</v>
      </c>
      <c r="B262" s="1524" t="s">
        <v>1384</v>
      </c>
      <c r="C262" s="2119">
        <v>0.15</v>
      </c>
      <c r="D262" s="2119">
        <v>0.15</v>
      </c>
      <c r="E262" s="2119">
        <v>0.15</v>
      </c>
      <c r="F262" s="2131"/>
    </row>
    <row r="263" spans="1:6" ht="14.25" thickBot="1">
      <c r="A263" s="1530" t="s">
        <v>1544</v>
      </c>
      <c r="B263" s="1524" t="s">
        <v>2234</v>
      </c>
      <c r="C263" s="2119">
        <v>0.14899999999999999</v>
      </c>
      <c r="D263" s="2119">
        <v>0.14899999999999999</v>
      </c>
      <c r="E263" s="2119">
        <v>0.15</v>
      </c>
      <c r="F263" s="2120">
        <v>0.13</v>
      </c>
    </row>
    <row r="264" spans="1:6" ht="14.25" thickBot="1">
      <c r="A264" s="1530" t="s">
        <v>1544</v>
      </c>
      <c r="B264" s="1524" t="s">
        <v>1403</v>
      </c>
      <c r="C264" s="2119">
        <v>0.14799999999999999</v>
      </c>
      <c r="D264" s="2119">
        <v>0.14699999999999999</v>
      </c>
      <c r="E264" s="2119">
        <v>0.15</v>
      </c>
      <c r="F264" s="2120">
        <v>7.8E-2</v>
      </c>
    </row>
    <row r="265" spans="1:6" ht="14.25" thickBot="1">
      <c r="A265" s="1530" t="s">
        <v>1544</v>
      </c>
      <c r="B265" s="1524" t="s">
        <v>1412</v>
      </c>
      <c r="C265" s="2119">
        <v>0.15</v>
      </c>
      <c r="D265" s="2119">
        <v>0.15</v>
      </c>
      <c r="E265" s="2119">
        <v>0.15</v>
      </c>
      <c r="F265" s="2120">
        <v>7.3999999999999996E-2</v>
      </c>
    </row>
    <row r="266" spans="1:6" ht="14.25" thickBot="1">
      <c r="A266" s="1530" t="s">
        <v>1544</v>
      </c>
      <c r="B266" s="1524" t="s">
        <v>1420</v>
      </c>
      <c r="C266" s="2119">
        <v>0.14699999999999999</v>
      </c>
      <c r="D266" s="2119">
        <v>0.14699999999999999</v>
      </c>
      <c r="E266" s="2119">
        <v>0.15</v>
      </c>
      <c r="F266" s="2120">
        <v>0.14299999999999999</v>
      </c>
    </row>
    <row r="267" spans="1:6" ht="14.25" thickBot="1">
      <c r="A267" s="1530" t="s">
        <v>1544</v>
      </c>
      <c r="B267" s="1524" t="s">
        <v>1427</v>
      </c>
      <c r="C267" s="2119">
        <v>0.14199999999999999</v>
      </c>
      <c r="D267" s="2119">
        <v>0.14299999999999999</v>
      </c>
      <c r="E267" s="2119">
        <v>0.15</v>
      </c>
      <c r="F267" s="2131"/>
    </row>
    <row r="268" spans="1:6" ht="14.25" thickBot="1">
      <c r="A268" s="1530" t="s">
        <v>1544</v>
      </c>
      <c r="B268" s="1524" t="s">
        <v>2235</v>
      </c>
      <c r="C268" s="2119">
        <v>0.15</v>
      </c>
      <c r="D268" s="2119">
        <v>0.15</v>
      </c>
      <c r="E268" s="2119">
        <v>0.15</v>
      </c>
      <c r="F268" s="2120">
        <v>0.13</v>
      </c>
    </row>
    <row r="269" spans="1:6" ht="14.25" thickBot="1">
      <c r="A269" s="1530" t="s">
        <v>1544</v>
      </c>
      <c r="B269" s="1524" t="s">
        <v>1441</v>
      </c>
      <c r="C269" s="2119">
        <v>0.15</v>
      </c>
      <c r="D269" s="2119">
        <v>0.15</v>
      </c>
      <c r="E269" s="2119">
        <v>0.15</v>
      </c>
      <c r="F269" s="2120">
        <v>0.14299999999999999</v>
      </c>
    </row>
    <row r="270" spans="1:6" ht="14.25" thickBot="1">
      <c r="A270" s="1530" t="s">
        <v>1544</v>
      </c>
      <c r="B270" s="1524" t="s">
        <v>1448</v>
      </c>
      <c r="C270" s="2119">
        <v>0.14499999999999999</v>
      </c>
      <c r="D270" s="2119">
        <v>0.14499999999999999</v>
      </c>
      <c r="E270" s="2119">
        <v>0.15</v>
      </c>
      <c r="F270" s="2120">
        <v>0.14699999999999999</v>
      </c>
    </row>
    <row r="271" spans="1:6" ht="14.25" thickBot="1">
      <c r="A271" s="1530" t="s">
        <v>1544</v>
      </c>
      <c r="B271" s="1524" t="s">
        <v>1455</v>
      </c>
      <c r="C271" s="2119">
        <v>0.15</v>
      </c>
      <c r="D271" s="2119">
        <v>0.15</v>
      </c>
      <c r="E271" s="2119">
        <v>0.15</v>
      </c>
      <c r="F271" s="2120">
        <v>0.13800000000000001</v>
      </c>
    </row>
    <row r="272" spans="1:6" ht="14.25" thickBot="1">
      <c r="A272" s="1530" t="s">
        <v>1544</v>
      </c>
      <c r="B272" s="1524" t="s">
        <v>1462</v>
      </c>
      <c r="C272" s="2132"/>
      <c r="D272" s="2132"/>
      <c r="E272" s="2132"/>
      <c r="F272" s="2120">
        <v>0.14000000000000001</v>
      </c>
    </row>
    <row r="273" spans="1:6" ht="14.25" thickBot="1">
      <c r="A273" s="1530" t="s">
        <v>1544</v>
      </c>
      <c r="B273" s="1524" t="s">
        <v>2236</v>
      </c>
      <c r="C273" s="2119">
        <v>0.14199999999999999</v>
      </c>
      <c r="D273" s="2119">
        <v>0.14299999999999999</v>
      </c>
      <c r="E273" s="2119">
        <v>0.15</v>
      </c>
      <c r="F273" s="2120">
        <v>0.1</v>
      </c>
    </row>
    <row r="274" spans="1:6" ht="14.25" thickBot="1">
      <c r="A274" s="1530" t="s">
        <v>1544</v>
      </c>
      <c r="B274" s="1524" t="s">
        <v>2237</v>
      </c>
      <c r="C274" s="2119">
        <v>0.14799999999999999</v>
      </c>
      <c r="D274" s="2119">
        <v>0.14799999999999999</v>
      </c>
      <c r="E274" s="2119">
        <v>0.15</v>
      </c>
      <c r="F274" s="2120">
        <v>6.7000000000000004E-2</v>
      </c>
    </row>
    <row r="275" spans="1:6" ht="14.25" thickBot="1">
      <c r="A275" s="1530" t="s">
        <v>1544</v>
      </c>
      <c r="B275" s="1524" t="s">
        <v>2238</v>
      </c>
      <c r="C275" s="2119">
        <v>0.15</v>
      </c>
      <c r="D275" s="2119">
        <v>0.15</v>
      </c>
      <c r="E275" s="2119">
        <v>0.15</v>
      </c>
      <c r="F275" s="2120">
        <v>0.15</v>
      </c>
    </row>
    <row r="276" spans="1:6" ht="14.25" thickBot="1">
      <c r="A276" s="1530" t="s">
        <v>1544</v>
      </c>
      <c r="B276" s="1524" t="s">
        <v>2239</v>
      </c>
      <c r="C276" s="2119">
        <v>0.14499999999999999</v>
      </c>
      <c r="D276" s="2119">
        <v>0.14299999999999999</v>
      </c>
      <c r="E276" s="2119">
        <v>0.15</v>
      </c>
      <c r="F276" s="2120">
        <v>5.8999999999999997E-2</v>
      </c>
    </row>
    <row r="277" spans="1:6" ht="14.25" thickBot="1">
      <c r="A277" s="1530" t="s">
        <v>1544</v>
      </c>
      <c r="B277" s="1524" t="s">
        <v>2240</v>
      </c>
      <c r="C277" s="2119">
        <v>0.15</v>
      </c>
      <c r="D277" s="2119">
        <v>0.15</v>
      </c>
      <c r="E277" s="2119">
        <v>0.15</v>
      </c>
      <c r="F277" s="2120">
        <v>0.121</v>
      </c>
    </row>
    <row r="278" spans="1:6" ht="14.25" thickBot="1">
      <c r="A278" s="1530" t="s">
        <v>1544</v>
      </c>
      <c r="B278" s="1524" t="s">
        <v>2241</v>
      </c>
      <c r="C278" s="2119">
        <v>0.15</v>
      </c>
      <c r="D278" s="2119">
        <v>0.15</v>
      </c>
      <c r="E278" s="2119">
        <v>0.15</v>
      </c>
      <c r="F278" s="2120">
        <v>0.13800000000000001</v>
      </c>
    </row>
    <row r="279" spans="1:6" ht="24.75" thickBot="1">
      <c r="A279" s="1530" t="s">
        <v>1544</v>
      </c>
      <c r="B279" s="1524" t="s">
        <v>2242</v>
      </c>
      <c r="C279" s="2132"/>
      <c r="D279" s="2132"/>
      <c r="E279" s="2132"/>
      <c r="F279" s="2120">
        <v>0.05</v>
      </c>
    </row>
    <row r="280" spans="1:6" ht="24.75" thickBot="1">
      <c r="A280" s="1530" t="s">
        <v>1544</v>
      </c>
      <c r="B280" s="1524" t="s">
        <v>2243</v>
      </c>
      <c r="C280" s="2132"/>
      <c r="D280" s="2132"/>
      <c r="E280" s="2132"/>
      <c r="F280" s="2120">
        <v>0.05</v>
      </c>
    </row>
    <row r="281" spans="1:6" ht="24.75" thickBot="1">
      <c r="A281" s="1530" t="s">
        <v>1544</v>
      </c>
      <c r="B281" s="1524" t="s">
        <v>2244</v>
      </c>
      <c r="C281" s="2132"/>
      <c r="D281" s="2132"/>
      <c r="E281" s="2132"/>
      <c r="F281" s="2120">
        <v>0.05</v>
      </c>
    </row>
    <row r="282" spans="1:6" ht="24.75" thickBot="1">
      <c r="A282" s="1530" t="s">
        <v>1544</v>
      </c>
      <c r="B282" s="1524" t="s">
        <v>2245</v>
      </c>
      <c r="C282" s="2132"/>
      <c r="D282" s="2132"/>
      <c r="E282" s="2132"/>
      <c r="F282" s="2120">
        <v>0.05</v>
      </c>
    </row>
    <row r="283" spans="1:6" ht="24.75" thickBot="1">
      <c r="A283" s="1530" t="s">
        <v>1544</v>
      </c>
      <c r="B283" s="1524" t="s">
        <v>2246</v>
      </c>
      <c r="C283" s="2132"/>
      <c r="D283" s="2132"/>
      <c r="E283" s="2132"/>
      <c r="F283" s="2120">
        <v>0.05</v>
      </c>
    </row>
    <row r="284" spans="1:6" ht="24.75" thickBot="1">
      <c r="A284" s="1530" t="s">
        <v>1544</v>
      </c>
      <c r="B284" s="1524" t="s">
        <v>2247</v>
      </c>
      <c r="C284" s="2132"/>
      <c r="D284" s="2132"/>
      <c r="E284" s="2132"/>
      <c r="F284" s="2120">
        <v>0.05</v>
      </c>
    </row>
    <row r="285" spans="1:6" ht="24.75" thickBot="1">
      <c r="A285" s="1530" t="s">
        <v>1544</v>
      </c>
      <c r="B285" s="1524" t="s">
        <v>2248</v>
      </c>
      <c r="C285" s="2132"/>
      <c r="D285" s="2132"/>
      <c r="E285" s="2132"/>
      <c r="F285" s="2120">
        <v>0.05</v>
      </c>
    </row>
    <row r="286" spans="1:6" ht="24.75" thickBot="1">
      <c r="A286" s="1530" t="s">
        <v>1544</v>
      </c>
      <c r="B286" s="1524" t="s">
        <v>2249</v>
      </c>
      <c r="C286" s="2132"/>
      <c r="D286" s="2132"/>
      <c r="E286" s="2132"/>
      <c r="F286" s="2120">
        <v>0.05</v>
      </c>
    </row>
    <row r="287" spans="1:6" ht="24.75" thickBot="1">
      <c r="A287" s="1530" t="s">
        <v>1544</v>
      </c>
      <c r="B287" s="1524" t="s">
        <v>2250</v>
      </c>
      <c r="C287" s="2132"/>
      <c r="D287" s="2132"/>
      <c r="E287" s="2132"/>
      <c r="F287" s="2120">
        <v>0.05</v>
      </c>
    </row>
    <row r="288" spans="1:6" ht="24.75" thickBot="1">
      <c r="A288" s="1530" t="s">
        <v>1544</v>
      </c>
      <c r="B288" s="1524" t="s">
        <v>2251</v>
      </c>
      <c r="C288" s="2132"/>
      <c r="D288" s="2132"/>
      <c r="E288" s="2132"/>
      <c r="F288" s="2120">
        <v>0.05</v>
      </c>
    </row>
    <row r="289" spans="1:6" ht="24.75" thickBot="1">
      <c r="A289" s="1540" t="s">
        <v>1544</v>
      </c>
      <c r="B289" s="1536" t="s">
        <v>2252</v>
      </c>
      <c r="C289" s="2129"/>
      <c r="D289" s="2129"/>
      <c r="E289" s="2129"/>
      <c r="F289" s="2122">
        <v>0.05</v>
      </c>
    </row>
    <row r="290" spans="1:6" ht="14.25" thickBot="1">
      <c r="A290" s="1530" t="s">
        <v>1548</v>
      </c>
      <c r="B290" s="1531" t="s">
        <v>2253</v>
      </c>
      <c r="C290" s="2117">
        <v>0.15</v>
      </c>
      <c r="D290" s="2117">
        <v>0.15</v>
      </c>
      <c r="E290" s="2117">
        <v>0.15</v>
      </c>
      <c r="F290" s="2134"/>
    </row>
    <row r="291" spans="1:6" ht="14.25" thickBot="1">
      <c r="A291" s="1530" t="s">
        <v>1548</v>
      </c>
      <c r="B291" s="1524" t="s">
        <v>1210</v>
      </c>
      <c r="C291" s="2119">
        <v>0.15</v>
      </c>
      <c r="D291" s="2119">
        <v>0.15</v>
      </c>
      <c r="E291" s="2119">
        <v>0.15</v>
      </c>
      <c r="F291" s="2131"/>
    </row>
    <row r="292" spans="1:6" ht="14.25" thickBot="1">
      <c r="A292" s="1530" t="s">
        <v>1548</v>
      </c>
      <c r="B292" s="1524" t="s">
        <v>2254</v>
      </c>
      <c r="C292" s="2119">
        <v>0.15</v>
      </c>
      <c r="D292" s="2119">
        <v>0.15</v>
      </c>
      <c r="E292" s="2119">
        <v>0.15</v>
      </c>
      <c r="F292" s="2120">
        <v>0.14699999999999999</v>
      </c>
    </row>
    <row r="293" spans="1:6" ht="14.25" thickBot="1">
      <c r="A293" s="1530" t="s">
        <v>1548</v>
      </c>
      <c r="B293" s="1524" t="s">
        <v>2255</v>
      </c>
      <c r="C293" s="2132"/>
      <c r="D293" s="2132"/>
      <c r="E293" s="2132"/>
      <c r="F293" s="2120">
        <v>0.1</v>
      </c>
    </row>
    <row r="294" spans="1:6" ht="14.25" thickBot="1">
      <c r="A294" s="1530" t="s">
        <v>1548</v>
      </c>
      <c r="B294" s="1524" t="s">
        <v>2256</v>
      </c>
      <c r="C294" s="2119">
        <v>0.15</v>
      </c>
      <c r="D294" s="2119">
        <v>0.15</v>
      </c>
      <c r="E294" s="2119">
        <v>0.15</v>
      </c>
      <c r="F294" s="2120">
        <v>0.15</v>
      </c>
    </row>
    <row r="295" spans="1:6" ht="14.25" thickBot="1">
      <c r="A295" s="1530" t="s">
        <v>1548</v>
      </c>
      <c r="B295" s="1524" t="s">
        <v>1248</v>
      </c>
      <c r="C295" s="2119">
        <v>0.15</v>
      </c>
      <c r="D295" s="2119">
        <v>0.15</v>
      </c>
      <c r="E295" s="2119">
        <v>0.15</v>
      </c>
      <c r="F295" s="2120">
        <v>0.15</v>
      </c>
    </row>
    <row r="296" spans="1:6" ht="14.25" thickBot="1">
      <c r="A296" s="1530" t="s">
        <v>1548</v>
      </c>
      <c r="B296" s="1524" t="s">
        <v>2257</v>
      </c>
      <c r="C296" s="2119">
        <v>0.15</v>
      </c>
      <c r="D296" s="2119">
        <v>0.15</v>
      </c>
      <c r="E296" s="2119">
        <v>0.15</v>
      </c>
      <c r="F296" s="2120">
        <v>0.15</v>
      </c>
    </row>
    <row r="297" spans="1:6" ht="14.25" thickBot="1">
      <c r="A297" s="1530" t="s">
        <v>1548</v>
      </c>
      <c r="B297" s="1524" t="s">
        <v>2258</v>
      </c>
      <c r="C297" s="2119">
        <v>0.14799999999999999</v>
      </c>
      <c r="D297" s="2119">
        <v>0.14899999999999999</v>
      </c>
      <c r="E297" s="2119">
        <v>0.15</v>
      </c>
      <c r="F297" s="2120">
        <v>0.13700000000000001</v>
      </c>
    </row>
    <row r="298" spans="1:6" ht="14.25" thickBot="1">
      <c r="A298" s="1530" t="s">
        <v>1548</v>
      </c>
      <c r="B298" s="1524" t="s">
        <v>1281</v>
      </c>
      <c r="C298" s="2119">
        <v>0.13400000000000001</v>
      </c>
      <c r="D298" s="2119">
        <v>0.13400000000000001</v>
      </c>
      <c r="E298" s="2119">
        <v>0.14499999999999999</v>
      </c>
      <c r="F298" s="2120">
        <v>0.14799999999999999</v>
      </c>
    </row>
    <row r="299" spans="1:6" ht="14.25" thickBot="1">
      <c r="A299" s="1530" t="s">
        <v>1548</v>
      </c>
      <c r="B299" s="1524" t="s">
        <v>1293</v>
      </c>
      <c r="C299" s="2119">
        <v>0.15</v>
      </c>
      <c r="D299" s="2119">
        <v>0.15</v>
      </c>
      <c r="E299" s="2119">
        <v>0.15</v>
      </c>
      <c r="F299" s="2131"/>
    </row>
    <row r="300" spans="1:6" ht="14.25" thickBot="1">
      <c r="A300" s="1530" t="s">
        <v>1548</v>
      </c>
      <c r="B300" s="1524" t="s">
        <v>2259</v>
      </c>
      <c r="C300" s="2119">
        <v>0.15</v>
      </c>
      <c r="D300" s="2119">
        <v>0.15</v>
      </c>
      <c r="E300" s="2119">
        <v>0.15</v>
      </c>
      <c r="F300" s="2120">
        <v>0.15</v>
      </c>
    </row>
    <row r="301" spans="1:6" ht="14.25" thickBot="1">
      <c r="A301" s="1530" t="s">
        <v>1548</v>
      </c>
      <c r="B301" s="1524" t="s">
        <v>1313</v>
      </c>
      <c r="C301" s="2119">
        <v>0.15</v>
      </c>
      <c r="D301" s="2119">
        <v>0.15</v>
      </c>
      <c r="E301" s="2119">
        <v>0.15</v>
      </c>
      <c r="F301" s="2131"/>
    </row>
    <row r="302" spans="1:6" ht="14.25" thickBot="1">
      <c r="A302" s="1530" t="s">
        <v>1548</v>
      </c>
      <c r="B302" s="1524" t="s">
        <v>2260</v>
      </c>
      <c r="C302" s="2119">
        <v>0.15</v>
      </c>
      <c r="D302" s="2119">
        <v>0.15</v>
      </c>
      <c r="E302" s="2119">
        <v>0.15</v>
      </c>
      <c r="F302" s="2120">
        <v>0.15</v>
      </c>
    </row>
    <row r="303" spans="1:6" ht="14.25" thickBot="1">
      <c r="A303" s="1530" t="s">
        <v>1548</v>
      </c>
      <c r="B303" s="1524" t="s">
        <v>1333</v>
      </c>
      <c r="C303" s="2119">
        <v>0.15</v>
      </c>
      <c r="D303" s="2119">
        <v>0.15</v>
      </c>
      <c r="E303" s="2119">
        <v>0.15</v>
      </c>
      <c r="F303" s="2120">
        <v>0.15</v>
      </c>
    </row>
    <row r="304" spans="1:6" ht="14.25" thickBot="1">
      <c r="A304" s="1530" t="s">
        <v>1548</v>
      </c>
      <c r="B304" s="1524" t="s">
        <v>1344</v>
      </c>
      <c r="C304" s="2119">
        <v>0.15</v>
      </c>
      <c r="D304" s="2119">
        <v>0.15</v>
      </c>
      <c r="E304" s="2119">
        <v>0.15</v>
      </c>
      <c r="F304" s="2131"/>
    </row>
    <row r="305" spans="1:6" ht="14.25" thickBot="1">
      <c r="A305" s="1530" t="s">
        <v>1548</v>
      </c>
      <c r="B305" s="1524" t="s">
        <v>2261</v>
      </c>
      <c r="C305" s="2119">
        <v>0.15</v>
      </c>
      <c r="D305" s="2119">
        <v>0.15</v>
      </c>
      <c r="E305" s="2119">
        <v>0.15</v>
      </c>
      <c r="F305" s="2120">
        <v>0.14000000000000001</v>
      </c>
    </row>
    <row r="306" spans="1:6" ht="14.25" thickBot="1">
      <c r="A306" s="1530" t="s">
        <v>1548</v>
      </c>
      <c r="B306" s="1524" t="s">
        <v>1365</v>
      </c>
      <c r="C306" s="2119">
        <v>0.15</v>
      </c>
      <c r="D306" s="2119">
        <v>0.15</v>
      </c>
      <c r="E306" s="2119">
        <v>0.15</v>
      </c>
      <c r="F306" s="2131"/>
    </row>
    <row r="307" spans="1:6" ht="14.25" thickBot="1">
      <c r="A307" s="1530" t="s">
        <v>1548</v>
      </c>
      <c r="B307" s="1524" t="s">
        <v>2262</v>
      </c>
      <c r="C307" s="2119">
        <v>0.15</v>
      </c>
      <c r="D307" s="2119">
        <v>0.15</v>
      </c>
      <c r="E307" s="2119">
        <v>0.15</v>
      </c>
      <c r="F307" s="2120">
        <v>0.14299999999999999</v>
      </c>
    </row>
    <row r="308" spans="1:6" ht="14.25" thickBot="1">
      <c r="A308" s="1530" t="s">
        <v>1548</v>
      </c>
      <c r="B308" s="1524" t="s">
        <v>1385</v>
      </c>
      <c r="C308" s="2119">
        <v>0.15</v>
      </c>
      <c r="D308" s="2119">
        <v>0.15</v>
      </c>
      <c r="E308" s="2119">
        <v>0.15</v>
      </c>
      <c r="F308" s="2120">
        <v>0.15</v>
      </c>
    </row>
    <row r="309" spans="1:6" ht="14.25" thickBot="1">
      <c r="A309" s="1530" t="s">
        <v>1548</v>
      </c>
      <c r="B309" s="1524" t="s">
        <v>1395</v>
      </c>
      <c r="C309" s="2119">
        <v>0.15</v>
      </c>
      <c r="D309" s="2119">
        <v>0.15</v>
      </c>
      <c r="E309" s="2119">
        <v>0.15</v>
      </c>
      <c r="F309" s="2131"/>
    </row>
    <row r="310" spans="1:6" ht="14.25" thickBot="1">
      <c r="A310" s="1530" t="s">
        <v>1548</v>
      </c>
      <c r="B310" s="1524" t="s">
        <v>2263</v>
      </c>
      <c r="C310" s="2119">
        <v>0.15</v>
      </c>
      <c r="D310" s="2119">
        <v>0.15</v>
      </c>
      <c r="E310" s="2119">
        <v>0.15</v>
      </c>
      <c r="F310" s="2120">
        <v>0.13700000000000001</v>
      </c>
    </row>
    <row r="311" spans="1:6" ht="14.25" thickBot="1">
      <c r="A311" s="1530" t="s">
        <v>1548</v>
      </c>
      <c r="B311" s="1524" t="s">
        <v>2264</v>
      </c>
      <c r="C311" s="2119">
        <v>0.15</v>
      </c>
      <c r="D311" s="2119">
        <v>0.15</v>
      </c>
      <c r="E311" s="2119">
        <v>0.15</v>
      </c>
      <c r="F311" s="2120">
        <v>0.15</v>
      </c>
    </row>
    <row r="312" spans="1:6" ht="14.25" thickBot="1">
      <c r="A312" s="1530" t="s">
        <v>1548</v>
      </c>
      <c r="B312" s="1524" t="s">
        <v>1421</v>
      </c>
      <c r="C312" s="2119">
        <v>0.15</v>
      </c>
      <c r="D312" s="2119">
        <v>0.15</v>
      </c>
      <c r="E312" s="2119">
        <v>0.15</v>
      </c>
      <c r="F312" s="2120">
        <v>0.1</v>
      </c>
    </row>
    <row r="313" spans="1:6" ht="14.25" thickBot="1">
      <c r="A313" s="1530" t="s">
        <v>1548</v>
      </c>
      <c r="B313" s="1524" t="s">
        <v>2265</v>
      </c>
      <c r="C313" s="2119">
        <v>0.15</v>
      </c>
      <c r="D313" s="2119">
        <v>0.15</v>
      </c>
      <c r="E313" s="2119">
        <v>0.15</v>
      </c>
      <c r="F313" s="2120">
        <v>0.15</v>
      </c>
    </row>
    <row r="314" spans="1:6" ht="24.75" thickBot="1">
      <c r="A314" s="1530" t="s">
        <v>1548</v>
      </c>
      <c r="B314" s="1524" t="s">
        <v>2266</v>
      </c>
      <c r="C314" s="2132"/>
      <c r="D314" s="2132"/>
      <c r="E314" s="2132"/>
      <c r="F314" s="2120">
        <v>0.05</v>
      </c>
    </row>
    <row r="315" spans="1:6" ht="24.75" thickBot="1">
      <c r="A315" s="1530" t="s">
        <v>1548</v>
      </c>
      <c r="B315" s="1524" t="s">
        <v>2267</v>
      </c>
      <c r="C315" s="2132"/>
      <c r="D315" s="2132"/>
      <c r="E315" s="2132"/>
      <c r="F315" s="2120">
        <v>0.05</v>
      </c>
    </row>
    <row r="316" spans="1:6" ht="24.75" thickBot="1">
      <c r="A316" s="1540" t="s">
        <v>1548</v>
      </c>
      <c r="B316" s="1536" t="s">
        <v>2268</v>
      </c>
      <c r="C316" s="2129"/>
      <c r="D316" s="2129"/>
      <c r="E316" s="2129"/>
      <c r="F316" s="2122">
        <v>0.05</v>
      </c>
    </row>
    <row r="317" spans="1:6" ht="14.25" thickBot="1">
      <c r="A317" s="1530" t="s">
        <v>2269</v>
      </c>
      <c r="B317" s="1531" t="s">
        <v>2270</v>
      </c>
      <c r="C317" s="2117">
        <v>0.15</v>
      </c>
      <c r="D317" s="2117">
        <v>0.15</v>
      </c>
      <c r="E317" s="2117">
        <v>0.15</v>
      </c>
      <c r="F317" s="2118">
        <v>0.15</v>
      </c>
    </row>
    <row r="318" spans="1:6" ht="14.25" thickBot="1">
      <c r="A318" s="1530" t="s">
        <v>2269</v>
      </c>
      <c r="B318" s="1524" t="s">
        <v>2271</v>
      </c>
      <c r="C318" s="2119">
        <v>0.107</v>
      </c>
      <c r="D318" s="2119">
        <v>0.11</v>
      </c>
      <c r="E318" s="2119">
        <v>0.112</v>
      </c>
      <c r="F318" s="2131"/>
    </row>
    <row r="319" spans="1:6" ht="14.25" thickBot="1">
      <c r="A319" s="1530" t="s">
        <v>2269</v>
      </c>
      <c r="B319" s="1524" t="s">
        <v>2272</v>
      </c>
      <c r="C319" s="2119">
        <v>0.15</v>
      </c>
      <c r="D319" s="2119">
        <v>0.15</v>
      </c>
      <c r="E319" s="2119">
        <v>0.15</v>
      </c>
      <c r="F319" s="2120">
        <v>0.15</v>
      </c>
    </row>
    <row r="320" spans="1:6" ht="14.25" thickBot="1">
      <c r="A320" s="1530" t="s">
        <v>2269</v>
      </c>
      <c r="B320" s="1524" t="s">
        <v>1237</v>
      </c>
      <c r="C320" s="2119">
        <v>0.15</v>
      </c>
      <c r="D320" s="2119">
        <v>0.15</v>
      </c>
      <c r="E320" s="2119">
        <v>0.15</v>
      </c>
      <c r="F320" s="2131"/>
    </row>
    <row r="321" spans="1:6" ht="14.25" thickBot="1">
      <c r="A321" s="1530" t="s">
        <v>2269</v>
      </c>
      <c r="B321" s="1524" t="s">
        <v>2273</v>
      </c>
      <c r="C321" s="2119">
        <v>0.15</v>
      </c>
      <c r="D321" s="2119">
        <v>0.15</v>
      </c>
      <c r="E321" s="2119">
        <v>0.15</v>
      </c>
      <c r="F321" s="2131"/>
    </row>
    <row r="322" spans="1:6" ht="14.25" thickBot="1">
      <c r="A322" s="1530" t="s">
        <v>2269</v>
      </c>
      <c r="B322" s="1524" t="s">
        <v>2274</v>
      </c>
      <c r="C322" s="2119">
        <v>0.15</v>
      </c>
      <c r="D322" s="2119">
        <v>0.15</v>
      </c>
      <c r="E322" s="2119">
        <v>0.15</v>
      </c>
      <c r="F322" s="2120">
        <v>0.15</v>
      </c>
    </row>
    <row r="323" spans="1:6" ht="14.25" thickBot="1">
      <c r="A323" s="1530" t="s">
        <v>2269</v>
      </c>
      <c r="B323" s="1524" t="s">
        <v>2275</v>
      </c>
      <c r="C323" s="2119">
        <v>0.15</v>
      </c>
      <c r="D323" s="2119">
        <v>0.15</v>
      </c>
      <c r="E323" s="2119">
        <v>0.15</v>
      </c>
      <c r="F323" s="2131"/>
    </row>
    <row r="324" spans="1:6" ht="14.25" thickBot="1">
      <c r="A324" s="1530" t="s">
        <v>2269</v>
      </c>
      <c r="B324" s="1524" t="s">
        <v>2276</v>
      </c>
      <c r="C324" s="2119">
        <v>0.15</v>
      </c>
      <c r="D324" s="2119">
        <v>0.15</v>
      </c>
      <c r="E324" s="2119">
        <v>0.15</v>
      </c>
      <c r="F324" s="2131"/>
    </row>
    <row r="325" spans="1:6" ht="14.25" thickBot="1">
      <c r="A325" s="1530" t="s">
        <v>2269</v>
      </c>
      <c r="B325" s="1524" t="s">
        <v>2277</v>
      </c>
      <c r="C325" s="2119">
        <v>0.15</v>
      </c>
      <c r="D325" s="2119">
        <v>0.15</v>
      </c>
      <c r="E325" s="2119">
        <v>0.15</v>
      </c>
      <c r="F325" s="2120">
        <v>0.14699999999999999</v>
      </c>
    </row>
    <row r="326" spans="1:6" ht="14.25" thickBot="1">
      <c r="A326" s="1530" t="s">
        <v>2269</v>
      </c>
      <c r="B326" s="1524" t="s">
        <v>1304</v>
      </c>
      <c r="C326" s="2119">
        <v>0.15</v>
      </c>
      <c r="D326" s="2119">
        <v>0.15</v>
      </c>
      <c r="E326" s="2119">
        <v>0.15</v>
      </c>
      <c r="F326" s="2131"/>
    </row>
    <row r="327" spans="1:6" ht="14.25" thickBot="1">
      <c r="A327" s="1530" t="s">
        <v>2269</v>
      </c>
      <c r="B327" s="1524" t="s">
        <v>2278</v>
      </c>
      <c r="C327" s="2119">
        <v>0.15</v>
      </c>
      <c r="D327" s="2119">
        <v>0.15</v>
      </c>
      <c r="E327" s="2119">
        <v>0.15</v>
      </c>
      <c r="F327" s="2120">
        <v>0.15</v>
      </c>
    </row>
    <row r="328" spans="1:6" ht="14.25" thickBot="1">
      <c r="A328" s="1530" t="s">
        <v>2269</v>
      </c>
      <c r="B328" s="1524" t="s">
        <v>1324</v>
      </c>
      <c r="C328" s="2119">
        <v>0.15</v>
      </c>
      <c r="D328" s="2119">
        <v>0.15</v>
      </c>
      <c r="E328" s="2119">
        <v>0.15</v>
      </c>
      <c r="F328" s="2120">
        <v>0.14099999999999999</v>
      </c>
    </row>
    <row r="329" spans="1:6" ht="14.25" thickBot="1">
      <c r="A329" s="1530" t="s">
        <v>2269</v>
      </c>
      <c r="B329" s="1524" t="s">
        <v>1334</v>
      </c>
      <c r="C329" s="2119">
        <v>0.15</v>
      </c>
      <c r="D329" s="2119">
        <v>0.15</v>
      </c>
      <c r="E329" s="2119">
        <v>0.15</v>
      </c>
      <c r="F329" s="2120">
        <v>0.15</v>
      </c>
    </row>
    <row r="330" spans="1:6" ht="14.25" thickBot="1">
      <c r="A330" s="1530" t="s">
        <v>2269</v>
      </c>
      <c r="B330" s="1524" t="s">
        <v>1345</v>
      </c>
      <c r="C330" s="2119">
        <v>0.15</v>
      </c>
      <c r="D330" s="2119">
        <v>0.15</v>
      </c>
      <c r="E330" s="2119">
        <v>0.15</v>
      </c>
      <c r="F330" s="2131"/>
    </row>
    <row r="331" spans="1:6" ht="14.25" thickBot="1">
      <c r="A331" s="1530" t="s">
        <v>2269</v>
      </c>
      <c r="B331" s="1524" t="s">
        <v>2279</v>
      </c>
      <c r="C331" s="2119">
        <v>0.15</v>
      </c>
      <c r="D331" s="2119">
        <v>0.15</v>
      </c>
      <c r="E331" s="2119">
        <v>0.15</v>
      </c>
      <c r="F331" s="2120">
        <v>0.15</v>
      </c>
    </row>
    <row r="332" spans="1:6" ht="14.25" thickBot="1">
      <c r="A332" s="1530" t="s">
        <v>2269</v>
      </c>
      <c r="B332" s="1524" t="s">
        <v>1366</v>
      </c>
      <c r="C332" s="2119">
        <v>0.15</v>
      </c>
      <c r="D332" s="2119">
        <v>0.15</v>
      </c>
      <c r="E332" s="2119">
        <v>0.15</v>
      </c>
      <c r="F332" s="2120">
        <v>0.15</v>
      </c>
    </row>
    <row r="333" spans="1:6" ht="14.25" thickBot="1">
      <c r="A333" s="1530" t="s">
        <v>2269</v>
      </c>
      <c r="B333" s="1524" t="s">
        <v>2280</v>
      </c>
      <c r="C333" s="2119">
        <v>0.15</v>
      </c>
      <c r="D333" s="2119">
        <v>0.15</v>
      </c>
      <c r="E333" s="2119">
        <v>0.15</v>
      </c>
      <c r="F333" s="2120">
        <v>0.14099999999999999</v>
      </c>
    </row>
    <row r="334" spans="1:6" ht="14.25" thickBot="1">
      <c r="A334" s="1530" t="s">
        <v>2269</v>
      </c>
      <c r="B334" s="1524" t="s">
        <v>1386</v>
      </c>
      <c r="C334" s="2119">
        <v>0.15</v>
      </c>
      <c r="D334" s="2119">
        <v>0.15</v>
      </c>
      <c r="E334" s="2119">
        <v>0.15</v>
      </c>
      <c r="F334" s="2120">
        <v>0.15</v>
      </c>
    </row>
    <row r="335" spans="1:6" ht="14.25" thickBot="1">
      <c r="A335" s="1530" t="s">
        <v>2269</v>
      </c>
      <c r="B335" s="1524" t="s">
        <v>1396</v>
      </c>
      <c r="C335" s="2119">
        <v>0.15</v>
      </c>
      <c r="D335" s="2119">
        <v>0.15</v>
      </c>
      <c r="E335" s="2119">
        <v>0.15</v>
      </c>
      <c r="F335" s="2131"/>
    </row>
    <row r="336" spans="1:6" ht="14.25" thickBot="1">
      <c r="A336" s="1530" t="s">
        <v>2269</v>
      </c>
      <c r="B336" s="1524" t="s">
        <v>2281</v>
      </c>
      <c r="C336" s="2119">
        <v>0.15</v>
      </c>
      <c r="D336" s="2119">
        <v>0.15</v>
      </c>
      <c r="E336" s="2119">
        <v>0.15</v>
      </c>
      <c r="F336" s="2120">
        <v>0.11799999999999999</v>
      </c>
    </row>
    <row r="337" spans="1:6" ht="14.25" thickBot="1">
      <c r="A337" s="1540" t="s">
        <v>2269</v>
      </c>
      <c r="B337" s="1536" t="s">
        <v>1414</v>
      </c>
      <c r="C337" s="2129"/>
      <c r="D337" s="2129"/>
      <c r="E337" s="2129"/>
      <c r="F337" s="2122">
        <v>0.14299999999999999</v>
      </c>
    </row>
    <row r="338" spans="1:6" ht="14.25" thickBot="1">
      <c r="A338" s="1530" t="s">
        <v>2282</v>
      </c>
      <c r="B338" s="1531" t="s">
        <v>2283</v>
      </c>
      <c r="C338" s="2117">
        <v>0.15</v>
      </c>
      <c r="D338" s="2117">
        <v>0.15</v>
      </c>
      <c r="E338" s="2117">
        <v>0.15</v>
      </c>
      <c r="F338" s="2134"/>
    </row>
    <row r="339" spans="1:6" ht="14.25" thickBot="1">
      <c r="A339" s="1530" t="s">
        <v>2282</v>
      </c>
      <c r="B339" s="1524" t="s">
        <v>2284</v>
      </c>
      <c r="C339" s="2119">
        <v>0.15</v>
      </c>
      <c r="D339" s="2119">
        <v>0.15</v>
      </c>
      <c r="E339" s="2119">
        <v>0.15</v>
      </c>
      <c r="F339" s="2131"/>
    </row>
    <row r="340" spans="1:6" ht="14.25" thickBot="1">
      <c r="A340" s="1530" t="s">
        <v>2282</v>
      </c>
      <c r="B340" s="1524" t="s">
        <v>2285</v>
      </c>
      <c r="C340" s="2119">
        <v>0.15</v>
      </c>
      <c r="D340" s="2119">
        <v>0.15</v>
      </c>
      <c r="E340" s="2119">
        <v>0.15</v>
      </c>
      <c r="F340" s="2131"/>
    </row>
    <row r="341" spans="1:6" ht="14.25" thickBot="1">
      <c r="A341" s="1530" t="s">
        <v>2282</v>
      </c>
      <c r="B341" s="1524" t="s">
        <v>2286</v>
      </c>
      <c r="C341" s="2119">
        <v>0.15</v>
      </c>
      <c r="D341" s="2119">
        <v>0.15</v>
      </c>
      <c r="E341" s="2119">
        <v>0.15</v>
      </c>
      <c r="F341" s="2120">
        <v>0.15</v>
      </c>
    </row>
    <row r="342" spans="1:6" ht="14.25" thickBot="1">
      <c r="A342" s="1530" t="s">
        <v>2282</v>
      </c>
      <c r="B342" s="1524" t="s">
        <v>2287</v>
      </c>
      <c r="C342" s="2119">
        <v>0.15</v>
      </c>
      <c r="D342" s="2119">
        <v>0.15</v>
      </c>
      <c r="E342" s="2119">
        <v>0.15</v>
      </c>
      <c r="F342" s="2120">
        <v>0.15</v>
      </c>
    </row>
    <row r="343" spans="1:6" ht="14.25" thickBot="1">
      <c r="A343" s="1530" t="s">
        <v>2282</v>
      </c>
      <c r="B343" s="1524" t="s">
        <v>2288</v>
      </c>
      <c r="C343" s="2119">
        <v>0.15</v>
      </c>
      <c r="D343" s="2119">
        <v>0.15</v>
      </c>
      <c r="E343" s="2119">
        <v>0.15</v>
      </c>
      <c r="F343" s="2120">
        <v>0.15</v>
      </c>
    </row>
    <row r="344" spans="1:6" ht="14.25" thickBot="1">
      <c r="A344" s="1540" t="s">
        <v>2282</v>
      </c>
      <c r="B344" s="1536" t="s">
        <v>2289</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2903</v>
      </c>
      <c r="C1" s="3196">
        <f>项目基本情况!D3</f>
        <v>42986</v>
      </c>
      <c r="D1" s="3202" t="s">
        <v>2904</v>
      </c>
      <c r="E1" s="3197">
        <f>'数据-取费表'!B22</f>
        <v>2</v>
      </c>
      <c r="F1" s="3202" t="s">
        <v>2905</v>
      </c>
      <c r="G1" s="3198">
        <f ca="1">INDIRECT("d"&amp;$K$1)/100</f>
        <v>4.7500000000000001E-2</v>
      </c>
      <c r="H1" s="3202" t="s">
        <v>2935</v>
      </c>
      <c r="I1" s="3198">
        <f ca="1">F4/100</f>
        <v>1.4999999999999999E-2</v>
      </c>
      <c r="J1" s="3203">
        <f>IF(C1&gt;C13,0,MATCH(C1,C$13:C$100,-1))+IF(SUMIF(C13:C100,C1,D13:D100)=0,13,12)</f>
        <v>13</v>
      </c>
      <c r="K1" s="3203">
        <f>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2906</v>
      </c>
      <c r="E2" s="3138"/>
      <c r="F2" s="3138" t="s">
        <v>2907</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2908</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2909</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2910</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2911</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2912</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2913</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2914</v>
      </c>
      <c r="C10" s="3166"/>
      <c r="D10" s="3166"/>
      <c r="E10" s="3166"/>
      <c r="F10" s="3166"/>
      <c r="G10" s="3166"/>
      <c r="H10" s="3166"/>
      <c r="I10" s="3140"/>
      <c r="J10" s="3140"/>
      <c r="K10" s="3166"/>
      <c r="L10" s="3167" t="s">
        <v>2915</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2916</v>
      </c>
      <c r="C11" s="3171" t="s">
        <v>2917</v>
      </c>
      <c r="D11" s="3172" t="s">
        <v>2918</v>
      </c>
      <c r="E11" s="3173"/>
      <c r="F11" s="3172" t="s">
        <v>2919</v>
      </c>
      <c r="G11" s="3174"/>
      <c r="H11" s="3173"/>
      <c r="I11" s="3172" t="s">
        <v>2920</v>
      </c>
      <c r="J11" s="3173"/>
      <c r="K11" s="3169"/>
      <c r="L11" s="3170" t="s">
        <v>2916</v>
      </c>
      <c r="M11" s="3171" t="s">
        <v>2917</v>
      </c>
      <c r="N11" s="3170" t="s">
        <v>2921</v>
      </c>
      <c r="O11" s="3172" t="s">
        <v>2922</v>
      </c>
      <c r="P11" s="3174"/>
      <c r="Q11" s="3174"/>
      <c r="R11" s="3174"/>
      <c r="S11" s="3174"/>
      <c r="T11" s="3173"/>
      <c r="U11" s="3172" t="s">
        <v>2923</v>
      </c>
      <c r="V11" s="3174"/>
      <c r="W11" s="3173"/>
      <c r="X11" s="3170" t="s">
        <v>2924</v>
      </c>
      <c r="Y11" s="3170" t="s">
        <v>2925</v>
      </c>
      <c r="Z11" s="3170" t="s">
        <v>2926</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2927</v>
      </c>
      <c r="E12" s="3179" t="s">
        <v>2928</v>
      </c>
      <c r="F12" s="3179" t="s">
        <v>2929</v>
      </c>
      <c r="G12" s="3179" t="s">
        <v>2930</v>
      </c>
      <c r="H12" s="3179" t="s">
        <v>2912</v>
      </c>
      <c r="I12" s="3180" t="s">
        <v>2931</v>
      </c>
      <c r="J12" s="3180" t="s">
        <v>2931</v>
      </c>
      <c r="K12" s="3176"/>
      <c r="L12" s="3177"/>
      <c r="M12" s="3178"/>
      <c r="N12" s="3177"/>
      <c r="O12" s="3180" t="s">
        <v>2932</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2933</v>
      </c>
      <c r="C13" s="3184">
        <v>42301</v>
      </c>
      <c r="D13" s="3185">
        <v>4.3499999999999996</v>
      </c>
      <c r="E13" s="3185">
        <v>4.3499999999999996</v>
      </c>
      <c r="F13" s="3185">
        <v>4.75</v>
      </c>
      <c r="G13" s="3185">
        <v>4.75</v>
      </c>
      <c r="H13" s="3185">
        <v>4.9000000000000004</v>
      </c>
      <c r="I13" s="3185">
        <v>2.75</v>
      </c>
      <c r="J13" s="3185">
        <v>3.25</v>
      </c>
      <c r="K13" s="3182"/>
      <c r="L13" s="3183" t="s">
        <v>2933</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2934</v>
      </c>
      <c r="Y42" s="3189" t="s">
        <v>2934</v>
      </c>
      <c r="Z42" s="3189" t="s">
        <v>2934</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2934</v>
      </c>
      <c r="Y43" s="3189" t="s">
        <v>2934</v>
      </c>
      <c r="Z43" s="3189" t="s">
        <v>2934</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2934</v>
      </c>
      <c r="Y44" s="3189" t="s">
        <v>2934</v>
      </c>
      <c r="Z44" s="3189" t="s">
        <v>2934</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2934</v>
      </c>
      <c r="Y45" s="3189" t="s">
        <v>2934</v>
      </c>
      <c r="Z45" s="3189" t="s">
        <v>2934</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2934</v>
      </c>
      <c r="Y46" s="3189" t="s">
        <v>2934</v>
      </c>
      <c r="Z46" s="3189" t="s">
        <v>2934</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2934</v>
      </c>
      <c r="Y47" s="3189" t="s">
        <v>2934</v>
      </c>
      <c r="Z47" s="3189" t="s">
        <v>2934</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2934</v>
      </c>
      <c r="Y48" s="3189" t="s">
        <v>2934</v>
      </c>
      <c r="Z48" s="3189" t="s">
        <v>2934</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2934</v>
      </c>
      <c r="Y49" s="3189" t="s">
        <v>2934</v>
      </c>
      <c r="Z49" s="3189" t="s">
        <v>2934</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2934</v>
      </c>
      <c r="Y50" s="3189" t="s">
        <v>2934</v>
      </c>
      <c r="Z50" s="3189" t="s">
        <v>2934</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2934</v>
      </c>
      <c r="V51" s="3189" t="s">
        <v>2934</v>
      </c>
      <c r="W51" s="3189" t="s">
        <v>2934</v>
      </c>
      <c r="X51" s="3189" t="s">
        <v>2934</v>
      </c>
      <c r="Y51" s="3189" t="s">
        <v>2934</v>
      </c>
      <c r="Z51" s="3189" t="s">
        <v>2934</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2934</v>
      </c>
      <c r="J55" s="3189" t="s">
        <v>2934</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331" t="s">
        <v>3036</v>
      </c>
      <c r="E1" s="3325" t="s">
        <v>3040</v>
      </c>
      <c r="F1" s="3326" t="s">
        <v>3044</v>
      </c>
    </row>
    <row r="2" spans="1:13" ht="20.25">
      <c r="A2" s="3332" t="s">
        <v>3037</v>
      </c>
    </row>
    <row r="3" spans="1:13" ht="16.5">
      <c r="A3" s="3333" t="s">
        <v>3038</v>
      </c>
    </row>
    <row r="4" spans="1:13" ht="14.25">
      <c r="A4" s="3323" t="s">
        <v>3039</v>
      </c>
      <c r="B4" s="3328" t="s">
        <v>3041</v>
      </c>
      <c r="C4" s="3329"/>
      <c r="D4" s="3330"/>
      <c r="E4" s="3328" t="s">
        <v>141</v>
      </c>
      <c r="F4" s="3329"/>
      <c r="G4" s="3330"/>
      <c r="H4" s="3328" t="s">
        <v>3042</v>
      </c>
      <c r="I4" s="3329"/>
      <c r="J4" s="3330"/>
      <c r="K4" s="3328" t="s">
        <v>39</v>
      </c>
      <c r="L4" s="3329"/>
      <c r="M4" s="3330"/>
    </row>
    <row r="5" spans="1:13" ht="14.25">
      <c r="A5" s="3324" t="s">
        <v>3043</v>
      </c>
      <c r="B5" s="3323" t="s">
        <v>3045</v>
      </c>
      <c r="C5" s="3323" t="s">
        <v>3046</v>
      </c>
      <c r="D5" s="3323" t="s">
        <v>3047</v>
      </c>
      <c r="E5" s="3323" t="s">
        <v>3045</v>
      </c>
      <c r="F5" s="3323" t="s">
        <v>3046</v>
      </c>
      <c r="G5" s="3323" t="s">
        <v>3047</v>
      </c>
      <c r="H5" s="3323" t="s">
        <v>3045</v>
      </c>
      <c r="I5" s="3323" t="s">
        <v>3046</v>
      </c>
      <c r="J5" s="3323" t="s">
        <v>3047</v>
      </c>
      <c r="K5" s="3323" t="s">
        <v>3045</v>
      </c>
      <c r="L5" s="3323" t="s">
        <v>3046</v>
      </c>
      <c r="M5" s="3323" t="s">
        <v>3047</v>
      </c>
    </row>
    <row r="6" spans="1:13" ht="14.25">
      <c r="A6" s="3327" t="s">
        <v>1226</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1283</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1456</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1137</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1537</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202</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1540</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1542</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1544</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1548</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1947</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1948</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P180"/>
  <sheetViews>
    <sheetView tabSelected="1" topLeftCell="A37" workbookViewId="0">
      <selection activeCell="A160" sqref="A40:A160"/>
    </sheetView>
  </sheetViews>
  <sheetFormatPr defaultRowHeight="13.5"/>
  <cols>
    <col min="1" max="1" width="12.75" bestFit="1" customWidth="1"/>
    <col min="2" max="2" width="11.625" bestFit="1" customWidth="1"/>
    <col min="3" max="3" width="12.75" bestFit="1" customWidth="1"/>
    <col min="5" max="5" width="13.875" customWidth="1"/>
    <col min="8" max="8" width="12" customWidth="1"/>
    <col min="11" max="11" width="10.5" bestFit="1" customWidth="1"/>
    <col min="14" max="14" width="16.125" customWidth="1"/>
    <col min="15" max="15" width="13.375" customWidth="1"/>
  </cols>
  <sheetData>
    <row r="1" spans="1:14">
      <c r="A1" s="3372" t="s">
        <v>3134</v>
      </c>
    </row>
    <row r="2" spans="1:14">
      <c r="A2" s="3817" t="s">
        <v>3076</v>
      </c>
      <c r="B2" s="3817"/>
      <c r="C2" s="3817"/>
      <c r="D2" s="3817"/>
      <c r="E2" s="3817"/>
      <c r="N2" s="3361" t="s">
        <v>3084</v>
      </c>
    </row>
    <row r="3" spans="1:14">
      <c r="A3" s="3357" t="s">
        <v>3077</v>
      </c>
      <c r="B3" s="3358" t="s">
        <v>3078</v>
      </c>
      <c r="C3" s="3358" t="s">
        <v>3079</v>
      </c>
      <c r="D3" s="3358" t="s">
        <v>3080</v>
      </c>
      <c r="E3" s="3359" t="s">
        <v>3081</v>
      </c>
      <c r="F3" s="3374" t="s">
        <v>3135</v>
      </c>
      <c r="G3" s="3382" t="s">
        <v>3159</v>
      </c>
      <c r="H3" s="3376" t="s">
        <v>3189</v>
      </c>
      <c r="I3" s="3376" t="s">
        <v>3188</v>
      </c>
      <c r="J3" s="3376" t="s">
        <v>3190</v>
      </c>
      <c r="K3" s="3425" t="s">
        <v>3319</v>
      </c>
      <c r="N3">
        <v>92783.56</v>
      </c>
    </row>
    <row r="4" spans="1:14">
      <c r="A4" s="3358">
        <v>1</v>
      </c>
      <c r="B4" s="3358">
        <v>2</v>
      </c>
      <c r="C4" s="3358" t="s">
        <v>3082</v>
      </c>
      <c r="D4" s="3358">
        <v>1996</v>
      </c>
      <c r="E4" s="3359">
        <v>10269.85</v>
      </c>
      <c r="F4" s="3375"/>
      <c r="G4" s="3375">
        <v>1996</v>
      </c>
      <c r="H4" s="3376" t="s">
        <v>3191</v>
      </c>
      <c r="I4" s="3375">
        <v>2000</v>
      </c>
      <c r="J4" s="3386">
        <f>ROUND(1-(2017-G4)/50,2)</f>
        <v>0.57999999999999996</v>
      </c>
      <c r="N4" s="3361" t="s">
        <v>3085</v>
      </c>
    </row>
    <row r="5" spans="1:14" ht="94.5">
      <c r="A5" s="3377">
        <v>2</v>
      </c>
      <c r="B5" s="3377">
        <v>2</v>
      </c>
      <c r="C5" s="3377" t="s">
        <v>3082</v>
      </c>
      <c r="D5" s="3377">
        <v>1996</v>
      </c>
      <c r="E5" s="3378">
        <v>2899.45</v>
      </c>
      <c r="F5" s="3379" t="s">
        <v>3137</v>
      </c>
      <c r="G5" s="3379">
        <v>1996</v>
      </c>
      <c r="H5" s="3376" t="s">
        <v>3192</v>
      </c>
      <c r="I5" s="3375">
        <v>3000</v>
      </c>
      <c r="J5" s="3386">
        <f t="shared" ref="J5:J10" si="0">ROUND(1-(2017-G5)/50,2)</f>
        <v>0.57999999999999996</v>
      </c>
      <c r="K5">
        <f>G21</f>
        <v>10590</v>
      </c>
      <c r="N5" s="3401">
        <f>E11/N3</f>
        <v>0.24096887422728774</v>
      </c>
    </row>
    <row r="6" spans="1:14" ht="27">
      <c r="A6" s="3358">
        <v>3</v>
      </c>
      <c r="B6" s="3358">
        <v>1</v>
      </c>
      <c r="C6" s="3358" t="s">
        <v>3082</v>
      </c>
      <c r="D6" s="3358">
        <v>1996</v>
      </c>
      <c r="E6" s="3359">
        <v>722.85</v>
      </c>
      <c r="F6" s="3375"/>
      <c r="G6" s="3375">
        <v>1996</v>
      </c>
      <c r="H6" s="3385" t="s">
        <v>3193</v>
      </c>
      <c r="I6" s="3375">
        <v>2000</v>
      </c>
      <c r="J6" s="3386">
        <f t="shared" si="0"/>
        <v>0.57999999999999996</v>
      </c>
    </row>
    <row r="7" spans="1:14">
      <c r="A7" s="3358">
        <v>4</v>
      </c>
      <c r="B7" s="3358">
        <v>2</v>
      </c>
      <c r="C7" s="3358" t="s">
        <v>3082</v>
      </c>
      <c r="D7" s="3358">
        <v>1996</v>
      </c>
      <c r="E7" s="3359">
        <v>2818.07</v>
      </c>
      <c r="F7" s="3375"/>
      <c r="G7" s="3375">
        <v>1996</v>
      </c>
      <c r="H7" s="3376" t="s">
        <v>3194</v>
      </c>
      <c r="I7" s="3375">
        <v>2500</v>
      </c>
      <c r="J7" s="3386">
        <f t="shared" si="0"/>
        <v>0.57999999999999996</v>
      </c>
      <c r="N7" s="3361" t="s">
        <v>3086</v>
      </c>
    </row>
    <row r="8" spans="1:14">
      <c r="A8" s="3358">
        <v>5</v>
      </c>
      <c r="B8" s="3358">
        <v>1</v>
      </c>
      <c r="C8" s="3358" t="s">
        <v>3082</v>
      </c>
      <c r="D8" s="3358">
        <v>1997</v>
      </c>
      <c r="E8" s="3359">
        <v>1344.29</v>
      </c>
      <c r="F8" s="3375"/>
      <c r="G8" s="3375">
        <v>1997</v>
      </c>
      <c r="H8" s="3376" t="s">
        <v>3195</v>
      </c>
      <c r="I8" s="3375">
        <v>1300</v>
      </c>
      <c r="J8" s="3386">
        <f t="shared" si="0"/>
        <v>0.6</v>
      </c>
      <c r="N8" s="3363">
        <v>0.15</v>
      </c>
    </row>
    <row r="9" spans="1:14" ht="81">
      <c r="A9" s="3377">
        <v>6</v>
      </c>
      <c r="B9" s="3377">
        <v>1</v>
      </c>
      <c r="C9" s="3377" t="s">
        <v>3082</v>
      </c>
      <c r="D9" s="3377">
        <v>1997</v>
      </c>
      <c r="E9" s="3378">
        <v>1075.06</v>
      </c>
      <c r="F9" s="3379" t="s">
        <v>3138</v>
      </c>
      <c r="G9" s="3379">
        <v>1997</v>
      </c>
      <c r="H9" s="3376" t="s">
        <v>3196</v>
      </c>
      <c r="I9" s="3375">
        <v>1300</v>
      </c>
      <c r="J9" s="3386">
        <f t="shared" si="0"/>
        <v>0.6</v>
      </c>
      <c r="K9">
        <v>3900</v>
      </c>
    </row>
    <row r="10" spans="1:14">
      <c r="A10" s="3358">
        <v>7</v>
      </c>
      <c r="B10" s="3358">
        <v>4</v>
      </c>
      <c r="C10" s="3358" t="s">
        <v>3082</v>
      </c>
      <c r="D10" s="3358">
        <v>2002</v>
      </c>
      <c r="E10" s="3359">
        <v>3228.38</v>
      </c>
      <c r="F10" s="3375"/>
      <c r="G10" s="3375">
        <v>2002</v>
      </c>
      <c r="H10" s="3376" t="s">
        <v>3194</v>
      </c>
      <c r="I10" s="3375">
        <v>2500</v>
      </c>
      <c r="J10" s="3386">
        <f t="shared" si="0"/>
        <v>0.7</v>
      </c>
    </row>
    <row r="11" spans="1:14">
      <c r="A11" s="3807" t="s">
        <v>3083</v>
      </c>
      <c r="B11" s="3807"/>
      <c r="C11" s="3807"/>
      <c r="D11" s="3807"/>
      <c r="E11" s="3359">
        <f>SUM(E4:E10)</f>
        <v>22357.950000000004</v>
      </c>
      <c r="F11" s="3375"/>
      <c r="G11" s="3375"/>
      <c r="H11" s="3375"/>
      <c r="I11" s="3375">
        <f>ROUND((E4*I4+K5*I5+E6*I6+E7*I7+E8*I8+E10*I10+I9*K9*0.3)/(E11-E9-E5),0)</f>
        <v>3924</v>
      </c>
      <c r="J11" s="3375">
        <f>ROUND((E4*J4+E6*J6+E7*J7+E8*J8+E10*J10)/(E11-E5-E9),2)</f>
        <v>0.6</v>
      </c>
    </row>
    <row r="14" spans="1:14">
      <c r="A14" s="3818" t="s">
        <v>3087</v>
      </c>
      <c r="B14" s="3818"/>
      <c r="C14" s="3818"/>
      <c r="D14" s="3818"/>
      <c r="E14" s="3818"/>
      <c r="F14" s="3818"/>
      <c r="G14" s="3818"/>
      <c r="H14" s="3818"/>
      <c r="I14" s="3818"/>
      <c r="J14" s="3818"/>
      <c r="K14" s="3818"/>
      <c r="L14" s="3820" t="s">
        <v>3135</v>
      </c>
    </row>
    <row r="15" spans="1:14">
      <c r="A15" s="3819" t="s">
        <v>218</v>
      </c>
      <c r="B15" s="3364" t="s">
        <v>3088</v>
      </c>
      <c r="C15" s="3364" t="s">
        <v>3089</v>
      </c>
      <c r="D15" s="3819" t="s">
        <v>3090</v>
      </c>
      <c r="E15" s="3364" t="s">
        <v>3091</v>
      </c>
      <c r="F15" s="3364" t="s">
        <v>3092</v>
      </c>
      <c r="G15" s="3819" t="s">
        <v>3093</v>
      </c>
      <c r="H15" s="3819" t="s">
        <v>3094</v>
      </c>
      <c r="I15" s="3365"/>
      <c r="J15" s="3819" t="s">
        <v>3095</v>
      </c>
      <c r="K15" s="3819" t="s">
        <v>3039</v>
      </c>
      <c r="L15" s="3807"/>
    </row>
    <row r="16" spans="1:14" ht="22.5">
      <c r="A16" s="3819"/>
      <c r="B16" s="3364" t="s">
        <v>3096</v>
      </c>
      <c r="C16" s="3364" t="s">
        <v>3097</v>
      </c>
      <c r="D16" s="3819"/>
      <c r="E16" s="3364" t="s">
        <v>3098</v>
      </c>
      <c r="F16" s="3364" t="s">
        <v>3099</v>
      </c>
      <c r="G16" s="3819"/>
      <c r="H16" s="3819"/>
      <c r="I16" s="3366" t="s">
        <v>3100</v>
      </c>
      <c r="J16" s="3819"/>
      <c r="K16" s="3819"/>
      <c r="L16" s="3807"/>
    </row>
    <row r="17" spans="1:12" ht="22.5">
      <c r="A17" s="3808">
        <v>1</v>
      </c>
      <c r="B17" s="3808" t="s">
        <v>3101</v>
      </c>
      <c r="C17" s="3809" t="s">
        <v>3102</v>
      </c>
      <c r="D17" s="3367" t="s">
        <v>3103</v>
      </c>
      <c r="E17" s="3808" t="s">
        <v>3104</v>
      </c>
      <c r="F17" s="3808">
        <v>3</v>
      </c>
      <c r="G17" s="3816">
        <v>1717.3</v>
      </c>
      <c r="H17" s="3808">
        <v>2012.5</v>
      </c>
      <c r="I17" s="3808" t="s">
        <v>150</v>
      </c>
      <c r="J17" s="3811" t="s">
        <v>3105</v>
      </c>
      <c r="K17" s="3808" t="s">
        <v>3106</v>
      </c>
      <c r="L17" s="3808"/>
    </row>
    <row r="18" spans="1:12" ht="22.5">
      <c r="A18" s="3808"/>
      <c r="B18" s="3808"/>
      <c r="C18" s="3809"/>
      <c r="D18" s="3367" t="s">
        <v>3107</v>
      </c>
      <c r="E18" s="3808"/>
      <c r="F18" s="3808"/>
      <c r="G18" s="3816"/>
      <c r="H18" s="3808"/>
      <c r="I18" s="3808"/>
      <c r="J18" s="3811"/>
      <c r="K18" s="3808"/>
      <c r="L18" s="3808"/>
    </row>
    <row r="19" spans="1:12" ht="22.5">
      <c r="A19" s="3808">
        <v>2</v>
      </c>
      <c r="B19" s="3808" t="s">
        <v>3101</v>
      </c>
      <c r="C19" s="3809" t="s">
        <v>3108</v>
      </c>
      <c r="D19" s="3367" t="s">
        <v>3103</v>
      </c>
      <c r="E19" s="3808" t="s">
        <v>3109</v>
      </c>
      <c r="F19" s="3808">
        <v>2</v>
      </c>
      <c r="G19" s="3816">
        <v>1155.67</v>
      </c>
      <c r="H19" s="3810">
        <v>35765</v>
      </c>
      <c r="I19" s="3808" t="s">
        <v>3110</v>
      </c>
      <c r="J19" s="3811" t="s">
        <v>3105</v>
      </c>
      <c r="K19" s="3808" t="s">
        <v>3111</v>
      </c>
      <c r="L19" s="3808"/>
    </row>
    <row r="20" spans="1:12" ht="22.5">
      <c r="A20" s="3808"/>
      <c r="B20" s="3808"/>
      <c r="C20" s="3809"/>
      <c r="D20" s="3367" t="s">
        <v>3107</v>
      </c>
      <c r="E20" s="3808"/>
      <c r="F20" s="3808"/>
      <c r="G20" s="3816"/>
      <c r="H20" s="3810"/>
      <c r="I20" s="3808"/>
      <c r="J20" s="3811"/>
      <c r="K20" s="3808"/>
      <c r="L20" s="3808"/>
    </row>
    <row r="21" spans="1:12" ht="22.5">
      <c r="A21" s="3812">
        <v>3</v>
      </c>
      <c r="B21" s="3812" t="s">
        <v>3101</v>
      </c>
      <c r="C21" s="3813" t="s">
        <v>3112</v>
      </c>
      <c r="D21" s="3373" t="s">
        <v>3103</v>
      </c>
      <c r="E21" s="3812" t="s">
        <v>3104</v>
      </c>
      <c r="F21" s="3812">
        <v>6</v>
      </c>
      <c r="G21" s="3814">
        <v>10590</v>
      </c>
      <c r="H21" s="3815">
        <v>40298</v>
      </c>
      <c r="I21" s="3812" t="s">
        <v>3113</v>
      </c>
      <c r="J21" s="3812" t="s">
        <v>3114</v>
      </c>
      <c r="K21" s="3812" t="s">
        <v>3106</v>
      </c>
      <c r="L21" s="3812" t="s">
        <v>3136</v>
      </c>
    </row>
    <row r="22" spans="1:12" ht="22.5">
      <c r="A22" s="3812"/>
      <c r="B22" s="3812"/>
      <c r="C22" s="3813"/>
      <c r="D22" s="3373" t="s">
        <v>3107</v>
      </c>
      <c r="E22" s="3812"/>
      <c r="F22" s="3812"/>
      <c r="G22" s="3814"/>
      <c r="H22" s="3815"/>
      <c r="I22" s="3812"/>
      <c r="J22" s="3812"/>
      <c r="K22" s="3812"/>
      <c r="L22" s="3812"/>
    </row>
    <row r="23" spans="1:12" ht="22.5">
      <c r="A23" s="3808">
        <v>4</v>
      </c>
      <c r="B23" s="3808" t="s">
        <v>3101</v>
      </c>
      <c r="C23" s="3809" t="s">
        <v>3115</v>
      </c>
      <c r="D23" s="3367" t="s">
        <v>3103</v>
      </c>
      <c r="E23" s="3808" t="s">
        <v>3116</v>
      </c>
      <c r="F23" s="3808">
        <v>1</v>
      </c>
      <c r="G23" s="3808">
        <v>370</v>
      </c>
      <c r="H23" s="3810">
        <v>38352</v>
      </c>
      <c r="I23" s="3808" t="s">
        <v>3117</v>
      </c>
      <c r="J23" s="3811" t="s">
        <v>3118</v>
      </c>
      <c r="K23" s="3808" t="s">
        <v>3111</v>
      </c>
      <c r="L23" s="3808"/>
    </row>
    <row r="24" spans="1:12" ht="22.5">
      <c r="A24" s="3808"/>
      <c r="B24" s="3808"/>
      <c r="C24" s="3809"/>
      <c r="D24" s="3367" t="s">
        <v>3107</v>
      </c>
      <c r="E24" s="3808"/>
      <c r="F24" s="3808"/>
      <c r="G24" s="3808"/>
      <c r="H24" s="3810"/>
      <c r="I24" s="3808"/>
      <c r="J24" s="3811"/>
      <c r="K24" s="3808"/>
      <c r="L24" s="3808"/>
    </row>
    <row r="25" spans="1:12" ht="22.5">
      <c r="A25" s="3808">
        <v>5</v>
      </c>
      <c r="B25" s="3808" t="s">
        <v>3101</v>
      </c>
      <c r="C25" s="3809" t="s">
        <v>3119</v>
      </c>
      <c r="D25" s="3367" t="s">
        <v>3103</v>
      </c>
      <c r="E25" s="3808" t="s">
        <v>3116</v>
      </c>
      <c r="F25" s="3808">
        <v>2</v>
      </c>
      <c r="G25" s="3808">
        <v>530</v>
      </c>
      <c r="H25" s="3810">
        <v>37894</v>
      </c>
      <c r="I25" s="3808" t="s">
        <v>3117</v>
      </c>
      <c r="J25" s="3811" t="s">
        <v>3118</v>
      </c>
      <c r="K25" s="3808" t="s">
        <v>3111</v>
      </c>
      <c r="L25" s="3808"/>
    </row>
    <row r="26" spans="1:12" ht="22.5">
      <c r="A26" s="3808"/>
      <c r="B26" s="3808"/>
      <c r="C26" s="3809"/>
      <c r="D26" s="3367" t="s">
        <v>3107</v>
      </c>
      <c r="E26" s="3808"/>
      <c r="F26" s="3808"/>
      <c r="G26" s="3808"/>
      <c r="H26" s="3810"/>
      <c r="I26" s="3808"/>
      <c r="J26" s="3811"/>
      <c r="K26" s="3808"/>
      <c r="L26" s="3808"/>
    </row>
    <row r="27" spans="1:12" ht="22.5">
      <c r="A27" s="3808">
        <v>6</v>
      </c>
      <c r="B27" s="3808" t="s">
        <v>3101</v>
      </c>
      <c r="C27" s="3809" t="s">
        <v>3120</v>
      </c>
      <c r="D27" s="3367" t="s">
        <v>3103</v>
      </c>
      <c r="E27" s="3808" t="s">
        <v>3109</v>
      </c>
      <c r="F27" s="3808">
        <v>1</v>
      </c>
      <c r="G27" s="3808">
        <v>150</v>
      </c>
      <c r="H27" s="3810">
        <v>40140</v>
      </c>
      <c r="I27" s="3808" t="s">
        <v>3121</v>
      </c>
      <c r="J27" s="3811" t="s">
        <v>3105</v>
      </c>
      <c r="K27" s="3808" t="s">
        <v>3111</v>
      </c>
      <c r="L27" s="3808"/>
    </row>
    <row r="28" spans="1:12" ht="22.5">
      <c r="A28" s="3808"/>
      <c r="B28" s="3808"/>
      <c r="C28" s="3809"/>
      <c r="D28" s="3367" t="s">
        <v>3107</v>
      </c>
      <c r="E28" s="3808"/>
      <c r="F28" s="3808"/>
      <c r="G28" s="3808"/>
      <c r="H28" s="3810"/>
      <c r="I28" s="3808"/>
      <c r="J28" s="3811"/>
      <c r="K28" s="3808"/>
      <c r="L28" s="3808"/>
    </row>
    <row r="29" spans="1:12" ht="22.5">
      <c r="A29" s="3808">
        <v>7</v>
      </c>
      <c r="B29" s="3808" t="s">
        <v>3101</v>
      </c>
      <c r="C29" s="3809" t="s">
        <v>3122</v>
      </c>
      <c r="D29" s="3367" t="s">
        <v>3103</v>
      </c>
      <c r="E29" s="3808" t="s">
        <v>3109</v>
      </c>
      <c r="F29" s="3808">
        <v>1</v>
      </c>
      <c r="G29" s="3808">
        <v>246.6</v>
      </c>
      <c r="H29" s="3810">
        <v>37179</v>
      </c>
      <c r="I29" s="3808" t="s">
        <v>3123</v>
      </c>
      <c r="J29" s="3811" t="s">
        <v>3105</v>
      </c>
      <c r="K29" s="3808" t="s">
        <v>3111</v>
      </c>
      <c r="L29" s="3808"/>
    </row>
    <row r="30" spans="1:12" ht="22.5">
      <c r="A30" s="3808"/>
      <c r="B30" s="3808"/>
      <c r="C30" s="3809"/>
      <c r="D30" s="3367" t="s">
        <v>3107</v>
      </c>
      <c r="E30" s="3808"/>
      <c r="F30" s="3808"/>
      <c r="G30" s="3808"/>
      <c r="H30" s="3810"/>
      <c r="I30" s="3808"/>
      <c r="J30" s="3811"/>
      <c r="K30" s="3808"/>
      <c r="L30" s="3808"/>
    </row>
    <row r="31" spans="1:12">
      <c r="A31" s="3368" t="s">
        <v>183</v>
      </c>
      <c r="B31" s="3368"/>
      <c r="C31" s="3368"/>
      <c r="D31" s="3368"/>
      <c r="E31" s="3368"/>
      <c r="F31" s="3368"/>
      <c r="G31" s="3369">
        <v>14759.57</v>
      </c>
      <c r="H31" s="3368"/>
      <c r="I31" s="3368"/>
      <c r="J31" s="3368"/>
      <c r="K31" s="3368"/>
      <c r="L31" s="3368"/>
    </row>
    <row r="33" spans="1:16">
      <c r="A33" s="3812"/>
      <c r="B33" s="3812"/>
      <c r="C33" s="3813" t="s">
        <v>3139</v>
      </c>
      <c r="D33" s="3373"/>
      <c r="E33" s="3812"/>
      <c r="F33" s="3812">
        <v>1</v>
      </c>
      <c r="G33" s="3812">
        <v>3900</v>
      </c>
      <c r="H33" s="3815" t="s">
        <v>3140</v>
      </c>
      <c r="I33" s="3812" t="s">
        <v>3141</v>
      </c>
      <c r="J33" s="3821" t="s">
        <v>3142</v>
      </c>
      <c r="K33" s="3812" t="s">
        <v>3143</v>
      </c>
      <c r="L33" s="3812" t="s">
        <v>3144</v>
      </c>
    </row>
    <row r="34" spans="1:16">
      <c r="A34" s="3812"/>
      <c r="B34" s="3812"/>
      <c r="C34" s="3813"/>
      <c r="D34" s="3373"/>
      <c r="E34" s="3812"/>
      <c r="F34" s="3812"/>
      <c r="G34" s="3812"/>
      <c r="H34" s="3815"/>
      <c r="I34" s="3812"/>
      <c r="J34" s="3821"/>
      <c r="K34" s="3812"/>
      <c r="L34" s="3812"/>
    </row>
    <row r="37" spans="1:16">
      <c r="A37" s="3380" t="s">
        <v>3145</v>
      </c>
    </row>
    <row r="38" spans="1:16">
      <c r="A38" s="3817" t="s">
        <v>3146</v>
      </c>
      <c r="B38" s="3817"/>
      <c r="C38" s="3817"/>
      <c r="D38" s="3817"/>
      <c r="E38" s="3817"/>
      <c r="G38" s="3361" t="s">
        <v>3155</v>
      </c>
      <c r="I38" s="3805" t="s">
        <v>3320</v>
      </c>
      <c r="J38" s="3806"/>
      <c r="K38" s="3806"/>
      <c r="L38" s="3806"/>
      <c r="M38" s="3806"/>
      <c r="N38" s="3387"/>
    </row>
    <row r="39" spans="1:16" ht="27">
      <c r="A39" s="3357" t="s">
        <v>3147</v>
      </c>
      <c r="B39" s="3357" t="s">
        <v>3148</v>
      </c>
      <c r="C39" s="3357" t="s">
        <v>3149</v>
      </c>
      <c r="D39" s="3357" t="s">
        <v>3150</v>
      </c>
      <c r="E39" s="3381" t="s">
        <v>3151</v>
      </c>
      <c r="G39">
        <v>82323.28</v>
      </c>
      <c r="J39" t="s">
        <v>3197</v>
      </c>
      <c r="K39">
        <v>6377.35</v>
      </c>
      <c r="L39" t="s">
        <v>3198</v>
      </c>
      <c r="M39">
        <v>6711.29</v>
      </c>
    </row>
    <row r="40" spans="1:16">
      <c r="A40" s="3360">
        <v>1</v>
      </c>
      <c r="B40" s="3360">
        <v>1</v>
      </c>
      <c r="C40" s="3360" t="s">
        <v>3152</v>
      </c>
      <c r="D40" s="3360">
        <v>1997</v>
      </c>
      <c r="E40" s="3359">
        <v>61.39</v>
      </c>
      <c r="G40" s="3361" t="s">
        <v>3156</v>
      </c>
      <c r="I40" s="3388" t="s">
        <v>3199</v>
      </c>
      <c r="J40" s="3388" t="s">
        <v>3200</v>
      </c>
      <c r="K40" s="3388" t="s">
        <v>3201</v>
      </c>
      <c r="L40" s="3388" t="s">
        <v>3202</v>
      </c>
      <c r="M40" s="3388" t="s">
        <v>3203</v>
      </c>
      <c r="N40" s="3388" t="s">
        <v>3204</v>
      </c>
      <c r="O40" s="3424" t="s">
        <v>3316</v>
      </c>
      <c r="P40" t="s">
        <v>3205</v>
      </c>
    </row>
    <row r="41" spans="1:16">
      <c r="A41" s="3360">
        <v>2</v>
      </c>
      <c r="B41" s="3360">
        <v>1</v>
      </c>
      <c r="C41" s="3360" t="s">
        <v>3152</v>
      </c>
      <c r="D41" s="3360">
        <v>1997</v>
      </c>
      <c r="E41" s="3359">
        <v>301.76</v>
      </c>
      <c r="G41" s="3362">
        <f>E161/G39</f>
        <v>0.15470860733440175</v>
      </c>
      <c r="I41" s="3388">
        <v>1</v>
      </c>
      <c r="J41" s="3388">
        <v>1</v>
      </c>
      <c r="K41" s="3388" t="s">
        <v>3206</v>
      </c>
      <c r="L41" s="3388">
        <v>1997</v>
      </c>
      <c r="M41" s="3388">
        <v>61.39</v>
      </c>
      <c r="N41" s="3388">
        <v>0</v>
      </c>
      <c r="O41" s="3389" t="s">
        <v>3207</v>
      </c>
      <c r="P41">
        <f>ROUND(N41*M41,0)</f>
        <v>0</v>
      </c>
    </row>
    <row r="42" spans="1:16">
      <c r="A42" s="3360">
        <v>3</v>
      </c>
      <c r="B42" s="3360">
        <v>1</v>
      </c>
      <c r="C42" s="3360" t="s">
        <v>3152</v>
      </c>
      <c r="D42" s="3360">
        <v>1997</v>
      </c>
      <c r="E42" s="3359">
        <v>83.09</v>
      </c>
      <c r="I42" s="3388">
        <v>2</v>
      </c>
      <c r="J42" s="3388">
        <v>1</v>
      </c>
      <c r="K42" s="3388" t="s">
        <v>3206</v>
      </c>
      <c r="L42" s="3390">
        <v>1997</v>
      </c>
      <c r="M42" s="3390">
        <v>301.76</v>
      </c>
      <c r="N42" s="3390">
        <v>0</v>
      </c>
      <c r="O42" s="3389" t="s">
        <v>3207</v>
      </c>
      <c r="P42">
        <f t="shared" ref="P42:P105" si="1">ROUND(N42*M42,0)</f>
        <v>0</v>
      </c>
    </row>
    <row r="43" spans="1:16">
      <c r="A43" s="3360">
        <v>4</v>
      </c>
      <c r="B43" s="3360">
        <v>1</v>
      </c>
      <c r="C43" s="3360" t="s">
        <v>3153</v>
      </c>
      <c r="D43" s="3360">
        <v>1997</v>
      </c>
      <c r="E43" s="3359">
        <v>43.48</v>
      </c>
      <c r="I43" s="3388">
        <v>3</v>
      </c>
      <c r="J43" s="3388">
        <v>1</v>
      </c>
      <c r="K43" s="3388" t="s">
        <v>3206</v>
      </c>
      <c r="L43" s="3388">
        <v>1997</v>
      </c>
      <c r="M43" s="3388">
        <v>83.09</v>
      </c>
      <c r="N43" s="3388">
        <v>0</v>
      </c>
      <c r="O43" s="3389" t="s">
        <v>3207</v>
      </c>
      <c r="P43">
        <f t="shared" si="1"/>
        <v>0</v>
      </c>
    </row>
    <row r="44" spans="1:16">
      <c r="A44" s="3360">
        <v>5</v>
      </c>
      <c r="B44" s="3360">
        <v>1</v>
      </c>
      <c r="C44" s="3360" t="s">
        <v>3153</v>
      </c>
      <c r="D44" s="3360">
        <v>1997</v>
      </c>
      <c r="E44" s="3359">
        <v>82.34</v>
      </c>
      <c r="I44" s="3388">
        <v>4</v>
      </c>
      <c r="J44" s="3388">
        <v>1</v>
      </c>
      <c r="K44" s="3388" t="s">
        <v>3208</v>
      </c>
      <c r="L44" s="3388">
        <v>1997</v>
      </c>
      <c r="M44" s="3388">
        <v>43.48</v>
      </c>
      <c r="N44" s="3388">
        <v>1200</v>
      </c>
      <c r="O44" s="3388"/>
      <c r="P44">
        <f t="shared" si="1"/>
        <v>52176</v>
      </c>
    </row>
    <row r="45" spans="1:16">
      <c r="A45" s="3360">
        <v>6</v>
      </c>
      <c r="B45" s="3360">
        <v>1</v>
      </c>
      <c r="C45" s="3360" t="s">
        <v>3153</v>
      </c>
      <c r="D45" s="3360">
        <v>1997</v>
      </c>
      <c r="E45" s="3359">
        <v>58.52</v>
      </c>
      <c r="I45" s="3388">
        <v>5</v>
      </c>
      <c r="J45" s="3388">
        <v>1</v>
      </c>
      <c r="K45" s="3388" t="s">
        <v>3208</v>
      </c>
      <c r="L45" s="3388">
        <v>1997</v>
      </c>
      <c r="M45" s="3388">
        <v>82.34</v>
      </c>
      <c r="N45" s="3388">
        <v>1200</v>
      </c>
      <c r="O45" s="3388"/>
      <c r="P45">
        <f t="shared" si="1"/>
        <v>98808</v>
      </c>
    </row>
    <row r="46" spans="1:16">
      <c r="A46" s="3360">
        <v>7</v>
      </c>
      <c r="B46" s="3360">
        <v>1</v>
      </c>
      <c r="C46" s="3360" t="s">
        <v>3153</v>
      </c>
      <c r="D46" s="3360">
        <v>1997</v>
      </c>
      <c r="E46" s="3359">
        <v>90.78</v>
      </c>
      <c r="I46" s="3391">
        <v>6</v>
      </c>
      <c r="J46" s="3391">
        <v>1</v>
      </c>
      <c r="K46" s="3391" t="s">
        <v>3208</v>
      </c>
      <c r="L46" s="3391">
        <v>1997</v>
      </c>
      <c r="M46" s="3391">
        <v>58.52</v>
      </c>
      <c r="N46" s="3388">
        <v>1200</v>
      </c>
      <c r="O46" s="3388"/>
      <c r="P46">
        <f t="shared" si="1"/>
        <v>70224</v>
      </c>
    </row>
    <row r="47" spans="1:16">
      <c r="A47" s="3360">
        <v>8</v>
      </c>
      <c r="B47" s="3360">
        <v>1</v>
      </c>
      <c r="C47" s="3360" t="s">
        <v>3153</v>
      </c>
      <c r="D47" s="3360">
        <v>1997</v>
      </c>
      <c r="E47" s="3359">
        <v>91.28</v>
      </c>
      <c r="I47" s="3388">
        <v>7</v>
      </c>
      <c r="J47" s="3388">
        <v>1</v>
      </c>
      <c r="K47" s="3388" t="s">
        <v>3208</v>
      </c>
      <c r="L47" s="3388">
        <v>1997</v>
      </c>
      <c r="M47" s="3388">
        <v>90.78</v>
      </c>
      <c r="N47" s="3388">
        <v>1200</v>
      </c>
      <c r="O47" s="3388"/>
      <c r="P47">
        <f t="shared" si="1"/>
        <v>108936</v>
      </c>
    </row>
    <row r="48" spans="1:16">
      <c r="A48" s="3360">
        <v>9</v>
      </c>
      <c r="B48" s="3360">
        <v>2</v>
      </c>
      <c r="C48" s="3360" t="s">
        <v>3153</v>
      </c>
      <c r="D48" s="3360">
        <v>1997</v>
      </c>
      <c r="E48" s="3359">
        <v>72.239999999999995</v>
      </c>
      <c r="I48" s="3388">
        <v>8</v>
      </c>
      <c r="J48" s="3388">
        <v>1</v>
      </c>
      <c r="K48" s="3388" t="s">
        <v>3208</v>
      </c>
      <c r="L48" s="3388">
        <v>1997</v>
      </c>
      <c r="M48" s="3388">
        <v>91.28</v>
      </c>
      <c r="N48" s="3388">
        <v>1200</v>
      </c>
      <c r="O48" s="3388"/>
      <c r="P48">
        <f t="shared" si="1"/>
        <v>109536</v>
      </c>
    </row>
    <row r="49" spans="1:16">
      <c r="A49" s="3360">
        <v>10</v>
      </c>
      <c r="B49" s="3360">
        <v>1</v>
      </c>
      <c r="C49" s="3360" t="s">
        <v>3153</v>
      </c>
      <c r="D49" s="3360">
        <v>1997</v>
      </c>
      <c r="E49" s="3359">
        <v>49.41</v>
      </c>
      <c r="I49" s="3388">
        <v>9</v>
      </c>
      <c r="J49" s="3388">
        <v>2</v>
      </c>
      <c r="K49" s="3388" t="s">
        <v>3208</v>
      </c>
      <c r="L49" s="3388">
        <v>1997</v>
      </c>
      <c r="M49" s="3388">
        <v>72.239999999999995</v>
      </c>
      <c r="N49" s="3388">
        <v>1200</v>
      </c>
      <c r="O49" s="3388"/>
      <c r="P49">
        <f t="shared" si="1"/>
        <v>86688</v>
      </c>
    </row>
    <row r="50" spans="1:16">
      <c r="A50" s="3360">
        <v>11</v>
      </c>
      <c r="B50" s="3360">
        <v>1</v>
      </c>
      <c r="C50" s="3360" t="s">
        <v>3153</v>
      </c>
      <c r="D50" s="3360">
        <v>1997</v>
      </c>
      <c r="E50" s="3359">
        <v>26.6</v>
      </c>
      <c r="I50" s="3388">
        <v>10</v>
      </c>
      <c r="J50" s="3388">
        <v>1</v>
      </c>
      <c r="K50" s="3388" t="s">
        <v>3208</v>
      </c>
      <c r="L50" s="3388">
        <v>1997</v>
      </c>
      <c r="M50" s="3388">
        <v>49.41</v>
      </c>
      <c r="N50" s="3388">
        <v>1200</v>
      </c>
      <c r="O50" s="3388"/>
      <c r="P50">
        <f t="shared" si="1"/>
        <v>59292</v>
      </c>
    </row>
    <row r="51" spans="1:16">
      <c r="A51" s="3360">
        <v>17</v>
      </c>
      <c r="B51" s="3360">
        <v>1</v>
      </c>
      <c r="C51" s="3360" t="s">
        <v>3153</v>
      </c>
      <c r="D51" s="3360">
        <v>1997</v>
      </c>
      <c r="E51" s="3359">
        <v>44.55</v>
      </c>
      <c r="I51" s="3388">
        <v>11</v>
      </c>
      <c r="J51" s="3388">
        <v>1</v>
      </c>
      <c r="K51" s="3388" t="s">
        <v>3208</v>
      </c>
      <c r="L51" s="3388">
        <v>1997</v>
      </c>
      <c r="M51" s="3388">
        <v>26.6</v>
      </c>
      <c r="N51" s="3388">
        <v>0</v>
      </c>
      <c r="O51" s="3389" t="s">
        <v>3207</v>
      </c>
      <c r="P51">
        <f t="shared" si="1"/>
        <v>0</v>
      </c>
    </row>
    <row r="52" spans="1:16">
      <c r="A52" s="3360">
        <v>18</v>
      </c>
      <c r="B52" s="3360">
        <v>1</v>
      </c>
      <c r="C52" s="3360" t="s">
        <v>3153</v>
      </c>
      <c r="D52" s="3360">
        <v>1997</v>
      </c>
      <c r="E52" s="3359">
        <v>93.55</v>
      </c>
      <c r="I52" s="3402">
        <v>12</v>
      </c>
      <c r="J52" s="3402">
        <v>1</v>
      </c>
      <c r="K52" s="3402" t="s">
        <v>3208</v>
      </c>
      <c r="L52" s="3402">
        <v>1997</v>
      </c>
      <c r="M52" s="3402">
        <v>49.84</v>
      </c>
      <c r="N52" s="3388">
        <v>1200</v>
      </c>
      <c r="O52" s="3388"/>
      <c r="P52">
        <f t="shared" si="1"/>
        <v>59808</v>
      </c>
    </row>
    <row r="53" spans="1:16">
      <c r="A53" s="3360">
        <v>19</v>
      </c>
      <c r="B53" s="3360">
        <v>2</v>
      </c>
      <c r="C53" s="3360" t="s">
        <v>3153</v>
      </c>
      <c r="D53" s="3360">
        <v>1997</v>
      </c>
      <c r="E53" s="3359">
        <v>1246.02</v>
      </c>
      <c r="I53" s="3402">
        <v>13</v>
      </c>
      <c r="J53" s="3402">
        <v>1</v>
      </c>
      <c r="K53" s="3402" t="s">
        <v>3208</v>
      </c>
      <c r="L53" s="3402">
        <v>1997</v>
      </c>
      <c r="M53" s="3402">
        <v>97.25</v>
      </c>
      <c r="N53" s="3388">
        <v>1200</v>
      </c>
      <c r="O53" s="3388"/>
      <c r="P53">
        <f t="shared" si="1"/>
        <v>116700</v>
      </c>
    </row>
    <row r="54" spans="1:16">
      <c r="A54" s="3360">
        <v>20</v>
      </c>
      <c r="B54" s="3360">
        <v>1</v>
      </c>
      <c r="C54" s="3360" t="s">
        <v>3153</v>
      </c>
      <c r="D54" s="3360">
        <v>1997</v>
      </c>
      <c r="E54" s="3359">
        <v>21.42</v>
      </c>
      <c r="I54" s="3402">
        <v>14</v>
      </c>
      <c r="J54" s="3402">
        <v>1</v>
      </c>
      <c r="K54" s="3402" t="s">
        <v>3208</v>
      </c>
      <c r="L54" s="3402">
        <v>1997</v>
      </c>
      <c r="M54" s="3402">
        <v>49.97</v>
      </c>
      <c r="N54" s="3388">
        <v>1200</v>
      </c>
      <c r="O54" s="3388"/>
      <c r="P54">
        <f t="shared" si="1"/>
        <v>59964</v>
      </c>
    </row>
    <row r="55" spans="1:16">
      <c r="A55" s="3360">
        <v>21</v>
      </c>
      <c r="B55" s="3360">
        <v>1</v>
      </c>
      <c r="C55" s="3360" t="s">
        <v>3153</v>
      </c>
      <c r="D55" s="3360">
        <v>1997</v>
      </c>
      <c r="E55" s="3359">
        <v>38.01</v>
      </c>
      <c r="I55" s="3402">
        <v>15</v>
      </c>
      <c r="J55" s="3402">
        <v>1</v>
      </c>
      <c r="K55" s="3402" t="s">
        <v>3208</v>
      </c>
      <c r="L55" s="3402">
        <v>1997</v>
      </c>
      <c r="M55" s="3402">
        <v>31.75</v>
      </c>
      <c r="N55" s="3388">
        <v>1200</v>
      </c>
      <c r="O55" s="3388"/>
      <c r="P55">
        <f t="shared" si="1"/>
        <v>38100</v>
      </c>
    </row>
    <row r="56" spans="1:16">
      <c r="A56" s="3360">
        <v>22</v>
      </c>
      <c r="B56" s="3360">
        <v>1</v>
      </c>
      <c r="C56" s="3360" t="s">
        <v>3153</v>
      </c>
      <c r="D56" s="3360">
        <v>1997</v>
      </c>
      <c r="E56" s="3359">
        <v>120.32</v>
      </c>
      <c r="I56" s="3402">
        <v>16</v>
      </c>
      <c r="J56" s="3402">
        <v>1</v>
      </c>
      <c r="K56" s="3402" t="s">
        <v>3208</v>
      </c>
      <c r="L56" s="3402">
        <v>1997</v>
      </c>
      <c r="M56" s="3402">
        <v>76.95</v>
      </c>
      <c r="N56" s="3388">
        <v>1200</v>
      </c>
      <c r="O56" s="3388"/>
      <c r="P56">
        <f t="shared" si="1"/>
        <v>92340</v>
      </c>
    </row>
    <row r="57" spans="1:16">
      <c r="A57" s="3360">
        <v>23</v>
      </c>
      <c r="B57" s="3360">
        <v>1</v>
      </c>
      <c r="C57" s="3360" t="s">
        <v>3153</v>
      </c>
      <c r="D57" s="3360">
        <v>1997</v>
      </c>
      <c r="E57" s="3359">
        <v>70.05</v>
      </c>
      <c r="I57" s="3388">
        <v>17</v>
      </c>
      <c r="J57" s="3388">
        <v>1</v>
      </c>
      <c r="K57" s="3388" t="s">
        <v>3208</v>
      </c>
      <c r="L57" s="3388">
        <v>1997</v>
      </c>
      <c r="M57" s="3388">
        <v>44.55</v>
      </c>
      <c r="N57" s="3388">
        <v>1200</v>
      </c>
      <c r="O57" s="3388"/>
      <c r="P57">
        <f t="shared" si="1"/>
        <v>53460</v>
      </c>
    </row>
    <row r="58" spans="1:16">
      <c r="A58" s="3360">
        <v>24</v>
      </c>
      <c r="B58" s="3360">
        <v>1</v>
      </c>
      <c r="C58" s="3360" t="s">
        <v>3153</v>
      </c>
      <c r="D58" s="3360">
        <v>1997</v>
      </c>
      <c r="E58" s="3359">
        <v>64.290000000000006</v>
      </c>
      <c r="I58" s="3388">
        <v>18</v>
      </c>
      <c r="J58" s="3388">
        <v>1</v>
      </c>
      <c r="K58" s="3388" t="s">
        <v>3208</v>
      </c>
      <c r="L58" s="3388">
        <v>1997</v>
      </c>
      <c r="M58" s="3388">
        <v>93.55</v>
      </c>
      <c r="N58" s="3388">
        <v>1200</v>
      </c>
      <c r="O58" s="3388"/>
      <c r="P58">
        <f t="shared" si="1"/>
        <v>112260</v>
      </c>
    </row>
    <row r="59" spans="1:16">
      <c r="A59" s="3360">
        <v>25</v>
      </c>
      <c r="B59" s="3360">
        <v>1</v>
      </c>
      <c r="C59" s="3360" t="s">
        <v>3153</v>
      </c>
      <c r="D59" s="3360">
        <v>1997</v>
      </c>
      <c r="E59" s="3359">
        <v>66.209999999999994</v>
      </c>
      <c r="I59" s="3388">
        <v>19</v>
      </c>
      <c r="J59" s="3388">
        <v>2</v>
      </c>
      <c r="K59" s="3388" t="s">
        <v>3208</v>
      </c>
      <c r="L59" s="3388">
        <v>1997</v>
      </c>
      <c r="M59" s="3388">
        <v>1246.02</v>
      </c>
      <c r="N59" s="3388">
        <v>1200</v>
      </c>
      <c r="O59" s="3388"/>
      <c r="P59">
        <f t="shared" si="1"/>
        <v>1495224</v>
      </c>
    </row>
    <row r="60" spans="1:16">
      <c r="A60" s="3360">
        <v>26</v>
      </c>
      <c r="B60" s="3360">
        <v>1</v>
      </c>
      <c r="C60" s="3360" t="s">
        <v>3153</v>
      </c>
      <c r="D60" s="3360">
        <v>1997</v>
      </c>
      <c r="E60" s="3359">
        <v>132.13</v>
      </c>
      <c r="I60" s="3388">
        <v>20</v>
      </c>
      <c r="J60" s="3388">
        <v>1</v>
      </c>
      <c r="K60" s="3388" t="s">
        <v>3208</v>
      </c>
      <c r="L60" s="3388">
        <v>1997</v>
      </c>
      <c r="M60" s="3388">
        <v>21.42</v>
      </c>
      <c r="N60" s="3388">
        <v>1200</v>
      </c>
      <c r="O60" s="3388"/>
      <c r="P60">
        <f t="shared" si="1"/>
        <v>25704</v>
      </c>
    </row>
    <row r="61" spans="1:16">
      <c r="A61" s="3360">
        <v>27</v>
      </c>
      <c r="B61" s="3360">
        <v>1</v>
      </c>
      <c r="C61" s="3360" t="s">
        <v>3153</v>
      </c>
      <c r="D61" s="3360">
        <v>1997</v>
      </c>
      <c r="E61" s="3359">
        <v>27.9</v>
      </c>
      <c r="I61" s="3388">
        <v>21</v>
      </c>
      <c r="J61" s="3388">
        <v>1</v>
      </c>
      <c r="K61" s="3388" t="s">
        <v>3208</v>
      </c>
      <c r="L61" s="3388">
        <v>1997</v>
      </c>
      <c r="M61" s="3388">
        <v>38.01</v>
      </c>
      <c r="N61" s="3388">
        <v>1200</v>
      </c>
      <c r="O61" s="3388"/>
      <c r="P61">
        <f t="shared" si="1"/>
        <v>45612</v>
      </c>
    </row>
    <row r="62" spans="1:16">
      <c r="A62" s="3360">
        <v>28</v>
      </c>
      <c r="B62" s="3360">
        <v>1</v>
      </c>
      <c r="C62" s="3360" t="s">
        <v>3153</v>
      </c>
      <c r="D62" s="3360">
        <v>1997</v>
      </c>
      <c r="E62" s="3359">
        <v>31.4</v>
      </c>
      <c r="I62" s="3391">
        <v>22</v>
      </c>
      <c r="J62" s="3391">
        <v>1</v>
      </c>
      <c r="K62" s="3391" t="s">
        <v>3208</v>
      </c>
      <c r="L62" s="3391">
        <v>1997</v>
      </c>
      <c r="M62" s="3391">
        <v>120.32</v>
      </c>
      <c r="N62" s="3388">
        <v>1200</v>
      </c>
      <c r="O62" s="3388"/>
      <c r="P62">
        <f t="shared" si="1"/>
        <v>144384</v>
      </c>
    </row>
    <row r="63" spans="1:16">
      <c r="A63" s="3360">
        <v>29</v>
      </c>
      <c r="B63" s="3360">
        <v>1</v>
      </c>
      <c r="C63" s="3360" t="s">
        <v>3153</v>
      </c>
      <c r="D63" s="3360">
        <v>1997</v>
      </c>
      <c r="E63" s="3359">
        <v>18.670000000000002</v>
      </c>
      <c r="I63" s="3388">
        <v>23</v>
      </c>
      <c r="J63" s="3388">
        <v>1</v>
      </c>
      <c r="K63" s="3388" t="s">
        <v>3208</v>
      </c>
      <c r="L63" s="3388">
        <v>1997</v>
      </c>
      <c r="M63" s="3388">
        <v>70.05</v>
      </c>
      <c r="N63" s="3388">
        <v>1200</v>
      </c>
      <c r="O63" s="3388"/>
      <c r="P63">
        <f t="shared" si="1"/>
        <v>84060</v>
      </c>
    </row>
    <row r="64" spans="1:16">
      <c r="A64" s="3360">
        <v>30</v>
      </c>
      <c r="B64" s="3360">
        <v>1</v>
      </c>
      <c r="C64" s="3360" t="s">
        <v>3153</v>
      </c>
      <c r="D64" s="3360">
        <v>1997</v>
      </c>
      <c r="E64" s="3359">
        <v>97.5</v>
      </c>
      <c r="I64" s="3388">
        <v>24</v>
      </c>
      <c r="J64" s="3388">
        <v>1</v>
      </c>
      <c r="K64" s="3388" t="s">
        <v>3208</v>
      </c>
      <c r="L64" s="3388">
        <v>1997</v>
      </c>
      <c r="M64" s="3388">
        <v>64.290000000000006</v>
      </c>
      <c r="N64" s="3388">
        <v>1200</v>
      </c>
      <c r="O64" s="3388"/>
      <c r="P64">
        <f t="shared" si="1"/>
        <v>77148</v>
      </c>
    </row>
    <row r="65" spans="1:16">
      <c r="A65" s="3360">
        <v>31</v>
      </c>
      <c r="B65" s="3360">
        <v>1</v>
      </c>
      <c r="C65" s="3360" t="s">
        <v>3153</v>
      </c>
      <c r="D65" s="3360">
        <v>1997</v>
      </c>
      <c r="E65" s="3359">
        <v>36.43</v>
      </c>
      <c r="I65" s="3388">
        <v>25</v>
      </c>
      <c r="J65" s="3388">
        <v>1</v>
      </c>
      <c r="K65" s="3388" t="s">
        <v>3208</v>
      </c>
      <c r="L65" s="3388">
        <v>1997</v>
      </c>
      <c r="M65" s="3388">
        <v>66.209999999999994</v>
      </c>
      <c r="N65" s="3388">
        <v>1200</v>
      </c>
      <c r="O65" s="3388"/>
      <c r="P65">
        <f t="shared" si="1"/>
        <v>79452</v>
      </c>
    </row>
    <row r="66" spans="1:16">
      <c r="A66" s="3360">
        <v>32</v>
      </c>
      <c r="B66" s="3360">
        <v>1</v>
      </c>
      <c r="C66" s="3360" t="s">
        <v>3153</v>
      </c>
      <c r="D66" s="3360">
        <v>1997</v>
      </c>
      <c r="E66" s="3359">
        <v>28.5</v>
      </c>
      <c r="I66" s="3388">
        <v>26</v>
      </c>
      <c r="J66" s="3388">
        <v>1</v>
      </c>
      <c r="K66" s="3388" t="s">
        <v>3208</v>
      </c>
      <c r="L66" s="3388">
        <v>1997</v>
      </c>
      <c r="M66" s="3388">
        <v>132.13</v>
      </c>
      <c r="N66" s="3388">
        <v>0</v>
      </c>
      <c r="O66" s="3389" t="s">
        <v>3207</v>
      </c>
      <c r="P66">
        <f t="shared" si="1"/>
        <v>0</v>
      </c>
    </row>
    <row r="67" spans="1:16">
      <c r="A67" s="3360">
        <v>33</v>
      </c>
      <c r="B67" s="3360">
        <v>1</v>
      </c>
      <c r="C67" s="3360" t="s">
        <v>3153</v>
      </c>
      <c r="D67" s="3360">
        <v>1997</v>
      </c>
      <c r="E67" s="3359">
        <v>106.9</v>
      </c>
      <c r="I67" s="3388">
        <v>27</v>
      </c>
      <c r="J67" s="3388">
        <v>1</v>
      </c>
      <c r="K67" s="3388" t="s">
        <v>3208</v>
      </c>
      <c r="L67" s="3388">
        <v>1997</v>
      </c>
      <c r="M67" s="3388">
        <v>27.9</v>
      </c>
      <c r="N67" s="3388">
        <v>0</v>
      </c>
      <c r="O67" s="3389" t="s">
        <v>3207</v>
      </c>
      <c r="P67">
        <f t="shared" si="1"/>
        <v>0</v>
      </c>
    </row>
    <row r="68" spans="1:16">
      <c r="A68" s="3360">
        <v>34</v>
      </c>
      <c r="B68" s="3360">
        <v>1</v>
      </c>
      <c r="C68" s="3360" t="s">
        <v>3153</v>
      </c>
      <c r="D68" s="3360">
        <v>1997</v>
      </c>
      <c r="E68" s="3359">
        <v>30.78</v>
      </c>
      <c r="I68" s="3388">
        <v>28</v>
      </c>
      <c r="J68" s="3388">
        <v>1</v>
      </c>
      <c r="K68" s="3388" t="s">
        <v>3208</v>
      </c>
      <c r="L68" s="3388">
        <v>1997</v>
      </c>
      <c r="M68" s="3388">
        <v>31.4</v>
      </c>
      <c r="N68" s="3388">
        <v>1200</v>
      </c>
      <c r="O68" s="3388"/>
      <c r="P68">
        <f t="shared" si="1"/>
        <v>37680</v>
      </c>
    </row>
    <row r="69" spans="1:16">
      <c r="A69" s="3360">
        <v>35</v>
      </c>
      <c r="B69" s="3360">
        <v>1</v>
      </c>
      <c r="C69" s="3360" t="s">
        <v>3153</v>
      </c>
      <c r="D69" s="3360">
        <v>1997</v>
      </c>
      <c r="E69" s="3359">
        <v>33.700000000000003</v>
      </c>
      <c r="I69" s="3388">
        <v>29</v>
      </c>
      <c r="J69" s="3388">
        <v>1</v>
      </c>
      <c r="K69" s="3388" t="s">
        <v>3208</v>
      </c>
      <c r="L69" s="3388">
        <v>1997</v>
      </c>
      <c r="M69" s="3388">
        <v>18.670000000000002</v>
      </c>
      <c r="N69" s="3388">
        <v>1200</v>
      </c>
      <c r="O69" s="3388"/>
      <c r="P69">
        <f t="shared" si="1"/>
        <v>22404</v>
      </c>
    </row>
    <row r="70" spans="1:16">
      <c r="A70" s="3360">
        <v>36</v>
      </c>
      <c r="B70" s="3360">
        <v>1</v>
      </c>
      <c r="C70" s="3360" t="s">
        <v>3153</v>
      </c>
      <c r="D70" s="3360">
        <v>1997</v>
      </c>
      <c r="E70" s="3359">
        <v>33.64</v>
      </c>
      <c r="I70" s="3388">
        <v>30</v>
      </c>
      <c r="J70" s="3388">
        <v>1</v>
      </c>
      <c r="K70" s="3388" t="s">
        <v>3208</v>
      </c>
      <c r="L70" s="3388">
        <v>1997</v>
      </c>
      <c r="M70" s="3388">
        <v>97.5</v>
      </c>
      <c r="N70" s="3388">
        <v>1200</v>
      </c>
      <c r="O70" s="3388"/>
      <c r="P70">
        <f t="shared" si="1"/>
        <v>117000</v>
      </c>
    </row>
    <row r="71" spans="1:16">
      <c r="A71" s="3360">
        <v>37</v>
      </c>
      <c r="B71" s="3360">
        <v>2</v>
      </c>
      <c r="C71" s="3360" t="s">
        <v>3153</v>
      </c>
      <c r="D71" s="3360">
        <v>1997</v>
      </c>
      <c r="E71" s="3359">
        <v>129.12</v>
      </c>
      <c r="I71" s="3388">
        <v>31</v>
      </c>
      <c r="J71" s="3388">
        <v>1</v>
      </c>
      <c r="K71" s="3388" t="s">
        <v>3208</v>
      </c>
      <c r="L71" s="3388">
        <v>1997</v>
      </c>
      <c r="M71" s="3388">
        <v>36.43</v>
      </c>
      <c r="N71" s="3388">
        <v>1200</v>
      </c>
      <c r="O71" s="3388"/>
      <c r="P71">
        <f t="shared" si="1"/>
        <v>43716</v>
      </c>
    </row>
    <row r="72" spans="1:16">
      <c r="A72" s="3360">
        <v>38</v>
      </c>
      <c r="B72" s="3360">
        <v>1</v>
      </c>
      <c r="C72" s="3360" t="s">
        <v>3153</v>
      </c>
      <c r="D72" s="3360">
        <v>1997</v>
      </c>
      <c r="E72" s="3359">
        <v>32.31</v>
      </c>
      <c r="I72" s="3388">
        <v>32</v>
      </c>
      <c r="J72" s="3388">
        <v>1</v>
      </c>
      <c r="K72" s="3388" t="s">
        <v>3208</v>
      </c>
      <c r="L72" s="3388">
        <v>1997</v>
      </c>
      <c r="M72" s="3388">
        <v>28.5</v>
      </c>
      <c r="N72" s="3388">
        <v>1200</v>
      </c>
      <c r="O72" s="3388"/>
      <c r="P72">
        <f t="shared" si="1"/>
        <v>34200</v>
      </c>
    </row>
    <row r="73" spans="1:16">
      <c r="A73" s="3360">
        <v>39</v>
      </c>
      <c r="B73" s="3360">
        <v>1</v>
      </c>
      <c r="C73" s="3360" t="s">
        <v>3153</v>
      </c>
      <c r="D73" s="3360">
        <v>1997</v>
      </c>
      <c r="E73" s="3359">
        <v>76.38</v>
      </c>
      <c r="I73" s="3388">
        <v>33</v>
      </c>
      <c r="J73" s="3388">
        <v>1</v>
      </c>
      <c r="K73" s="3388" t="s">
        <v>3208</v>
      </c>
      <c r="L73" s="3388">
        <v>1997</v>
      </c>
      <c r="M73" s="3388">
        <v>106.9</v>
      </c>
      <c r="N73" s="3388">
        <v>1200</v>
      </c>
      <c r="O73" s="3388"/>
      <c r="P73">
        <f t="shared" si="1"/>
        <v>128280</v>
      </c>
    </row>
    <row r="74" spans="1:16">
      <c r="A74" s="3360">
        <v>40</v>
      </c>
      <c r="B74" s="3360">
        <v>1</v>
      </c>
      <c r="C74" s="3360" t="s">
        <v>3153</v>
      </c>
      <c r="D74" s="3360">
        <v>1997</v>
      </c>
      <c r="E74" s="3359">
        <v>44.51</v>
      </c>
      <c r="I74" s="3388">
        <v>34</v>
      </c>
      <c r="J74" s="3388">
        <v>1</v>
      </c>
      <c r="K74" s="3388" t="s">
        <v>3208</v>
      </c>
      <c r="L74" s="3388">
        <v>1997</v>
      </c>
      <c r="M74" s="3388">
        <v>30.78</v>
      </c>
      <c r="N74" s="3388">
        <v>1200</v>
      </c>
      <c r="O74" s="3388"/>
      <c r="P74">
        <f t="shared" si="1"/>
        <v>36936</v>
      </c>
    </row>
    <row r="75" spans="1:16">
      <c r="A75" s="3360">
        <v>41</v>
      </c>
      <c r="B75" s="3360">
        <v>2</v>
      </c>
      <c r="C75" s="3360" t="s">
        <v>3153</v>
      </c>
      <c r="D75" s="3360">
        <v>1997</v>
      </c>
      <c r="E75" s="3359">
        <v>78.459999999999994</v>
      </c>
      <c r="I75" s="3388">
        <v>35</v>
      </c>
      <c r="J75" s="3388">
        <v>1</v>
      </c>
      <c r="K75" s="3388" t="s">
        <v>3208</v>
      </c>
      <c r="L75" s="3388">
        <v>1997</v>
      </c>
      <c r="M75" s="3388">
        <v>33.700000000000003</v>
      </c>
      <c r="N75" s="3388">
        <v>1200</v>
      </c>
      <c r="O75" s="3388"/>
      <c r="P75">
        <f t="shared" si="1"/>
        <v>40440</v>
      </c>
    </row>
    <row r="76" spans="1:16">
      <c r="A76" s="3360">
        <v>42</v>
      </c>
      <c r="B76" s="3360">
        <v>1</v>
      </c>
      <c r="C76" s="3360" t="s">
        <v>3153</v>
      </c>
      <c r="D76" s="3360">
        <v>1997</v>
      </c>
      <c r="E76" s="3359">
        <v>35.270000000000003</v>
      </c>
      <c r="I76" s="3388">
        <v>36</v>
      </c>
      <c r="J76" s="3388">
        <v>1</v>
      </c>
      <c r="K76" s="3388" t="s">
        <v>3208</v>
      </c>
      <c r="L76" s="3388">
        <v>1997</v>
      </c>
      <c r="M76" s="3388">
        <v>33.64</v>
      </c>
      <c r="N76" s="3388">
        <v>1200</v>
      </c>
      <c r="O76" s="3388"/>
      <c r="P76">
        <f t="shared" si="1"/>
        <v>40368</v>
      </c>
    </row>
    <row r="77" spans="1:16">
      <c r="A77" s="3360">
        <v>43</v>
      </c>
      <c r="B77" s="3360">
        <v>1</v>
      </c>
      <c r="C77" s="3360" t="s">
        <v>3153</v>
      </c>
      <c r="D77" s="3360">
        <v>1997</v>
      </c>
      <c r="E77" s="3359">
        <v>29.96</v>
      </c>
      <c r="I77" s="3388">
        <v>37</v>
      </c>
      <c r="J77" s="3388">
        <v>2</v>
      </c>
      <c r="K77" s="3388" t="s">
        <v>3208</v>
      </c>
      <c r="L77" s="3388">
        <v>1997</v>
      </c>
      <c r="M77" s="3388">
        <v>129.12</v>
      </c>
      <c r="N77" s="3388">
        <v>1200</v>
      </c>
      <c r="O77" s="3388"/>
      <c r="P77">
        <f t="shared" si="1"/>
        <v>154944</v>
      </c>
    </row>
    <row r="78" spans="1:16">
      <c r="A78" s="3360">
        <v>44</v>
      </c>
      <c r="B78" s="3360">
        <v>1</v>
      </c>
      <c r="C78" s="3360" t="s">
        <v>3153</v>
      </c>
      <c r="D78" s="3360">
        <v>1997</v>
      </c>
      <c r="E78" s="3359">
        <v>15.6</v>
      </c>
      <c r="I78" s="3388">
        <v>38</v>
      </c>
      <c r="J78" s="3388">
        <v>1</v>
      </c>
      <c r="K78" s="3388" t="s">
        <v>3208</v>
      </c>
      <c r="L78" s="3388">
        <v>1997</v>
      </c>
      <c r="M78" s="3388">
        <v>32.31</v>
      </c>
      <c r="N78" s="3388">
        <v>1200</v>
      </c>
      <c r="O78" s="3388"/>
      <c r="P78">
        <f t="shared" si="1"/>
        <v>38772</v>
      </c>
    </row>
    <row r="79" spans="1:16">
      <c r="A79" s="3360">
        <v>45</v>
      </c>
      <c r="B79" s="3360">
        <v>2</v>
      </c>
      <c r="C79" s="3360" t="s">
        <v>3153</v>
      </c>
      <c r="D79" s="3360">
        <v>1997</v>
      </c>
      <c r="E79" s="3359">
        <v>144.44</v>
      </c>
      <c r="I79" s="3391">
        <v>39</v>
      </c>
      <c r="J79" s="3391">
        <v>1</v>
      </c>
      <c r="K79" s="3391" t="s">
        <v>3208</v>
      </c>
      <c r="L79" s="3391">
        <v>1997</v>
      </c>
      <c r="M79" s="3391">
        <v>76.38</v>
      </c>
      <c r="N79" s="3388">
        <v>1200</v>
      </c>
      <c r="O79" s="3388"/>
      <c r="P79">
        <f t="shared" si="1"/>
        <v>91656</v>
      </c>
    </row>
    <row r="80" spans="1:16">
      <c r="A80" s="3360">
        <v>46</v>
      </c>
      <c r="B80" s="3360">
        <v>1</v>
      </c>
      <c r="C80" s="3360" t="s">
        <v>3153</v>
      </c>
      <c r="D80" s="3360">
        <v>1997</v>
      </c>
      <c r="E80" s="3359">
        <v>50.57</v>
      </c>
      <c r="I80" s="3388">
        <v>40</v>
      </c>
      <c r="J80" s="3388">
        <v>1</v>
      </c>
      <c r="K80" s="3388" t="s">
        <v>3208</v>
      </c>
      <c r="L80" s="3388">
        <v>1997</v>
      </c>
      <c r="M80" s="3388">
        <v>44.51</v>
      </c>
      <c r="N80" s="3388">
        <v>1200</v>
      </c>
      <c r="O80" s="3388"/>
      <c r="P80">
        <f t="shared" si="1"/>
        <v>53412</v>
      </c>
    </row>
    <row r="81" spans="1:16">
      <c r="A81" s="3360">
        <v>48</v>
      </c>
      <c r="B81" s="3360">
        <v>1</v>
      </c>
      <c r="C81" s="3360" t="s">
        <v>3153</v>
      </c>
      <c r="D81" s="3360">
        <v>1997</v>
      </c>
      <c r="E81" s="3359">
        <v>17.53</v>
      </c>
      <c r="I81" s="3388">
        <v>41</v>
      </c>
      <c r="J81" s="3388">
        <v>2</v>
      </c>
      <c r="K81" s="3388" t="s">
        <v>3208</v>
      </c>
      <c r="L81" s="3388">
        <v>1997</v>
      </c>
      <c r="M81" s="3388">
        <v>78.459999999999994</v>
      </c>
      <c r="N81" s="3388">
        <v>1200</v>
      </c>
      <c r="O81" s="3388"/>
      <c r="P81">
        <f t="shared" si="1"/>
        <v>94152</v>
      </c>
    </row>
    <row r="82" spans="1:16">
      <c r="A82" s="3360">
        <v>49</v>
      </c>
      <c r="B82" s="3360">
        <v>1</v>
      </c>
      <c r="C82" s="3360" t="s">
        <v>3153</v>
      </c>
      <c r="D82" s="3360">
        <v>1997</v>
      </c>
      <c r="E82" s="3359">
        <v>12.35</v>
      </c>
      <c r="I82" s="3388">
        <v>42</v>
      </c>
      <c r="J82" s="3388">
        <v>1</v>
      </c>
      <c r="K82" s="3388" t="s">
        <v>3208</v>
      </c>
      <c r="L82" s="3388">
        <v>1997</v>
      </c>
      <c r="M82" s="3388">
        <v>35.270000000000003</v>
      </c>
      <c r="N82" s="3388">
        <v>1200</v>
      </c>
      <c r="O82" s="3388"/>
      <c r="P82">
        <f t="shared" si="1"/>
        <v>42324</v>
      </c>
    </row>
    <row r="83" spans="1:16">
      <c r="A83" s="3360">
        <v>50</v>
      </c>
      <c r="B83" s="3360">
        <v>1</v>
      </c>
      <c r="C83" s="3360" t="s">
        <v>3153</v>
      </c>
      <c r="D83" s="3360">
        <v>1997</v>
      </c>
      <c r="E83" s="3359">
        <v>28.77</v>
      </c>
      <c r="I83" s="3388">
        <v>43</v>
      </c>
      <c r="J83" s="3388">
        <v>1</v>
      </c>
      <c r="K83" s="3388" t="s">
        <v>3208</v>
      </c>
      <c r="L83" s="3388">
        <v>1997</v>
      </c>
      <c r="M83" s="3388">
        <v>29.96</v>
      </c>
      <c r="N83" s="3388">
        <v>1200</v>
      </c>
      <c r="O83" s="3388"/>
      <c r="P83">
        <f t="shared" si="1"/>
        <v>35952</v>
      </c>
    </row>
    <row r="84" spans="1:16">
      <c r="A84" s="3360">
        <v>51</v>
      </c>
      <c r="B84" s="3360">
        <v>1</v>
      </c>
      <c r="C84" s="3360" t="s">
        <v>3153</v>
      </c>
      <c r="D84" s="3360">
        <v>1997</v>
      </c>
      <c r="E84" s="3359">
        <v>38.090000000000003</v>
      </c>
      <c r="I84" s="3388">
        <v>44</v>
      </c>
      <c r="J84" s="3388">
        <v>1</v>
      </c>
      <c r="K84" s="3388" t="s">
        <v>3208</v>
      </c>
      <c r="L84" s="3388">
        <v>1997</v>
      </c>
      <c r="M84" s="3388">
        <v>15.6</v>
      </c>
      <c r="N84" s="3388">
        <v>1200</v>
      </c>
      <c r="O84" s="3388"/>
      <c r="P84">
        <f t="shared" si="1"/>
        <v>18720</v>
      </c>
    </row>
    <row r="85" spans="1:16">
      <c r="A85" s="3360">
        <v>52</v>
      </c>
      <c r="B85" s="3360">
        <v>1</v>
      </c>
      <c r="C85" s="3360" t="s">
        <v>3153</v>
      </c>
      <c r="D85" s="3360">
        <v>1997</v>
      </c>
      <c r="E85" s="3359">
        <v>12.37</v>
      </c>
      <c r="I85" s="3388">
        <v>45</v>
      </c>
      <c r="J85" s="3388">
        <v>2</v>
      </c>
      <c r="K85" s="3388" t="s">
        <v>3208</v>
      </c>
      <c r="L85" s="3388">
        <v>1997</v>
      </c>
      <c r="M85" s="3388">
        <v>144.44</v>
      </c>
      <c r="N85" s="3388">
        <v>1200</v>
      </c>
      <c r="O85" s="3388"/>
      <c r="P85">
        <f t="shared" si="1"/>
        <v>173328</v>
      </c>
    </row>
    <row r="86" spans="1:16">
      <c r="A86" s="3360">
        <v>53</v>
      </c>
      <c r="B86" s="3360">
        <v>1</v>
      </c>
      <c r="C86" s="3360" t="s">
        <v>3153</v>
      </c>
      <c r="D86" s="3360">
        <v>1997</v>
      </c>
      <c r="E86" s="3359">
        <v>20.36</v>
      </c>
      <c r="I86" s="3388">
        <v>46</v>
      </c>
      <c r="J86" s="3388">
        <v>1</v>
      </c>
      <c r="K86" s="3388" t="s">
        <v>3208</v>
      </c>
      <c r="L86" s="3388">
        <v>1997</v>
      </c>
      <c r="M86" s="3388">
        <v>50.57</v>
      </c>
      <c r="N86" s="3388">
        <v>1200</v>
      </c>
      <c r="O86" s="3388"/>
      <c r="P86">
        <f t="shared" si="1"/>
        <v>60684</v>
      </c>
    </row>
    <row r="87" spans="1:16">
      <c r="A87" s="3360">
        <v>54</v>
      </c>
      <c r="B87" s="3360">
        <v>1</v>
      </c>
      <c r="C87" s="3360" t="s">
        <v>3153</v>
      </c>
      <c r="D87" s="3360">
        <v>1997</v>
      </c>
      <c r="E87" s="3359">
        <v>36.75</v>
      </c>
      <c r="I87" s="3402">
        <v>47</v>
      </c>
      <c r="J87" s="3402">
        <v>1</v>
      </c>
      <c r="K87" s="3402" t="s">
        <v>3208</v>
      </c>
      <c r="L87" s="3402">
        <v>1997</v>
      </c>
      <c r="M87" s="3402">
        <v>46.76</v>
      </c>
      <c r="N87" s="3388">
        <v>1200</v>
      </c>
      <c r="O87" s="3388"/>
      <c r="P87">
        <f t="shared" si="1"/>
        <v>56112</v>
      </c>
    </row>
    <row r="88" spans="1:16">
      <c r="A88" s="3360">
        <v>55</v>
      </c>
      <c r="B88" s="3360">
        <v>1</v>
      </c>
      <c r="C88" s="3360" t="s">
        <v>3153</v>
      </c>
      <c r="D88" s="3360">
        <v>1997</v>
      </c>
      <c r="E88" s="3359">
        <v>18.91</v>
      </c>
      <c r="I88" s="3388">
        <v>48</v>
      </c>
      <c r="J88" s="3388">
        <v>1</v>
      </c>
      <c r="K88" s="3388" t="s">
        <v>3208</v>
      </c>
      <c r="L88" s="3388">
        <v>1997</v>
      </c>
      <c r="M88" s="3388">
        <v>17.53</v>
      </c>
      <c r="N88" s="3388">
        <v>1200</v>
      </c>
      <c r="O88" s="3388"/>
      <c r="P88">
        <f t="shared" si="1"/>
        <v>21036</v>
      </c>
    </row>
    <row r="89" spans="1:16">
      <c r="A89" s="3360">
        <v>56</v>
      </c>
      <c r="B89" s="3360">
        <v>1</v>
      </c>
      <c r="C89" s="3360" t="s">
        <v>3153</v>
      </c>
      <c r="D89" s="3360">
        <v>1997</v>
      </c>
      <c r="E89" s="3359">
        <v>17.62</v>
      </c>
      <c r="I89" s="3388">
        <v>49</v>
      </c>
      <c r="J89" s="3388">
        <v>1</v>
      </c>
      <c r="K89" s="3388" t="s">
        <v>3208</v>
      </c>
      <c r="L89" s="3388">
        <v>1997</v>
      </c>
      <c r="M89" s="3388">
        <v>12.35</v>
      </c>
      <c r="N89" s="3388">
        <v>1200</v>
      </c>
      <c r="O89" s="3388"/>
      <c r="P89">
        <f t="shared" si="1"/>
        <v>14820</v>
      </c>
    </row>
    <row r="90" spans="1:16">
      <c r="A90" s="3360">
        <v>57</v>
      </c>
      <c r="B90" s="3360">
        <v>1</v>
      </c>
      <c r="C90" s="3360" t="s">
        <v>3153</v>
      </c>
      <c r="D90" s="3360">
        <v>1997</v>
      </c>
      <c r="E90" s="3359">
        <v>33.54</v>
      </c>
      <c r="I90" s="3388">
        <v>50</v>
      </c>
      <c r="J90" s="3388">
        <v>1</v>
      </c>
      <c r="K90" s="3388" t="s">
        <v>3208</v>
      </c>
      <c r="L90" s="3388">
        <v>1997</v>
      </c>
      <c r="M90" s="3388">
        <v>28.77</v>
      </c>
      <c r="N90" s="3388">
        <v>1200</v>
      </c>
      <c r="O90" s="3388"/>
      <c r="P90">
        <f t="shared" si="1"/>
        <v>34524</v>
      </c>
    </row>
    <row r="91" spans="1:16">
      <c r="A91" s="3360">
        <v>58</v>
      </c>
      <c r="B91" s="3360">
        <v>1</v>
      </c>
      <c r="C91" s="3360" t="s">
        <v>3153</v>
      </c>
      <c r="D91" s="3360">
        <v>1997</v>
      </c>
      <c r="E91" s="3359">
        <v>24.14</v>
      </c>
      <c r="I91" s="3388">
        <v>51</v>
      </c>
      <c r="J91" s="3388">
        <v>1</v>
      </c>
      <c r="K91" s="3388" t="s">
        <v>3208</v>
      </c>
      <c r="L91" s="3388">
        <v>1997</v>
      </c>
      <c r="M91" s="3388">
        <v>38.090000000000003</v>
      </c>
      <c r="N91" s="3388">
        <v>1200</v>
      </c>
      <c r="O91" s="3388"/>
      <c r="P91">
        <f t="shared" si="1"/>
        <v>45708</v>
      </c>
    </row>
    <row r="92" spans="1:16">
      <c r="A92" s="3360">
        <v>59</v>
      </c>
      <c r="B92" s="3360">
        <v>1</v>
      </c>
      <c r="C92" s="3360" t="s">
        <v>3153</v>
      </c>
      <c r="D92" s="3360">
        <v>1997</v>
      </c>
      <c r="E92" s="3359">
        <v>31.75</v>
      </c>
      <c r="I92" s="3388">
        <v>52</v>
      </c>
      <c r="J92" s="3388">
        <v>1</v>
      </c>
      <c r="K92" s="3388" t="s">
        <v>3208</v>
      </c>
      <c r="L92" s="3388">
        <v>1997</v>
      </c>
      <c r="M92" s="3388">
        <v>12.37</v>
      </c>
      <c r="N92" s="3388">
        <v>1200</v>
      </c>
      <c r="O92" s="3388"/>
      <c r="P92">
        <f t="shared" si="1"/>
        <v>14844</v>
      </c>
    </row>
    <row r="93" spans="1:16">
      <c r="A93" s="3360">
        <v>60</v>
      </c>
      <c r="B93" s="3360">
        <v>2</v>
      </c>
      <c r="C93" s="3360" t="s">
        <v>3153</v>
      </c>
      <c r="D93" s="3360">
        <v>1997</v>
      </c>
      <c r="E93" s="3359">
        <v>79.58</v>
      </c>
      <c r="I93" s="3388">
        <v>53</v>
      </c>
      <c r="J93" s="3388">
        <v>1</v>
      </c>
      <c r="K93" s="3388" t="s">
        <v>3208</v>
      </c>
      <c r="L93" s="3388">
        <v>1997</v>
      </c>
      <c r="M93" s="3388">
        <v>20.36</v>
      </c>
      <c r="N93" s="3388">
        <v>1200</v>
      </c>
      <c r="O93" s="3388"/>
      <c r="P93">
        <f t="shared" si="1"/>
        <v>24432</v>
      </c>
    </row>
    <row r="94" spans="1:16">
      <c r="A94" s="3360">
        <v>61</v>
      </c>
      <c r="B94" s="3360">
        <v>1</v>
      </c>
      <c r="C94" s="3360" t="s">
        <v>3153</v>
      </c>
      <c r="D94" s="3360">
        <v>1997</v>
      </c>
      <c r="E94" s="3359">
        <v>83.92</v>
      </c>
      <c r="I94" s="3388">
        <v>54</v>
      </c>
      <c r="J94" s="3388">
        <v>1</v>
      </c>
      <c r="K94" s="3388" t="s">
        <v>3208</v>
      </c>
      <c r="L94" s="3388">
        <v>1997</v>
      </c>
      <c r="M94" s="3388">
        <v>36.75</v>
      </c>
      <c r="N94" s="3388">
        <v>1200</v>
      </c>
      <c r="O94" s="3388"/>
      <c r="P94">
        <f t="shared" si="1"/>
        <v>44100</v>
      </c>
    </row>
    <row r="95" spans="1:16">
      <c r="A95" s="3360">
        <v>62</v>
      </c>
      <c r="B95" s="3360">
        <v>1</v>
      </c>
      <c r="C95" s="3360" t="s">
        <v>3153</v>
      </c>
      <c r="D95" s="3360">
        <v>1997</v>
      </c>
      <c r="E95" s="3359">
        <v>63.58</v>
      </c>
      <c r="I95" s="3391">
        <v>55</v>
      </c>
      <c r="J95" s="3391">
        <v>1</v>
      </c>
      <c r="K95" s="3391" t="s">
        <v>3208</v>
      </c>
      <c r="L95" s="3391">
        <v>1997</v>
      </c>
      <c r="M95" s="3391">
        <v>18.91</v>
      </c>
      <c r="N95" s="3388">
        <v>1200</v>
      </c>
      <c r="O95" s="3388"/>
      <c r="P95">
        <f t="shared" si="1"/>
        <v>22692</v>
      </c>
    </row>
    <row r="96" spans="1:16">
      <c r="A96" s="3360">
        <v>63</v>
      </c>
      <c r="B96" s="3360">
        <v>1</v>
      </c>
      <c r="C96" s="3360" t="s">
        <v>3153</v>
      </c>
      <c r="D96" s="3360">
        <v>1997</v>
      </c>
      <c r="E96" s="3359">
        <v>63.72</v>
      </c>
      <c r="I96" s="3388">
        <v>56</v>
      </c>
      <c r="J96" s="3388">
        <v>1</v>
      </c>
      <c r="K96" s="3388" t="s">
        <v>3208</v>
      </c>
      <c r="L96" s="3388">
        <v>1997</v>
      </c>
      <c r="M96" s="3388">
        <v>17.62</v>
      </c>
      <c r="N96" s="3388">
        <v>1200</v>
      </c>
      <c r="O96" s="3388"/>
      <c r="P96">
        <f t="shared" si="1"/>
        <v>21144</v>
      </c>
    </row>
    <row r="97" spans="1:16">
      <c r="A97" s="3360">
        <v>64</v>
      </c>
      <c r="B97" s="3360">
        <v>1</v>
      </c>
      <c r="C97" s="3360" t="s">
        <v>3153</v>
      </c>
      <c r="D97" s="3360">
        <v>1997</v>
      </c>
      <c r="E97" s="3359">
        <v>112.21</v>
      </c>
      <c r="I97" s="3388">
        <v>57</v>
      </c>
      <c r="J97" s="3388">
        <v>1</v>
      </c>
      <c r="K97" s="3388" t="s">
        <v>3208</v>
      </c>
      <c r="L97" s="3388">
        <v>1997</v>
      </c>
      <c r="M97" s="3388">
        <v>33.54</v>
      </c>
      <c r="N97" s="3388">
        <v>1200</v>
      </c>
      <c r="O97" s="3388"/>
      <c r="P97">
        <f t="shared" si="1"/>
        <v>40248</v>
      </c>
    </row>
    <row r="98" spans="1:16">
      <c r="A98" s="3360">
        <v>65</v>
      </c>
      <c r="B98" s="3360">
        <v>2</v>
      </c>
      <c r="C98" s="3360" t="s">
        <v>3153</v>
      </c>
      <c r="D98" s="3360">
        <v>1997</v>
      </c>
      <c r="E98" s="3359">
        <v>70.2</v>
      </c>
      <c r="I98" s="3388">
        <v>58</v>
      </c>
      <c r="J98" s="3388">
        <v>1</v>
      </c>
      <c r="K98" s="3388" t="s">
        <v>3208</v>
      </c>
      <c r="L98" s="3388">
        <v>1997</v>
      </c>
      <c r="M98" s="3388">
        <v>24.14</v>
      </c>
      <c r="N98" s="3388">
        <v>1200</v>
      </c>
      <c r="O98" s="3388"/>
      <c r="P98">
        <f t="shared" si="1"/>
        <v>28968</v>
      </c>
    </row>
    <row r="99" spans="1:16">
      <c r="A99" s="3360">
        <v>66</v>
      </c>
      <c r="B99" s="3360">
        <v>1</v>
      </c>
      <c r="C99" s="3360" t="s">
        <v>3153</v>
      </c>
      <c r="D99" s="3360">
        <v>1997</v>
      </c>
      <c r="E99" s="3359">
        <v>209.37</v>
      </c>
      <c r="I99" s="3388">
        <v>59</v>
      </c>
      <c r="J99" s="3388">
        <v>1</v>
      </c>
      <c r="K99" s="3388" t="s">
        <v>3208</v>
      </c>
      <c r="L99" s="3388">
        <v>1997</v>
      </c>
      <c r="M99" s="3388">
        <v>31.75</v>
      </c>
      <c r="N99" s="3388">
        <v>1200</v>
      </c>
      <c r="O99" s="3388"/>
      <c r="P99">
        <f t="shared" si="1"/>
        <v>38100</v>
      </c>
    </row>
    <row r="100" spans="1:16">
      <c r="A100" s="3360">
        <v>67</v>
      </c>
      <c r="B100" s="3360">
        <v>1</v>
      </c>
      <c r="C100" s="3360" t="s">
        <v>3153</v>
      </c>
      <c r="D100" s="3360">
        <v>1997</v>
      </c>
      <c r="E100" s="3359">
        <v>69.94</v>
      </c>
      <c r="I100" s="3388">
        <v>60</v>
      </c>
      <c r="J100" s="3388">
        <v>2</v>
      </c>
      <c r="K100" s="3388" t="s">
        <v>3208</v>
      </c>
      <c r="L100" s="3388">
        <v>1997</v>
      </c>
      <c r="M100" s="3388">
        <v>79.58</v>
      </c>
      <c r="N100" s="3388">
        <v>1200</v>
      </c>
      <c r="O100" s="3388"/>
      <c r="P100">
        <f t="shared" si="1"/>
        <v>95496</v>
      </c>
    </row>
    <row r="101" spans="1:16">
      <c r="A101" s="3360">
        <v>68</v>
      </c>
      <c r="B101" s="3360">
        <v>1</v>
      </c>
      <c r="C101" s="3360" t="s">
        <v>3153</v>
      </c>
      <c r="D101" s="3360">
        <v>1997</v>
      </c>
      <c r="E101" s="3359">
        <v>208.57</v>
      </c>
      <c r="I101" s="3388">
        <v>61</v>
      </c>
      <c r="J101" s="3388">
        <v>1</v>
      </c>
      <c r="K101" s="3388" t="s">
        <v>3208</v>
      </c>
      <c r="L101" s="3388">
        <v>1997</v>
      </c>
      <c r="M101" s="3388">
        <v>83.92</v>
      </c>
      <c r="N101" s="3388">
        <v>1200</v>
      </c>
      <c r="O101" s="3388"/>
      <c r="P101">
        <f t="shared" si="1"/>
        <v>100704</v>
      </c>
    </row>
    <row r="102" spans="1:16">
      <c r="A102" s="3360">
        <v>69</v>
      </c>
      <c r="B102" s="3360">
        <v>1</v>
      </c>
      <c r="C102" s="3360" t="s">
        <v>3153</v>
      </c>
      <c r="D102" s="3360">
        <v>1997</v>
      </c>
      <c r="E102" s="3359">
        <v>95.65</v>
      </c>
      <c r="I102" s="3388">
        <v>62</v>
      </c>
      <c r="J102" s="3388">
        <v>1</v>
      </c>
      <c r="K102" s="3388" t="s">
        <v>3208</v>
      </c>
      <c r="L102" s="3388">
        <v>1997</v>
      </c>
      <c r="M102" s="3388">
        <v>63.58</v>
      </c>
      <c r="N102" s="3388">
        <v>1200</v>
      </c>
      <c r="O102" s="3388"/>
      <c r="P102">
        <f t="shared" si="1"/>
        <v>76296</v>
      </c>
    </row>
    <row r="103" spans="1:16">
      <c r="A103" s="3360">
        <v>70</v>
      </c>
      <c r="B103" s="3360">
        <v>1</v>
      </c>
      <c r="C103" s="3360" t="s">
        <v>3153</v>
      </c>
      <c r="D103" s="3360">
        <v>1997</v>
      </c>
      <c r="E103" s="3359">
        <v>77.13</v>
      </c>
      <c r="I103" s="3388">
        <v>63</v>
      </c>
      <c r="J103" s="3388">
        <v>1</v>
      </c>
      <c r="K103" s="3388" t="s">
        <v>3208</v>
      </c>
      <c r="L103" s="3388">
        <v>1997</v>
      </c>
      <c r="M103" s="3388">
        <v>63.72</v>
      </c>
      <c r="N103" s="3388">
        <v>1200</v>
      </c>
      <c r="O103" s="3388"/>
      <c r="P103">
        <f t="shared" si="1"/>
        <v>76464</v>
      </c>
    </row>
    <row r="104" spans="1:16">
      <c r="A104" s="3360">
        <v>71</v>
      </c>
      <c r="B104" s="3360">
        <v>1</v>
      </c>
      <c r="C104" s="3360" t="s">
        <v>3153</v>
      </c>
      <c r="D104" s="3360">
        <v>1997</v>
      </c>
      <c r="E104" s="3359">
        <v>120.77</v>
      </c>
      <c r="I104" s="3388">
        <v>64</v>
      </c>
      <c r="J104" s="3388">
        <v>1</v>
      </c>
      <c r="K104" s="3388" t="s">
        <v>3208</v>
      </c>
      <c r="L104" s="3388">
        <v>1997</v>
      </c>
      <c r="M104" s="3388">
        <v>112.21</v>
      </c>
      <c r="N104" s="3388">
        <v>1200</v>
      </c>
      <c r="O104" s="3388"/>
      <c r="P104">
        <f t="shared" si="1"/>
        <v>134652</v>
      </c>
    </row>
    <row r="105" spans="1:16">
      <c r="A105" s="3360">
        <v>72</v>
      </c>
      <c r="B105" s="3360">
        <v>1</v>
      </c>
      <c r="C105" s="3360" t="s">
        <v>3153</v>
      </c>
      <c r="D105" s="3360">
        <v>1997</v>
      </c>
      <c r="E105" s="3359">
        <v>24.64</v>
      </c>
      <c r="I105" s="3388">
        <v>65</v>
      </c>
      <c r="J105" s="3388">
        <v>2</v>
      </c>
      <c r="K105" s="3388" t="s">
        <v>3208</v>
      </c>
      <c r="L105" s="3388">
        <v>1997</v>
      </c>
      <c r="M105" s="3388">
        <v>70.2</v>
      </c>
      <c r="N105" s="3388">
        <v>1200</v>
      </c>
      <c r="O105" s="3388"/>
      <c r="P105">
        <f t="shared" si="1"/>
        <v>84240</v>
      </c>
    </row>
    <row r="106" spans="1:16">
      <c r="A106" s="3360">
        <v>73</v>
      </c>
      <c r="B106" s="3360">
        <v>1</v>
      </c>
      <c r="C106" s="3360" t="s">
        <v>3153</v>
      </c>
      <c r="D106" s="3360">
        <v>1997</v>
      </c>
      <c r="E106" s="3359">
        <v>60.68</v>
      </c>
      <c r="I106" s="3388">
        <v>66</v>
      </c>
      <c r="J106" s="3388">
        <v>1</v>
      </c>
      <c r="K106" s="3388" t="s">
        <v>3208</v>
      </c>
      <c r="L106" s="3388">
        <v>1997</v>
      </c>
      <c r="M106" s="3388">
        <v>209.37</v>
      </c>
      <c r="N106" s="3388">
        <v>1200</v>
      </c>
      <c r="O106" s="3388"/>
      <c r="P106">
        <f t="shared" ref="P106:P167" si="2">ROUND(N106*M106,0)</f>
        <v>251244</v>
      </c>
    </row>
    <row r="107" spans="1:16">
      <c r="A107" s="3360">
        <v>74</v>
      </c>
      <c r="B107" s="3360">
        <v>1</v>
      </c>
      <c r="C107" s="3360" t="s">
        <v>3153</v>
      </c>
      <c r="D107" s="3360">
        <v>1997</v>
      </c>
      <c r="E107" s="3359">
        <v>32.44</v>
      </c>
      <c r="I107" s="3388">
        <v>67</v>
      </c>
      <c r="J107" s="3388">
        <v>1</v>
      </c>
      <c r="K107" s="3388" t="s">
        <v>3208</v>
      </c>
      <c r="L107" s="3388">
        <v>1997</v>
      </c>
      <c r="M107" s="3388">
        <v>69.94</v>
      </c>
      <c r="N107" s="3388">
        <v>1200</v>
      </c>
      <c r="O107" s="3388"/>
      <c r="P107">
        <f t="shared" si="2"/>
        <v>83928</v>
      </c>
    </row>
    <row r="108" spans="1:16">
      <c r="A108" s="3360">
        <v>75</v>
      </c>
      <c r="B108" s="3360">
        <v>1</v>
      </c>
      <c r="C108" s="3360" t="s">
        <v>3153</v>
      </c>
      <c r="D108" s="3360">
        <v>1997</v>
      </c>
      <c r="E108" s="3359">
        <v>162.61000000000001</v>
      </c>
      <c r="I108" s="3388">
        <v>68</v>
      </c>
      <c r="J108" s="3388">
        <v>1</v>
      </c>
      <c r="K108" s="3388" t="s">
        <v>3208</v>
      </c>
      <c r="L108" s="3388">
        <v>1997</v>
      </c>
      <c r="M108" s="3388">
        <v>208.57</v>
      </c>
      <c r="N108" s="3388">
        <v>1200</v>
      </c>
      <c r="O108" s="3388"/>
      <c r="P108">
        <f t="shared" si="2"/>
        <v>250284</v>
      </c>
    </row>
    <row r="109" spans="1:16">
      <c r="A109" s="3360">
        <v>76</v>
      </c>
      <c r="B109" s="3360">
        <v>1</v>
      </c>
      <c r="C109" s="3360" t="s">
        <v>3153</v>
      </c>
      <c r="D109" s="3360">
        <v>1997</v>
      </c>
      <c r="E109" s="3359">
        <v>82.51</v>
      </c>
      <c r="I109" s="3388">
        <v>69</v>
      </c>
      <c r="J109" s="3388">
        <v>1</v>
      </c>
      <c r="K109" s="3388" t="s">
        <v>3208</v>
      </c>
      <c r="L109" s="3388">
        <v>1997</v>
      </c>
      <c r="M109" s="3388">
        <v>95.65</v>
      </c>
      <c r="N109" s="3388">
        <v>1200</v>
      </c>
      <c r="O109" s="3388"/>
      <c r="P109">
        <f t="shared" si="2"/>
        <v>114780</v>
      </c>
    </row>
    <row r="110" spans="1:16">
      <c r="A110" s="3360">
        <v>77</v>
      </c>
      <c r="B110" s="3360">
        <v>1</v>
      </c>
      <c r="C110" s="3360" t="s">
        <v>3153</v>
      </c>
      <c r="D110" s="3360">
        <v>1997</v>
      </c>
      <c r="E110" s="3359">
        <v>101.18</v>
      </c>
      <c r="I110" s="3388">
        <v>70</v>
      </c>
      <c r="J110" s="3388">
        <v>1</v>
      </c>
      <c r="K110" s="3388" t="s">
        <v>3208</v>
      </c>
      <c r="L110" s="3388">
        <v>1997</v>
      </c>
      <c r="M110" s="3388">
        <v>77.13</v>
      </c>
      <c r="N110" s="3388">
        <v>1200</v>
      </c>
      <c r="O110" s="3388"/>
      <c r="P110">
        <f t="shared" si="2"/>
        <v>92556</v>
      </c>
    </row>
    <row r="111" spans="1:16">
      <c r="A111" s="3360">
        <v>78</v>
      </c>
      <c r="B111" s="3360">
        <v>1</v>
      </c>
      <c r="C111" s="3360" t="s">
        <v>3153</v>
      </c>
      <c r="D111" s="3360">
        <v>1997</v>
      </c>
      <c r="E111" s="3359">
        <v>11.68</v>
      </c>
      <c r="I111" s="3391">
        <v>71</v>
      </c>
      <c r="J111" s="3391">
        <v>1</v>
      </c>
      <c r="K111" s="3391" t="s">
        <v>3208</v>
      </c>
      <c r="L111" s="3391">
        <v>1997</v>
      </c>
      <c r="M111" s="3391">
        <v>120.77</v>
      </c>
      <c r="N111" s="3388">
        <v>1200</v>
      </c>
      <c r="O111" s="3388"/>
      <c r="P111">
        <f t="shared" si="2"/>
        <v>144924</v>
      </c>
    </row>
    <row r="112" spans="1:16">
      <c r="A112" s="3360">
        <v>79</v>
      </c>
      <c r="B112" s="3360">
        <v>1</v>
      </c>
      <c r="C112" s="3360" t="s">
        <v>3153</v>
      </c>
      <c r="D112" s="3360">
        <v>1997</v>
      </c>
      <c r="E112" s="3359">
        <v>141.13</v>
      </c>
      <c r="I112" s="3388">
        <v>72</v>
      </c>
      <c r="J112" s="3388">
        <v>1</v>
      </c>
      <c r="K112" s="3388" t="s">
        <v>3208</v>
      </c>
      <c r="L112" s="3388">
        <v>1997</v>
      </c>
      <c r="M112" s="3388">
        <v>24.64</v>
      </c>
      <c r="N112" s="3388">
        <v>1200</v>
      </c>
      <c r="O112" s="3388"/>
      <c r="P112">
        <f t="shared" si="2"/>
        <v>29568</v>
      </c>
    </row>
    <row r="113" spans="1:16">
      <c r="A113" s="3360">
        <v>80</v>
      </c>
      <c r="B113" s="3360">
        <v>1</v>
      </c>
      <c r="C113" s="3360" t="s">
        <v>3153</v>
      </c>
      <c r="D113" s="3360">
        <v>1997</v>
      </c>
      <c r="E113" s="3359">
        <v>118</v>
      </c>
      <c r="I113" s="3388">
        <v>73</v>
      </c>
      <c r="J113" s="3388">
        <v>1</v>
      </c>
      <c r="K113" s="3388" t="s">
        <v>3208</v>
      </c>
      <c r="L113" s="3388">
        <v>1997</v>
      </c>
      <c r="M113" s="3388">
        <v>60.68</v>
      </c>
      <c r="N113" s="3388">
        <v>1200</v>
      </c>
      <c r="O113" s="3388"/>
      <c r="P113">
        <f t="shared" si="2"/>
        <v>72816</v>
      </c>
    </row>
    <row r="114" spans="1:16">
      <c r="A114" s="3360">
        <v>81</v>
      </c>
      <c r="B114" s="3360">
        <v>1</v>
      </c>
      <c r="C114" s="3360" t="s">
        <v>3153</v>
      </c>
      <c r="D114" s="3360">
        <v>1997</v>
      </c>
      <c r="E114" s="3359">
        <v>52.55</v>
      </c>
      <c r="I114" s="3388">
        <v>74</v>
      </c>
      <c r="J114" s="3388">
        <v>1</v>
      </c>
      <c r="K114" s="3388" t="s">
        <v>3208</v>
      </c>
      <c r="L114" s="3388">
        <v>1997</v>
      </c>
      <c r="M114" s="3388">
        <v>32.44</v>
      </c>
      <c r="N114" s="3388">
        <v>1200</v>
      </c>
      <c r="O114" s="3388"/>
      <c r="P114">
        <f t="shared" si="2"/>
        <v>38928</v>
      </c>
    </row>
    <row r="115" spans="1:16">
      <c r="A115" s="3360">
        <v>82</v>
      </c>
      <c r="B115" s="3360">
        <v>1</v>
      </c>
      <c r="C115" s="3360" t="s">
        <v>3153</v>
      </c>
      <c r="D115" s="3360">
        <v>1997</v>
      </c>
      <c r="E115" s="3359">
        <v>12.61</v>
      </c>
      <c r="I115" s="3388">
        <v>75</v>
      </c>
      <c r="J115" s="3388">
        <v>1</v>
      </c>
      <c r="K115" s="3388" t="s">
        <v>3208</v>
      </c>
      <c r="L115" s="3388">
        <v>1997</v>
      </c>
      <c r="M115" s="3388">
        <v>162.61000000000001</v>
      </c>
      <c r="N115" s="3388">
        <v>1200</v>
      </c>
      <c r="O115" s="3388"/>
      <c r="P115">
        <f t="shared" si="2"/>
        <v>195132</v>
      </c>
    </row>
    <row r="116" spans="1:16">
      <c r="A116" s="3360">
        <v>83</v>
      </c>
      <c r="B116" s="3360">
        <v>1</v>
      </c>
      <c r="C116" s="3360" t="s">
        <v>3153</v>
      </c>
      <c r="D116" s="3360">
        <v>1997</v>
      </c>
      <c r="E116" s="3359">
        <v>27.98</v>
      </c>
      <c r="I116" s="3388">
        <v>76</v>
      </c>
      <c r="J116" s="3388">
        <v>1</v>
      </c>
      <c r="K116" s="3388" t="s">
        <v>3208</v>
      </c>
      <c r="L116" s="3388">
        <v>1997</v>
      </c>
      <c r="M116" s="3388">
        <v>82.51</v>
      </c>
      <c r="N116" s="3388">
        <v>1200</v>
      </c>
      <c r="O116" s="3388"/>
      <c r="P116">
        <f t="shared" si="2"/>
        <v>99012</v>
      </c>
    </row>
    <row r="117" spans="1:16">
      <c r="A117" s="3360">
        <v>84</v>
      </c>
      <c r="B117" s="3360">
        <v>2</v>
      </c>
      <c r="C117" s="3360" t="s">
        <v>3153</v>
      </c>
      <c r="D117" s="3360">
        <v>1997</v>
      </c>
      <c r="E117" s="3359">
        <v>298.95</v>
      </c>
      <c r="I117" s="3388">
        <v>77</v>
      </c>
      <c r="J117" s="3388">
        <v>1</v>
      </c>
      <c r="K117" s="3388" t="s">
        <v>3208</v>
      </c>
      <c r="L117" s="3388">
        <v>1997</v>
      </c>
      <c r="M117" s="3388">
        <v>101.18</v>
      </c>
      <c r="N117" s="3388">
        <v>1200</v>
      </c>
      <c r="O117" s="3388"/>
      <c r="P117">
        <f t="shared" si="2"/>
        <v>121416</v>
      </c>
    </row>
    <row r="118" spans="1:16">
      <c r="A118" s="3360">
        <v>85</v>
      </c>
      <c r="B118" s="3360">
        <v>1</v>
      </c>
      <c r="C118" s="3360" t="s">
        <v>3153</v>
      </c>
      <c r="D118" s="3360">
        <v>1997</v>
      </c>
      <c r="E118" s="3359">
        <v>93.22</v>
      </c>
      <c r="I118" s="3388">
        <v>78</v>
      </c>
      <c r="J118" s="3388">
        <v>1</v>
      </c>
      <c r="K118" s="3388" t="s">
        <v>3208</v>
      </c>
      <c r="L118" s="3388">
        <v>1997</v>
      </c>
      <c r="M118" s="3388">
        <v>11.68</v>
      </c>
      <c r="N118" s="3388">
        <v>1200</v>
      </c>
      <c r="O118" s="3388"/>
      <c r="P118">
        <f t="shared" si="2"/>
        <v>14016</v>
      </c>
    </row>
    <row r="119" spans="1:16">
      <c r="A119" s="3360">
        <v>86</v>
      </c>
      <c r="B119" s="3360">
        <v>1</v>
      </c>
      <c r="C119" s="3360" t="s">
        <v>3153</v>
      </c>
      <c r="D119" s="3360">
        <v>1997</v>
      </c>
      <c r="E119" s="3359">
        <v>101.32</v>
      </c>
      <c r="I119" s="3388">
        <v>79</v>
      </c>
      <c r="J119" s="3388">
        <v>1</v>
      </c>
      <c r="K119" s="3388" t="s">
        <v>3208</v>
      </c>
      <c r="L119" s="3388">
        <v>1997</v>
      </c>
      <c r="M119" s="3388">
        <v>141.13</v>
      </c>
      <c r="N119" s="3388">
        <v>1200</v>
      </c>
      <c r="O119" s="3388"/>
      <c r="P119">
        <f t="shared" si="2"/>
        <v>169356</v>
      </c>
    </row>
    <row r="120" spans="1:16">
      <c r="A120" s="3360">
        <v>87</v>
      </c>
      <c r="B120" s="3360">
        <v>1</v>
      </c>
      <c r="C120" s="3360" t="s">
        <v>3153</v>
      </c>
      <c r="D120" s="3360">
        <v>1997</v>
      </c>
      <c r="E120" s="3359">
        <v>83.03</v>
      </c>
      <c r="I120" s="3388">
        <v>80</v>
      </c>
      <c r="J120" s="3388">
        <v>1</v>
      </c>
      <c r="K120" s="3388" t="s">
        <v>3208</v>
      </c>
      <c r="L120" s="3388">
        <v>1997</v>
      </c>
      <c r="M120" s="3388">
        <v>118</v>
      </c>
      <c r="N120" s="3388">
        <v>1200</v>
      </c>
      <c r="O120" s="3388"/>
      <c r="P120">
        <f t="shared" si="2"/>
        <v>141600</v>
      </c>
    </row>
    <row r="121" spans="1:16">
      <c r="A121" s="3360">
        <v>88</v>
      </c>
      <c r="B121" s="3360">
        <v>1</v>
      </c>
      <c r="C121" s="3360" t="s">
        <v>3153</v>
      </c>
      <c r="D121" s="3360">
        <v>1997</v>
      </c>
      <c r="E121" s="3359">
        <v>82.51</v>
      </c>
      <c r="I121" s="3388">
        <v>81</v>
      </c>
      <c r="J121" s="3388">
        <v>1</v>
      </c>
      <c r="K121" s="3388" t="s">
        <v>3208</v>
      </c>
      <c r="L121" s="3388">
        <v>1997</v>
      </c>
      <c r="M121" s="3388">
        <v>52.55</v>
      </c>
      <c r="N121" s="3388">
        <v>1200</v>
      </c>
      <c r="O121" s="3388"/>
      <c r="P121">
        <f t="shared" si="2"/>
        <v>63060</v>
      </c>
    </row>
    <row r="122" spans="1:16">
      <c r="A122" s="3360">
        <v>89</v>
      </c>
      <c r="B122" s="3360">
        <v>1</v>
      </c>
      <c r="C122" s="3360" t="s">
        <v>3153</v>
      </c>
      <c r="D122" s="3360">
        <v>1997</v>
      </c>
      <c r="E122" s="3359">
        <v>9.82</v>
      </c>
      <c r="I122" s="3388">
        <v>82</v>
      </c>
      <c r="J122" s="3388">
        <v>1</v>
      </c>
      <c r="K122" s="3388" t="s">
        <v>3208</v>
      </c>
      <c r="L122" s="3388">
        <v>1997</v>
      </c>
      <c r="M122" s="3388">
        <v>12.61</v>
      </c>
      <c r="N122" s="3388">
        <v>1200</v>
      </c>
      <c r="O122" s="3388"/>
      <c r="P122">
        <f t="shared" si="2"/>
        <v>15132</v>
      </c>
    </row>
    <row r="123" spans="1:16">
      <c r="A123" s="3360">
        <v>90</v>
      </c>
      <c r="B123" s="3360">
        <v>1</v>
      </c>
      <c r="C123" s="3360" t="s">
        <v>3153</v>
      </c>
      <c r="D123" s="3360">
        <v>1997</v>
      </c>
      <c r="E123" s="3359">
        <v>9.82</v>
      </c>
      <c r="I123" s="3388">
        <v>83</v>
      </c>
      <c r="J123" s="3388">
        <v>1</v>
      </c>
      <c r="K123" s="3388" t="s">
        <v>3208</v>
      </c>
      <c r="L123" s="3388">
        <v>1997</v>
      </c>
      <c r="M123" s="3388">
        <v>27.98</v>
      </c>
      <c r="N123" s="3388">
        <v>1200</v>
      </c>
      <c r="O123" s="3388"/>
      <c r="P123">
        <f t="shared" si="2"/>
        <v>33576</v>
      </c>
    </row>
    <row r="124" spans="1:16">
      <c r="A124" s="3360">
        <v>91</v>
      </c>
      <c r="B124" s="3360">
        <v>1</v>
      </c>
      <c r="C124" s="3360" t="s">
        <v>3153</v>
      </c>
      <c r="D124" s="3360">
        <v>1997</v>
      </c>
      <c r="E124" s="3359">
        <v>244.11</v>
      </c>
      <c r="I124" s="3388">
        <v>84</v>
      </c>
      <c r="J124" s="3388">
        <v>2</v>
      </c>
      <c r="K124" s="3388" t="s">
        <v>3208</v>
      </c>
      <c r="L124" s="3388">
        <v>1997</v>
      </c>
      <c r="M124" s="3388">
        <v>298.95</v>
      </c>
      <c r="N124" s="3388">
        <v>1200</v>
      </c>
      <c r="O124" s="3388"/>
      <c r="P124">
        <f t="shared" si="2"/>
        <v>358740</v>
      </c>
    </row>
    <row r="125" spans="1:16">
      <c r="A125" s="3360">
        <v>92</v>
      </c>
      <c r="B125" s="3360">
        <v>1</v>
      </c>
      <c r="C125" s="3360" t="s">
        <v>3153</v>
      </c>
      <c r="D125" s="3360">
        <v>1997</v>
      </c>
      <c r="E125" s="3359">
        <v>16.84</v>
      </c>
      <c r="I125" s="3388">
        <v>85</v>
      </c>
      <c r="J125" s="3388">
        <v>1</v>
      </c>
      <c r="K125" s="3388" t="s">
        <v>3208</v>
      </c>
      <c r="L125" s="3388">
        <v>1997</v>
      </c>
      <c r="M125" s="3388">
        <v>93.22</v>
      </c>
      <c r="N125" s="3388">
        <v>1200</v>
      </c>
      <c r="O125" s="3388"/>
      <c r="P125">
        <f t="shared" si="2"/>
        <v>111864</v>
      </c>
    </row>
    <row r="126" spans="1:16">
      <c r="A126" s="3360">
        <v>93</v>
      </c>
      <c r="B126" s="3360">
        <v>2</v>
      </c>
      <c r="C126" s="3360" t="s">
        <v>3153</v>
      </c>
      <c r="D126" s="3360">
        <v>1997</v>
      </c>
      <c r="E126" s="3359">
        <v>70.52</v>
      </c>
      <c r="I126" s="3391">
        <v>86</v>
      </c>
      <c r="J126" s="3391">
        <v>1</v>
      </c>
      <c r="K126" s="3391" t="s">
        <v>3208</v>
      </c>
      <c r="L126" s="3391">
        <v>1997</v>
      </c>
      <c r="M126" s="3391">
        <v>101.32</v>
      </c>
      <c r="N126" s="3388">
        <v>1200</v>
      </c>
      <c r="O126" s="3388"/>
      <c r="P126">
        <f t="shared" si="2"/>
        <v>121584</v>
      </c>
    </row>
    <row r="127" spans="1:16">
      <c r="A127" s="3360">
        <v>94</v>
      </c>
      <c r="B127" s="3360">
        <v>2</v>
      </c>
      <c r="C127" s="3360" t="s">
        <v>3153</v>
      </c>
      <c r="D127" s="3360">
        <v>1997</v>
      </c>
      <c r="E127" s="3359">
        <v>37.64</v>
      </c>
      <c r="I127" s="3388">
        <v>87</v>
      </c>
      <c r="J127" s="3388">
        <v>1</v>
      </c>
      <c r="K127" s="3388" t="s">
        <v>3208</v>
      </c>
      <c r="L127" s="3388">
        <v>1997</v>
      </c>
      <c r="M127" s="3388">
        <v>83.03</v>
      </c>
      <c r="N127" s="3388">
        <v>1200</v>
      </c>
      <c r="O127" s="3388"/>
      <c r="P127">
        <f t="shared" si="2"/>
        <v>99636</v>
      </c>
    </row>
    <row r="128" spans="1:16">
      <c r="A128" s="3360">
        <v>95</v>
      </c>
      <c r="B128" s="3360">
        <v>2</v>
      </c>
      <c r="C128" s="3360" t="s">
        <v>3153</v>
      </c>
      <c r="D128" s="3360">
        <v>1997</v>
      </c>
      <c r="E128" s="3359">
        <v>178.44</v>
      </c>
      <c r="I128" s="3388">
        <v>88</v>
      </c>
      <c r="J128" s="3388">
        <v>1</v>
      </c>
      <c r="K128" s="3388" t="s">
        <v>3208</v>
      </c>
      <c r="L128" s="3388">
        <v>1997</v>
      </c>
      <c r="M128" s="3388">
        <v>82.51</v>
      </c>
      <c r="N128" s="3388">
        <v>1200</v>
      </c>
      <c r="O128" s="3388"/>
      <c r="P128">
        <f t="shared" si="2"/>
        <v>99012</v>
      </c>
    </row>
    <row r="129" spans="1:16">
      <c r="A129" s="3360">
        <v>96</v>
      </c>
      <c r="B129" s="3360">
        <v>1</v>
      </c>
      <c r="C129" s="3360" t="s">
        <v>3153</v>
      </c>
      <c r="D129" s="3360">
        <v>1997</v>
      </c>
      <c r="E129" s="3359">
        <v>61.02</v>
      </c>
      <c r="I129" s="3388">
        <v>89</v>
      </c>
      <c r="J129" s="3388">
        <v>1</v>
      </c>
      <c r="K129" s="3388" t="s">
        <v>3208</v>
      </c>
      <c r="L129" s="3388">
        <v>1997</v>
      </c>
      <c r="M129" s="3388">
        <v>9.82</v>
      </c>
      <c r="N129" s="3388">
        <v>1200</v>
      </c>
      <c r="O129" s="3388"/>
      <c r="P129">
        <f t="shared" si="2"/>
        <v>11784</v>
      </c>
    </row>
    <row r="130" spans="1:16">
      <c r="A130" s="3360">
        <v>97</v>
      </c>
      <c r="B130" s="3360">
        <v>1</v>
      </c>
      <c r="C130" s="3360" t="s">
        <v>3153</v>
      </c>
      <c r="D130" s="3360">
        <v>1997</v>
      </c>
      <c r="E130" s="3359">
        <v>39.94</v>
      </c>
      <c r="I130" s="3388">
        <v>90</v>
      </c>
      <c r="J130" s="3388">
        <v>1</v>
      </c>
      <c r="K130" s="3388" t="s">
        <v>3208</v>
      </c>
      <c r="L130" s="3388">
        <v>1997</v>
      </c>
      <c r="M130" s="3388">
        <v>9.82</v>
      </c>
      <c r="N130" s="3388">
        <v>1200</v>
      </c>
      <c r="O130" s="3388"/>
      <c r="P130">
        <f t="shared" si="2"/>
        <v>11784</v>
      </c>
    </row>
    <row r="131" spans="1:16">
      <c r="A131" s="3360">
        <v>98</v>
      </c>
      <c r="B131" s="3360">
        <v>1</v>
      </c>
      <c r="C131" s="3360" t="s">
        <v>3153</v>
      </c>
      <c r="D131" s="3360">
        <v>1997</v>
      </c>
      <c r="E131" s="3359">
        <v>45.06</v>
      </c>
      <c r="I131" s="3388">
        <v>91</v>
      </c>
      <c r="J131" s="3388">
        <v>1</v>
      </c>
      <c r="K131" s="3388" t="s">
        <v>3208</v>
      </c>
      <c r="L131" s="3388">
        <v>1997</v>
      </c>
      <c r="M131" s="3388">
        <v>244.11</v>
      </c>
      <c r="N131" s="3388">
        <v>1200</v>
      </c>
      <c r="O131" s="3388"/>
      <c r="P131">
        <f t="shared" si="2"/>
        <v>292932</v>
      </c>
    </row>
    <row r="132" spans="1:16">
      <c r="A132" s="3360">
        <v>99</v>
      </c>
      <c r="B132" s="3360">
        <v>11</v>
      </c>
      <c r="C132" s="3360" t="s">
        <v>3153</v>
      </c>
      <c r="D132" s="3360">
        <v>1997</v>
      </c>
      <c r="E132" s="3359">
        <v>12.26</v>
      </c>
      <c r="I132" s="3388">
        <v>92</v>
      </c>
      <c r="J132" s="3388">
        <v>1</v>
      </c>
      <c r="K132" s="3388" t="s">
        <v>3208</v>
      </c>
      <c r="L132" s="3388">
        <v>1997</v>
      </c>
      <c r="M132" s="3388">
        <v>16.84</v>
      </c>
      <c r="N132" s="3388">
        <v>1200</v>
      </c>
      <c r="O132" s="3388"/>
      <c r="P132">
        <f t="shared" si="2"/>
        <v>20208</v>
      </c>
    </row>
    <row r="133" spans="1:16">
      <c r="A133" s="3360">
        <v>100</v>
      </c>
      <c r="B133" s="3360">
        <v>1</v>
      </c>
      <c r="C133" s="3360" t="s">
        <v>3153</v>
      </c>
      <c r="D133" s="3360">
        <v>1997</v>
      </c>
      <c r="E133" s="3359">
        <v>111.3</v>
      </c>
      <c r="I133" s="3388">
        <v>93</v>
      </c>
      <c r="J133" s="3388">
        <v>2</v>
      </c>
      <c r="K133" s="3388" t="s">
        <v>3208</v>
      </c>
      <c r="L133" s="3388">
        <v>1997</v>
      </c>
      <c r="M133" s="3388">
        <v>70.52</v>
      </c>
      <c r="N133" s="3388">
        <v>1200</v>
      </c>
      <c r="O133" s="3388"/>
      <c r="P133">
        <f t="shared" si="2"/>
        <v>84624</v>
      </c>
    </row>
    <row r="134" spans="1:16">
      <c r="A134" s="3360">
        <v>101</v>
      </c>
      <c r="B134" s="3360">
        <v>1</v>
      </c>
      <c r="C134" s="3360" t="s">
        <v>3153</v>
      </c>
      <c r="D134" s="3360">
        <v>1997</v>
      </c>
      <c r="E134" s="3359">
        <v>16.239999999999998</v>
      </c>
      <c r="I134" s="3388">
        <v>94</v>
      </c>
      <c r="J134" s="3388">
        <v>2</v>
      </c>
      <c r="K134" s="3388" t="s">
        <v>3208</v>
      </c>
      <c r="L134" s="3388">
        <v>1997</v>
      </c>
      <c r="M134" s="3388">
        <v>37.64</v>
      </c>
      <c r="N134" s="3388">
        <v>1200</v>
      </c>
      <c r="O134" s="3388"/>
      <c r="P134">
        <f t="shared" si="2"/>
        <v>45168</v>
      </c>
    </row>
    <row r="135" spans="1:16">
      <c r="A135" s="3360">
        <v>102</v>
      </c>
      <c r="B135" s="3360">
        <v>2</v>
      </c>
      <c r="C135" s="3360" t="s">
        <v>3153</v>
      </c>
      <c r="D135" s="3360">
        <v>1997</v>
      </c>
      <c r="E135" s="3359">
        <v>1246.02</v>
      </c>
      <c r="I135" s="3388">
        <v>95</v>
      </c>
      <c r="J135" s="3388">
        <v>2</v>
      </c>
      <c r="K135" s="3388" t="s">
        <v>3208</v>
      </c>
      <c r="L135" s="3388">
        <v>1997</v>
      </c>
      <c r="M135" s="3388">
        <v>178.44</v>
      </c>
      <c r="N135" s="3388">
        <v>1200</v>
      </c>
      <c r="O135" s="3388"/>
      <c r="P135">
        <f t="shared" si="2"/>
        <v>214128</v>
      </c>
    </row>
    <row r="136" spans="1:16">
      <c r="A136" s="3360">
        <v>103</v>
      </c>
      <c r="B136" s="3360">
        <v>1</v>
      </c>
      <c r="C136" s="3360" t="s">
        <v>3153</v>
      </c>
      <c r="D136" s="3360">
        <v>1997</v>
      </c>
      <c r="E136" s="3359">
        <v>22.31</v>
      </c>
      <c r="I136" s="3388">
        <v>96</v>
      </c>
      <c r="J136" s="3388">
        <v>1</v>
      </c>
      <c r="K136" s="3388" t="s">
        <v>3208</v>
      </c>
      <c r="L136" s="3388">
        <v>1997</v>
      </c>
      <c r="M136" s="3388">
        <v>61.02</v>
      </c>
      <c r="N136" s="3388">
        <v>1200</v>
      </c>
      <c r="O136" s="3388"/>
      <c r="P136">
        <f t="shared" si="2"/>
        <v>73224</v>
      </c>
    </row>
    <row r="137" spans="1:16">
      <c r="A137" s="3360">
        <v>104</v>
      </c>
      <c r="B137" s="3360">
        <v>2</v>
      </c>
      <c r="C137" s="3360" t="s">
        <v>3153</v>
      </c>
      <c r="D137" s="3360">
        <v>1997</v>
      </c>
      <c r="E137" s="3359">
        <v>96.7</v>
      </c>
      <c r="I137" s="3388">
        <v>97</v>
      </c>
      <c r="J137" s="3388">
        <v>1</v>
      </c>
      <c r="K137" s="3388" t="s">
        <v>3208</v>
      </c>
      <c r="L137" s="3388">
        <v>1997</v>
      </c>
      <c r="M137" s="3388">
        <v>39.94</v>
      </c>
      <c r="N137" s="3388">
        <v>1200</v>
      </c>
      <c r="O137" s="3388"/>
      <c r="P137">
        <f t="shared" si="2"/>
        <v>47928</v>
      </c>
    </row>
    <row r="138" spans="1:16">
      <c r="A138" s="3360">
        <v>105</v>
      </c>
      <c r="B138" s="3360">
        <v>2</v>
      </c>
      <c r="C138" s="3360" t="s">
        <v>3153</v>
      </c>
      <c r="D138" s="3360">
        <v>1997</v>
      </c>
      <c r="E138" s="3359">
        <v>236.2</v>
      </c>
      <c r="I138" s="3388">
        <v>98</v>
      </c>
      <c r="J138" s="3388">
        <v>1</v>
      </c>
      <c r="K138" s="3388" t="s">
        <v>3208</v>
      </c>
      <c r="L138" s="3388">
        <v>1997</v>
      </c>
      <c r="M138" s="3388">
        <v>45.06</v>
      </c>
      <c r="N138" s="3388">
        <v>1200</v>
      </c>
      <c r="O138" s="3388"/>
      <c r="P138">
        <f t="shared" si="2"/>
        <v>54072</v>
      </c>
    </row>
    <row r="139" spans="1:16">
      <c r="A139" s="3360">
        <v>106</v>
      </c>
      <c r="B139" s="3360">
        <v>1</v>
      </c>
      <c r="C139" s="3360" t="s">
        <v>3153</v>
      </c>
      <c r="D139" s="3360">
        <v>1997</v>
      </c>
      <c r="E139" s="3359">
        <v>58.62</v>
      </c>
      <c r="I139" s="3388">
        <v>99</v>
      </c>
      <c r="J139" s="3388">
        <v>11</v>
      </c>
      <c r="K139" s="3388" t="s">
        <v>3208</v>
      </c>
      <c r="L139" s="3388">
        <v>1997</v>
      </c>
      <c r="M139" s="3388">
        <v>12.26</v>
      </c>
      <c r="N139" s="3388">
        <v>1200</v>
      </c>
      <c r="O139" s="3388"/>
      <c r="P139">
        <f t="shared" si="2"/>
        <v>14712</v>
      </c>
    </row>
    <row r="140" spans="1:16">
      <c r="A140" s="3360">
        <v>107</v>
      </c>
      <c r="B140" s="3360">
        <v>1</v>
      </c>
      <c r="C140" s="3360" t="s">
        <v>3153</v>
      </c>
      <c r="D140" s="3360">
        <v>1997</v>
      </c>
      <c r="E140" s="3359">
        <v>45.59</v>
      </c>
      <c r="I140" s="3388">
        <v>100</v>
      </c>
      <c r="J140" s="3388">
        <v>1</v>
      </c>
      <c r="K140" s="3388" t="s">
        <v>3208</v>
      </c>
      <c r="L140" s="3388">
        <v>1997</v>
      </c>
      <c r="M140" s="3388">
        <v>111.3</v>
      </c>
      <c r="N140" s="3388">
        <v>1200</v>
      </c>
      <c r="O140" s="3388"/>
      <c r="P140">
        <f t="shared" si="2"/>
        <v>133560</v>
      </c>
    </row>
    <row r="141" spans="1:16">
      <c r="A141" s="3360">
        <v>108</v>
      </c>
      <c r="B141" s="3360">
        <v>2</v>
      </c>
      <c r="C141" s="3360" t="s">
        <v>3153</v>
      </c>
      <c r="D141" s="3360">
        <v>1997</v>
      </c>
      <c r="E141" s="3359">
        <v>121.86</v>
      </c>
      <c r="I141" s="3391">
        <v>101</v>
      </c>
      <c r="J141" s="3391">
        <v>1</v>
      </c>
      <c r="K141" s="3391" t="s">
        <v>3208</v>
      </c>
      <c r="L141" s="3391">
        <v>1997</v>
      </c>
      <c r="M141" s="3391">
        <v>16.239999999999998</v>
      </c>
      <c r="N141" s="3388">
        <v>1200</v>
      </c>
      <c r="O141" s="3388"/>
      <c r="P141">
        <f t="shared" si="2"/>
        <v>19488</v>
      </c>
    </row>
    <row r="142" spans="1:16">
      <c r="A142" s="3360">
        <v>109</v>
      </c>
      <c r="B142" s="3360">
        <v>2</v>
      </c>
      <c r="C142" s="3360" t="s">
        <v>3153</v>
      </c>
      <c r="D142" s="3360">
        <v>1997</v>
      </c>
      <c r="E142" s="3359">
        <v>299.18</v>
      </c>
      <c r="I142" s="3388">
        <v>102</v>
      </c>
      <c r="J142" s="3388">
        <v>2</v>
      </c>
      <c r="K142" s="3388" t="s">
        <v>3208</v>
      </c>
      <c r="L142" s="3388">
        <v>1997</v>
      </c>
      <c r="M142" s="3388">
        <v>1246.02</v>
      </c>
      <c r="N142" s="3388">
        <v>1200</v>
      </c>
      <c r="O142" s="3388"/>
      <c r="P142">
        <f t="shared" si="2"/>
        <v>1495224</v>
      </c>
    </row>
    <row r="143" spans="1:16">
      <c r="A143" s="3360">
        <v>110</v>
      </c>
      <c r="B143" s="3360">
        <v>1</v>
      </c>
      <c r="C143" s="3360" t="s">
        <v>3153</v>
      </c>
      <c r="D143" s="3360">
        <v>1997</v>
      </c>
      <c r="E143" s="3359">
        <v>94.42</v>
      </c>
      <c r="I143" s="3388">
        <v>103</v>
      </c>
      <c r="J143" s="3388">
        <v>1</v>
      </c>
      <c r="K143" s="3388" t="s">
        <v>3208</v>
      </c>
      <c r="L143" s="3388">
        <v>1997</v>
      </c>
      <c r="M143" s="3388">
        <v>22.31</v>
      </c>
      <c r="N143" s="3388">
        <v>1200</v>
      </c>
      <c r="O143" s="3388"/>
      <c r="P143">
        <f t="shared" si="2"/>
        <v>26772</v>
      </c>
    </row>
    <row r="144" spans="1:16">
      <c r="A144" s="3360">
        <v>111</v>
      </c>
      <c r="B144" s="3360">
        <v>1</v>
      </c>
      <c r="C144" s="3360" t="s">
        <v>3153</v>
      </c>
      <c r="D144" s="3360">
        <v>1997</v>
      </c>
      <c r="E144" s="3359">
        <v>33.76</v>
      </c>
      <c r="I144" s="3388">
        <v>104</v>
      </c>
      <c r="J144" s="3388">
        <v>2</v>
      </c>
      <c r="K144" s="3388" t="s">
        <v>3208</v>
      </c>
      <c r="L144" s="3388">
        <v>1997</v>
      </c>
      <c r="M144" s="3388">
        <v>96.7</v>
      </c>
      <c r="N144" s="3388">
        <v>1200</v>
      </c>
      <c r="O144" s="3388"/>
      <c r="P144">
        <f t="shared" si="2"/>
        <v>116040</v>
      </c>
    </row>
    <row r="145" spans="1:16">
      <c r="A145" s="3360">
        <v>112</v>
      </c>
      <c r="B145" s="3360">
        <v>1</v>
      </c>
      <c r="C145" s="3360" t="s">
        <v>3153</v>
      </c>
      <c r="D145" s="3360">
        <v>1997</v>
      </c>
      <c r="E145" s="3359">
        <v>265.08999999999997</v>
      </c>
      <c r="I145" s="3388">
        <v>105</v>
      </c>
      <c r="J145" s="3388">
        <v>2</v>
      </c>
      <c r="K145" s="3388" t="s">
        <v>3208</v>
      </c>
      <c r="L145" s="3388">
        <v>1997</v>
      </c>
      <c r="M145" s="3388">
        <v>236.2</v>
      </c>
      <c r="N145" s="3388">
        <v>1200</v>
      </c>
      <c r="O145" s="3388"/>
      <c r="P145">
        <f t="shared" si="2"/>
        <v>283440</v>
      </c>
    </row>
    <row r="146" spans="1:16">
      <c r="A146" s="3360">
        <v>113</v>
      </c>
      <c r="B146" s="3360">
        <v>2</v>
      </c>
      <c r="C146" s="3360" t="s">
        <v>3153</v>
      </c>
      <c r="D146" s="3360">
        <v>1997</v>
      </c>
      <c r="E146" s="3359">
        <v>124.94</v>
      </c>
      <c r="I146" s="3388">
        <v>106</v>
      </c>
      <c r="J146" s="3388">
        <v>1</v>
      </c>
      <c r="K146" s="3388" t="s">
        <v>3208</v>
      </c>
      <c r="L146" s="3388">
        <v>1997</v>
      </c>
      <c r="M146" s="3388">
        <v>58.62</v>
      </c>
      <c r="N146" s="3388">
        <v>1200</v>
      </c>
      <c r="O146" s="3388"/>
      <c r="P146">
        <f t="shared" si="2"/>
        <v>70344</v>
      </c>
    </row>
    <row r="147" spans="1:16">
      <c r="A147" s="3360">
        <v>114</v>
      </c>
      <c r="B147" s="3360">
        <v>2</v>
      </c>
      <c r="C147" s="3360" t="s">
        <v>3153</v>
      </c>
      <c r="D147" s="3360">
        <v>1997</v>
      </c>
      <c r="E147" s="3359">
        <v>250.39</v>
      </c>
      <c r="I147" s="3388">
        <v>107</v>
      </c>
      <c r="J147" s="3388">
        <v>1</v>
      </c>
      <c r="K147" s="3388" t="s">
        <v>3208</v>
      </c>
      <c r="L147" s="3388">
        <v>1997</v>
      </c>
      <c r="M147" s="3388">
        <v>45.59</v>
      </c>
      <c r="N147" s="3388">
        <v>1200</v>
      </c>
      <c r="O147" s="3388"/>
      <c r="P147">
        <f t="shared" si="2"/>
        <v>54708</v>
      </c>
    </row>
    <row r="148" spans="1:16">
      <c r="A148" s="3360">
        <v>115</v>
      </c>
      <c r="B148" s="3360">
        <v>1</v>
      </c>
      <c r="C148" s="3360" t="s">
        <v>3153</v>
      </c>
      <c r="D148" s="3360">
        <v>1997</v>
      </c>
      <c r="E148" s="3359">
        <v>48.95</v>
      </c>
      <c r="I148" s="3388">
        <v>108</v>
      </c>
      <c r="J148" s="3388">
        <v>2</v>
      </c>
      <c r="K148" s="3388" t="s">
        <v>3208</v>
      </c>
      <c r="L148" s="3388">
        <v>1997</v>
      </c>
      <c r="M148" s="3388">
        <v>121.86</v>
      </c>
      <c r="N148" s="3388">
        <v>1200</v>
      </c>
      <c r="O148" s="3388"/>
      <c r="P148">
        <f t="shared" si="2"/>
        <v>146232</v>
      </c>
    </row>
    <row r="149" spans="1:16">
      <c r="A149" s="3360">
        <v>116</v>
      </c>
      <c r="B149" s="3360">
        <v>1</v>
      </c>
      <c r="C149" s="3360" t="s">
        <v>3153</v>
      </c>
      <c r="D149" s="3360">
        <v>1997</v>
      </c>
      <c r="E149" s="3359">
        <v>108.85</v>
      </c>
      <c r="I149" s="3388">
        <v>109</v>
      </c>
      <c r="J149" s="3388">
        <v>2</v>
      </c>
      <c r="K149" s="3388" t="s">
        <v>3208</v>
      </c>
      <c r="L149" s="3388">
        <v>1997</v>
      </c>
      <c r="M149" s="3388">
        <v>299.18</v>
      </c>
      <c r="N149" s="3388">
        <v>1200</v>
      </c>
      <c r="O149" s="3388"/>
      <c r="P149">
        <f t="shared" si="2"/>
        <v>359016</v>
      </c>
    </row>
    <row r="150" spans="1:16">
      <c r="A150" s="3360">
        <v>117</v>
      </c>
      <c r="B150" s="3360">
        <v>1</v>
      </c>
      <c r="C150" s="3360" t="s">
        <v>3153</v>
      </c>
      <c r="D150" s="3360">
        <v>1997</v>
      </c>
      <c r="E150" s="3359">
        <v>48.95</v>
      </c>
      <c r="I150" s="3388">
        <v>110</v>
      </c>
      <c r="J150" s="3388">
        <v>1</v>
      </c>
      <c r="K150" s="3388" t="s">
        <v>3208</v>
      </c>
      <c r="L150" s="3388">
        <v>1997</v>
      </c>
      <c r="M150" s="3388">
        <v>94.42</v>
      </c>
      <c r="N150" s="3388">
        <v>1200</v>
      </c>
      <c r="O150" s="3388"/>
      <c r="P150">
        <f t="shared" si="2"/>
        <v>113304</v>
      </c>
    </row>
    <row r="151" spans="1:16">
      <c r="A151" s="3360">
        <v>118</v>
      </c>
      <c r="B151" s="3360">
        <v>1</v>
      </c>
      <c r="C151" s="3360" t="s">
        <v>3153</v>
      </c>
      <c r="D151" s="3360">
        <v>1997</v>
      </c>
      <c r="E151" s="3359">
        <v>59.28</v>
      </c>
      <c r="I151" s="3388">
        <v>111</v>
      </c>
      <c r="J151" s="3388">
        <v>1</v>
      </c>
      <c r="K151" s="3388" t="s">
        <v>3208</v>
      </c>
      <c r="L151" s="3388">
        <v>1997</v>
      </c>
      <c r="M151" s="3388">
        <v>33.76</v>
      </c>
      <c r="N151" s="3388">
        <v>1200</v>
      </c>
      <c r="O151" s="3388"/>
      <c r="P151">
        <f t="shared" si="2"/>
        <v>40512</v>
      </c>
    </row>
    <row r="152" spans="1:16">
      <c r="A152" s="3360">
        <v>119</v>
      </c>
      <c r="B152" s="3360">
        <v>1</v>
      </c>
      <c r="C152" s="3360" t="s">
        <v>3153</v>
      </c>
      <c r="D152" s="3360">
        <v>1997</v>
      </c>
      <c r="E152" s="3359">
        <v>67.86</v>
      </c>
      <c r="I152" s="3388">
        <v>112</v>
      </c>
      <c r="J152" s="3388">
        <v>1</v>
      </c>
      <c r="K152" s="3388" t="s">
        <v>3208</v>
      </c>
      <c r="L152" s="3388">
        <v>1997</v>
      </c>
      <c r="M152" s="3388">
        <v>265.08999999999997</v>
      </c>
      <c r="N152" s="3388">
        <v>1200</v>
      </c>
      <c r="O152" s="3388"/>
      <c r="P152">
        <f t="shared" si="2"/>
        <v>318108</v>
      </c>
    </row>
    <row r="153" spans="1:16">
      <c r="A153" s="3360">
        <v>120</v>
      </c>
      <c r="B153" s="3360">
        <v>1</v>
      </c>
      <c r="C153" s="3360" t="s">
        <v>3153</v>
      </c>
      <c r="D153" s="3360">
        <v>1997</v>
      </c>
      <c r="E153" s="3359">
        <v>40.869999999999997</v>
      </c>
      <c r="I153" s="3388">
        <v>113</v>
      </c>
      <c r="J153" s="3388">
        <v>2</v>
      </c>
      <c r="K153" s="3388" t="s">
        <v>3208</v>
      </c>
      <c r="L153" s="3388">
        <v>1997</v>
      </c>
      <c r="M153" s="3388">
        <v>124.94</v>
      </c>
      <c r="N153" s="3388">
        <v>1200</v>
      </c>
      <c r="O153" s="3388"/>
      <c r="P153">
        <f t="shared" si="2"/>
        <v>149928</v>
      </c>
    </row>
    <row r="154" spans="1:16">
      <c r="A154" s="3360">
        <v>121</v>
      </c>
      <c r="B154" s="3360">
        <v>1</v>
      </c>
      <c r="C154" s="3360" t="s">
        <v>3153</v>
      </c>
      <c r="D154" s="3360">
        <v>1997</v>
      </c>
      <c r="E154" s="3359">
        <v>11.14</v>
      </c>
      <c r="I154" s="3388">
        <v>114</v>
      </c>
      <c r="J154" s="3388">
        <v>2</v>
      </c>
      <c r="K154" s="3388" t="s">
        <v>3208</v>
      </c>
      <c r="L154" s="3388">
        <v>1997</v>
      </c>
      <c r="M154" s="3388">
        <v>250.39</v>
      </c>
      <c r="N154" s="3388">
        <v>1200</v>
      </c>
      <c r="O154" s="3388"/>
      <c r="P154">
        <f t="shared" si="2"/>
        <v>300468</v>
      </c>
    </row>
    <row r="155" spans="1:16">
      <c r="A155" s="3360">
        <v>122</v>
      </c>
      <c r="B155" s="3360">
        <v>2</v>
      </c>
      <c r="C155" s="3360" t="s">
        <v>3153</v>
      </c>
      <c r="D155" s="3360">
        <v>1997</v>
      </c>
      <c r="E155" s="3359">
        <v>355.77</v>
      </c>
      <c r="I155" s="3388">
        <v>115</v>
      </c>
      <c r="J155" s="3388">
        <v>1</v>
      </c>
      <c r="K155" s="3388" t="s">
        <v>3208</v>
      </c>
      <c r="L155" s="3388">
        <v>1997</v>
      </c>
      <c r="M155" s="3388">
        <v>48.95</v>
      </c>
      <c r="N155" s="3388">
        <v>1200</v>
      </c>
      <c r="O155" s="3388"/>
      <c r="P155">
        <f t="shared" si="2"/>
        <v>58740</v>
      </c>
    </row>
    <row r="156" spans="1:16">
      <c r="A156" s="3360">
        <v>123</v>
      </c>
      <c r="B156" s="3360">
        <v>1</v>
      </c>
      <c r="C156" s="3360" t="s">
        <v>3153</v>
      </c>
      <c r="D156" s="3360">
        <v>1997</v>
      </c>
      <c r="E156" s="3359">
        <v>32.340000000000003</v>
      </c>
      <c r="I156" s="3391">
        <v>116</v>
      </c>
      <c r="J156" s="3391">
        <v>1</v>
      </c>
      <c r="K156" s="3391" t="s">
        <v>3208</v>
      </c>
      <c r="L156" s="3391">
        <v>1997</v>
      </c>
      <c r="M156" s="3391">
        <v>108.85</v>
      </c>
      <c r="N156" s="3388">
        <v>1200</v>
      </c>
      <c r="O156" s="3388"/>
      <c r="P156">
        <f t="shared" si="2"/>
        <v>130620</v>
      </c>
    </row>
    <row r="157" spans="1:16">
      <c r="A157" s="3360">
        <v>124</v>
      </c>
      <c r="B157" s="3360">
        <v>2</v>
      </c>
      <c r="C157" s="3360" t="s">
        <v>3153</v>
      </c>
      <c r="D157" s="3360">
        <v>1997</v>
      </c>
      <c r="E157" s="3359">
        <v>732.62</v>
      </c>
      <c r="I157" s="3388">
        <v>117</v>
      </c>
      <c r="J157" s="3388">
        <v>1</v>
      </c>
      <c r="K157" s="3388" t="s">
        <v>3208</v>
      </c>
      <c r="L157" s="3388">
        <v>1997</v>
      </c>
      <c r="M157" s="3388">
        <v>48.95</v>
      </c>
      <c r="N157" s="3388">
        <v>1200</v>
      </c>
      <c r="O157" s="3388"/>
      <c r="P157">
        <f t="shared" si="2"/>
        <v>58740</v>
      </c>
    </row>
    <row r="158" spans="1:16">
      <c r="A158" s="3360">
        <v>125</v>
      </c>
      <c r="B158" s="3360">
        <v>2</v>
      </c>
      <c r="C158" s="3360" t="s">
        <v>3153</v>
      </c>
      <c r="D158" s="3360">
        <v>1997</v>
      </c>
      <c r="E158" s="3359">
        <v>124.37</v>
      </c>
      <c r="I158" s="3388">
        <v>118</v>
      </c>
      <c r="J158" s="3388">
        <v>1</v>
      </c>
      <c r="K158" s="3388" t="s">
        <v>3208</v>
      </c>
      <c r="L158" s="3388">
        <v>1997</v>
      </c>
      <c r="M158" s="3388">
        <v>59.28</v>
      </c>
      <c r="N158" s="3388">
        <v>1200</v>
      </c>
      <c r="O158" s="3388"/>
      <c r="P158">
        <f t="shared" si="2"/>
        <v>71136</v>
      </c>
    </row>
    <row r="159" spans="1:16">
      <c r="A159" s="3360">
        <v>126</v>
      </c>
      <c r="B159" s="3360">
        <v>2</v>
      </c>
      <c r="C159" s="3360" t="s">
        <v>3153</v>
      </c>
      <c r="D159" s="3360">
        <v>1997</v>
      </c>
      <c r="E159" s="3359">
        <v>130.19999999999999</v>
      </c>
      <c r="I159" s="3388">
        <v>119</v>
      </c>
      <c r="J159" s="3388">
        <v>1</v>
      </c>
      <c r="K159" s="3388" t="s">
        <v>3208</v>
      </c>
      <c r="L159" s="3388">
        <v>1997</v>
      </c>
      <c r="M159" s="3388">
        <v>67.86</v>
      </c>
      <c r="N159" s="3388">
        <v>1200</v>
      </c>
      <c r="O159" s="3388"/>
      <c r="P159">
        <f t="shared" si="2"/>
        <v>81432</v>
      </c>
    </row>
    <row r="160" spans="1:16">
      <c r="A160" s="3360">
        <v>127</v>
      </c>
      <c r="B160" s="3360">
        <v>2</v>
      </c>
      <c r="C160" s="3360" t="s">
        <v>3153</v>
      </c>
      <c r="D160" s="3360">
        <v>1997</v>
      </c>
      <c r="E160" s="3359">
        <v>253.49</v>
      </c>
      <c r="I160" s="3388">
        <v>120</v>
      </c>
      <c r="J160" s="3388">
        <v>1</v>
      </c>
      <c r="K160" s="3388" t="s">
        <v>3208</v>
      </c>
      <c r="L160" s="3388">
        <v>1997</v>
      </c>
      <c r="M160" s="3388">
        <v>40.869999999999997</v>
      </c>
      <c r="N160" s="3388">
        <v>1200</v>
      </c>
      <c r="O160" s="3388"/>
      <c r="P160">
        <f t="shared" si="2"/>
        <v>49044</v>
      </c>
    </row>
    <row r="161" spans="1:16">
      <c r="A161" s="3807" t="s">
        <v>3154</v>
      </c>
      <c r="B161" s="3807"/>
      <c r="C161" s="3807"/>
      <c r="D161" s="3807"/>
      <c r="E161" s="3359">
        <f>SUM(E40:E160)</f>
        <v>12736.12000000001</v>
      </c>
      <c r="I161" s="3388">
        <v>121</v>
      </c>
      <c r="J161" s="3388">
        <v>1</v>
      </c>
      <c r="K161" s="3388" t="s">
        <v>3208</v>
      </c>
      <c r="L161" s="3388">
        <v>1997</v>
      </c>
      <c r="M161" s="3388">
        <v>11.14</v>
      </c>
      <c r="N161" s="3388">
        <v>1200</v>
      </c>
      <c r="O161" s="3388"/>
      <c r="P161">
        <f t="shared" si="2"/>
        <v>13368</v>
      </c>
    </row>
    <row r="162" spans="1:16">
      <c r="I162" s="3388">
        <v>122</v>
      </c>
      <c r="J162" s="3388">
        <v>2</v>
      </c>
      <c r="K162" s="3388" t="s">
        <v>3208</v>
      </c>
      <c r="L162" s="3388">
        <v>1997</v>
      </c>
      <c r="M162" s="3388">
        <v>355.77</v>
      </c>
      <c r="N162" s="3388">
        <v>1200</v>
      </c>
      <c r="O162" s="3388"/>
      <c r="P162">
        <f t="shared" si="2"/>
        <v>426924</v>
      </c>
    </row>
    <row r="163" spans="1:16">
      <c r="I163" s="3388">
        <v>123</v>
      </c>
      <c r="J163" s="3388">
        <v>1</v>
      </c>
      <c r="K163" s="3388" t="s">
        <v>3208</v>
      </c>
      <c r="L163" s="3388">
        <v>1997</v>
      </c>
      <c r="M163" s="3388">
        <v>32.340000000000003</v>
      </c>
      <c r="N163" s="3388">
        <v>1200</v>
      </c>
      <c r="O163" s="3388"/>
      <c r="P163">
        <f t="shared" si="2"/>
        <v>38808</v>
      </c>
    </row>
    <row r="164" spans="1:16">
      <c r="A164" s="3361" t="s">
        <v>3157</v>
      </c>
      <c r="E164" s="3361" t="s">
        <v>3318</v>
      </c>
      <c r="I164" s="3388">
        <v>124</v>
      </c>
      <c r="J164" s="3388">
        <v>2</v>
      </c>
      <c r="K164" s="3388" t="s">
        <v>3208</v>
      </c>
      <c r="L164" s="3388">
        <v>1997</v>
      </c>
      <c r="M164" s="3388">
        <v>732.62</v>
      </c>
      <c r="N164" s="3388">
        <v>1200</v>
      </c>
      <c r="O164" s="3388"/>
      <c r="P164">
        <f t="shared" si="2"/>
        <v>879144</v>
      </c>
    </row>
    <row r="165" spans="1:16">
      <c r="A165" s="3362">
        <f>E11+E161</f>
        <v>35094.070000000014</v>
      </c>
      <c r="E165" s="3362">
        <f>'数据-汇总表'!F19+'[1]数据-汇总表'!$F$19</f>
        <v>41709.560000000012</v>
      </c>
      <c r="I165" s="3388">
        <v>125</v>
      </c>
      <c r="J165" s="3388">
        <v>2</v>
      </c>
      <c r="K165" s="3388" t="s">
        <v>3208</v>
      </c>
      <c r="L165" s="3388">
        <v>1997</v>
      </c>
      <c r="M165" s="3388">
        <v>124.37</v>
      </c>
      <c r="N165" s="3388">
        <v>1200</v>
      </c>
      <c r="O165" s="3388"/>
      <c r="P165">
        <f t="shared" si="2"/>
        <v>149244</v>
      </c>
    </row>
    <row r="166" spans="1:16">
      <c r="A166" s="3361" t="s">
        <v>3158</v>
      </c>
      <c r="I166" s="3388">
        <v>126</v>
      </c>
      <c r="J166" s="3388">
        <v>2</v>
      </c>
      <c r="K166" s="3388" t="s">
        <v>3208</v>
      </c>
      <c r="L166" s="3388">
        <v>1997</v>
      </c>
      <c r="M166" s="3388">
        <v>130.19999999999999</v>
      </c>
      <c r="N166" s="3388">
        <v>1200</v>
      </c>
      <c r="O166" s="3388"/>
      <c r="P166">
        <f t="shared" si="2"/>
        <v>156240</v>
      </c>
    </row>
    <row r="167" spans="1:16">
      <c r="A167">
        <f>34270116.86/10000</f>
        <v>3427.0116859999998</v>
      </c>
      <c r="B167" s="3362"/>
      <c r="C167" s="3413">
        <f>A167*10000/A165/365</f>
        <v>2.6754016027006169</v>
      </c>
      <c r="E167" s="3362">
        <f>A167*10000/365/E165</f>
        <v>2.2510602155306274</v>
      </c>
      <c r="I167" s="3391">
        <v>127</v>
      </c>
      <c r="J167" s="3391">
        <v>2</v>
      </c>
      <c r="K167" s="3391" t="s">
        <v>3208</v>
      </c>
      <c r="L167" s="3391">
        <v>1997</v>
      </c>
      <c r="M167" s="3391">
        <v>253.49</v>
      </c>
      <c r="N167" s="3388">
        <v>1200</v>
      </c>
      <c r="O167" s="3388"/>
      <c r="P167">
        <f t="shared" si="2"/>
        <v>304188</v>
      </c>
    </row>
    <row r="168" spans="1:16" ht="25.5">
      <c r="I168" s="3388"/>
      <c r="J168" s="3388"/>
      <c r="K168" s="3388"/>
      <c r="L168" s="3388"/>
      <c r="M168" s="3392">
        <f>SUM(M41:M167)</f>
        <v>13088.64000000001</v>
      </c>
      <c r="N168" s="3393">
        <f>M168-M41-M42-M43-M51-M66-M67</f>
        <v>12455.770000000011</v>
      </c>
      <c r="O168" s="3394" t="s">
        <v>3209</v>
      </c>
      <c r="P168" s="3395">
        <f>SUM(P41:P167)</f>
        <v>14946924</v>
      </c>
    </row>
    <row r="169" spans="1:16" ht="16.5" customHeight="1">
      <c r="A169" s="3361" t="s">
        <v>3317</v>
      </c>
      <c r="B169">
        <f>SUM(M52:M56)+M87</f>
        <v>352.52</v>
      </c>
      <c r="I169" s="3807" t="s">
        <v>3210</v>
      </c>
      <c r="J169" s="3807"/>
      <c r="K169" s="3807"/>
      <c r="L169" s="3807"/>
      <c r="M169" s="3807"/>
      <c r="N169" s="3396" t="s">
        <v>3204</v>
      </c>
      <c r="O169" s="3388" t="s">
        <v>3211</v>
      </c>
      <c r="P169" s="3397" t="s">
        <v>3205</v>
      </c>
    </row>
    <row r="170" spans="1:16">
      <c r="A170" s="3361" t="s">
        <v>3225</v>
      </c>
      <c r="B170" s="3362">
        <f>M168-E161</f>
        <v>352.52000000000044</v>
      </c>
      <c r="I170" s="3388">
        <v>1</v>
      </c>
      <c r="J170" s="3388">
        <v>2</v>
      </c>
      <c r="K170" s="3388" t="s">
        <v>3212</v>
      </c>
      <c r="L170" s="3388">
        <v>2009</v>
      </c>
      <c r="M170" s="3388">
        <v>1650</v>
      </c>
      <c r="N170" s="3398">
        <v>2800</v>
      </c>
      <c r="O170" s="3388" t="s">
        <v>3213</v>
      </c>
      <c r="P170">
        <f t="shared" ref="P170:P178" si="3">ROUND(N170*M170,0)</f>
        <v>4620000</v>
      </c>
    </row>
    <row r="171" spans="1:16">
      <c r="I171" s="3388">
        <v>2</v>
      </c>
      <c r="J171" s="3388">
        <v>1</v>
      </c>
      <c r="K171" s="3388" t="s">
        <v>3212</v>
      </c>
      <c r="L171" s="3388">
        <v>2009</v>
      </c>
      <c r="M171" s="3388">
        <v>209.4</v>
      </c>
      <c r="N171" s="3398">
        <v>1800</v>
      </c>
      <c r="O171" s="3388" t="s">
        <v>3214</v>
      </c>
      <c r="P171">
        <f t="shared" si="3"/>
        <v>376920</v>
      </c>
    </row>
    <row r="172" spans="1:16">
      <c r="A172" s="3361" t="s">
        <v>3321</v>
      </c>
      <c r="B172">
        <v>1300</v>
      </c>
      <c r="I172" s="3388">
        <v>3</v>
      </c>
      <c r="J172" s="3388">
        <v>1</v>
      </c>
      <c r="K172" s="3388" t="s">
        <v>3212</v>
      </c>
      <c r="L172" s="3388">
        <v>2009</v>
      </c>
      <c r="M172" s="3388">
        <v>58</v>
      </c>
      <c r="N172" s="3398">
        <v>1800</v>
      </c>
      <c r="O172" s="3388" t="s">
        <v>3215</v>
      </c>
      <c r="P172">
        <f t="shared" si="3"/>
        <v>104400</v>
      </c>
    </row>
    <row r="173" spans="1:16">
      <c r="A173" s="3361" t="s">
        <v>3322</v>
      </c>
      <c r="B173" s="3362">
        <f>B172*13088.64/E161</f>
        <v>1335.9823871006231</v>
      </c>
      <c r="I173" s="3388">
        <v>4</v>
      </c>
      <c r="J173" s="3388">
        <v>1</v>
      </c>
      <c r="K173" s="3388" t="s">
        <v>3212</v>
      </c>
      <c r="L173" s="3388">
        <v>2009</v>
      </c>
      <c r="M173" s="3388">
        <v>342.7</v>
      </c>
      <c r="N173" s="3398">
        <v>2500</v>
      </c>
      <c r="O173" s="3388" t="s">
        <v>3216</v>
      </c>
      <c r="P173">
        <f t="shared" si="3"/>
        <v>856750</v>
      </c>
    </row>
    <row r="174" spans="1:16">
      <c r="I174" s="3388">
        <v>5</v>
      </c>
      <c r="J174" s="3388">
        <v>1</v>
      </c>
      <c r="K174" s="3388" t="s">
        <v>3212</v>
      </c>
      <c r="L174" s="3388">
        <v>2009</v>
      </c>
      <c r="M174" s="3388">
        <v>152</v>
      </c>
      <c r="N174" s="3398">
        <v>1800</v>
      </c>
      <c r="O174" s="3388" t="s">
        <v>3217</v>
      </c>
      <c r="P174">
        <f t="shared" si="3"/>
        <v>273600</v>
      </c>
    </row>
    <row r="175" spans="1:16">
      <c r="I175" s="3388">
        <v>6</v>
      </c>
      <c r="J175" s="3388">
        <v>1</v>
      </c>
      <c r="K175" s="3388" t="s">
        <v>3212</v>
      </c>
      <c r="L175" s="3388">
        <v>2009</v>
      </c>
      <c r="M175" s="3388">
        <v>540</v>
      </c>
      <c r="N175" s="3398">
        <f>N173</f>
        <v>2500</v>
      </c>
      <c r="O175" s="3388" t="s">
        <v>3218</v>
      </c>
      <c r="P175">
        <f t="shared" si="3"/>
        <v>1350000</v>
      </c>
    </row>
    <row r="176" spans="1:16">
      <c r="I176" s="3388">
        <v>7</v>
      </c>
      <c r="J176" s="3388">
        <v>1</v>
      </c>
      <c r="K176" s="3388" t="s">
        <v>3212</v>
      </c>
      <c r="L176" s="3388">
        <v>2009</v>
      </c>
      <c r="M176" s="3388">
        <v>42</v>
      </c>
      <c r="N176" s="3398">
        <v>2000</v>
      </c>
      <c r="O176" s="3388" t="s">
        <v>3219</v>
      </c>
      <c r="P176">
        <f t="shared" si="3"/>
        <v>84000</v>
      </c>
    </row>
    <row r="177" spans="9:16">
      <c r="I177" s="3388">
        <v>8</v>
      </c>
      <c r="J177" s="3388">
        <v>1</v>
      </c>
      <c r="K177" s="3388" t="s">
        <v>3212</v>
      </c>
      <c r="L177" s="3388">
        <v>2009</v>
      </c>
      <c r="M177" s="3388">
        <v>56</v>
      </c>
      <c r="N177" s="3398">
        <v>2000</v>
      </c>
      <c r="O177" s="3388" t="s">
        <v>3220</v>
      </c>
      <c r="P177">
        <f t="shared" si="3"/>
        <v>112000</v>
      </c>
    </row>
    <row r="178" spans="9:16">
      <c r="I178" s="3388">
        <v>9</v>
      </c>
      <c r="J178" s="3388">
        <v>2</v>
      </c>
      <c r="K178" s="3388" t="s">
        <v>3212</v>
      </c>
      <c r="L178" s="3388">
        <v>2009</v>
      </c>
      <c r="M178" s="3388">
        <v>215</v>
      </c>
      <c r="N178" s="3398">
        <v>1800</v>
      </c>
      <c r="O178" s="3388" t="s">
        <v>3221</v>
      </c>
      <c r="P178">
        <f t="shared" si="3"/>
        <v>387000</v>
      </c>
    </row>
    <row r="179" spans="9:16">
      <c r="I179" s="3388"/>
      <c r="J179" s="3388"/>
      <c r="K179" s="3388"/>
      <c r="L179" s="3388"/>
      <c r="M179" s="3388">
        <f>SUM(M170:M178)</f>
        <v>3265.1</v>
      </c>
      <c r="N179" s="3388"/>
      <c r="O179" s="3394" t="s">
        <v>3222</v>
      </c>
      <c r="P179" s="3395">
        <f>SUM(P170:P178)</f>
        <v>8164670</v>
      </c>
    </row>
    <row r="180" spans="9:16">
      <c r="O180" s="3397" t="s">
        <v>3223</v>
      </c>
      <c r="P180" s="3399">
        <f>P179+P168</f>
        <v>23111594</v>
      </c>
    </row>
  </sheetData>
  <mergeCells count="102">
    <mergeCell ref="L14:L16"/>
    <mergeCell ref="L17:L18"/>
    <mergeCell ref="L19:L20"/>
    <mergeCell ref="L21:L22"/>
    <mergeCell ref="L23:L24"/>
    <mergeCell ref="A38:E38"/>
    <mergeCell ref="A161:D161"/>
    <mergeCell ref="L25:L26"/>
    <mergeCell ref="L27:L28"/>
    <mergeCell ref="L29:L30"/>
    <mergeCell ref="A33:A34"/>
    <mergeCell ref="B33:B34"/>
    <mergeCell ref="C33:C34"/>
    <mergeCell ref="E33:E34"/>
    <mergeCell ref="F33:F34"/>
    <mergeCell ref="G33:G34"/>
    <mergeCell ref="H33:H34"/>
    <mergeCell ref="I33:I34"/>
    <mergeCell ref="J33:J34"/>
    <mergeCell ref="K33:K34"/>
    <mergeCell ref="L33:L34"/>
    <mergeCell ref="H17:H18"/>
    <mergeCell ref="I17:I18"/>
    <mergeCell ref="J17:J18"/>
    <mergeCell ref="A2:E2"/>
    <mergeCell ref="A11:D11"/>
    <mergeCell ref="A14:K14"/>
    <mergeCell ref="A15:A16"/>
    <mergeCell ref="D15:D16"/>
    <mergeCell ref="G15:G16"/>
    <mergeCell ref="H15:H16"/>
    <mergeCell ref="J15:J16"/>
    <mergeCell ref="K15:K16"/>
    <mergeCell ref="K17:K18"/>
    <mergeCell ref="A19:A20"/>
    <mergeCell ref="B19:B20"/>
    <mergeCell ref="C19:C20"/>
    <mergeCell ref="E19:E20"/>
    <mergeCell ref="F19:F20"/>
    <mergeCell ref="G19:G20"/>
    <mergeCell ref="A17:A18"/>
    <mergeCell ref="B17:B18"/>
    <mergeCell ref="C17:C18"/>
    <mergeCell ref="E17:E18"/>
    <mergeCell ref="F17:F18"/>
    <mergeCell ref="G17:G18"/>
    <mergeCell ref="H19:H20"/>
    <mergeCell ref="I19:I20"/>
    <mergeCell ref="J19:J20"/>
    <mergeCell ref="K19:K20"/>
    <mergeCell ref="K21:K22"/>
    <mergeCell ref="H23:H24"/>
    <mergeCell ref="I23:I24"/>
    <mergeCell ref="J23:J24"/>
    <mergeCell ref="K23:K24"/>
    <mergeCell ref="A23:A24"/>
    <mergeCell ref="B23:B24"/>
    <mergeCell ref="C23:C24"/>
    <mergeCell ref="E23:E24"/>
    <mergeCell ref="F23:F24"/>
    <mergeCell ref="A21:A22"/>
    <mergeCell ref="B21:B22"/>
    <mergeCell ref="C21:C22"/>
    <mergeCell ref="E21:E22"/>
    <mergeCell ref="F21:F22"/>
    <mergeCell ref="G21:G22"/>
    <mergeCell ref="H21:H22"/>
    <mergeCell ref="I21:I22"/>
    <mergeCell ref="J21:J22"/>
    <mergeCell ref="C27:C28"/>
    <mergeCell ref="E27:E28"/>
    <mergeCell ref="F27:F28"/>
    <mergeCell ref="A25:A26"/>
    <mergeCell ref="B25:B26"/>
    <mergeCell ref="C25:C26"/>
    <mergeCell ref="E25:E26"/>
    <mergeCell ref="F25:F26"/>
    <mergeCell ref="G23:G24"/>
    <mergeCell ref="I38:M38"/>
    <mergeCell ref="I169:M169"/>
    <mergeCell ref="A29:A30"/>
    <mergeCell ref="B29:B30"/>
    <mergeCell ref="C29:C30"/>
    <mergeCell ref="E29:E30"/>
    <mergeCell ref="F29:F30"/>
    <mergeCell ref="G29:G30"/>
    <mergeCell ref="H25:H26"/>
    <mergeCell ref="I25:I26"/>
    <mergeCell ref="J25:J26"/>
    <mergeCell ref="K25:K26"/>
    <mergeCell ref="G27:G28"/>
    <mergeCell ref="H29:H30"/>
    <mergeCell ref="I29:I30"/>
    <mergeCell ref="J29:J30"/>
    <mergeCell ref="K29:K30"/>
    <mergeCell ref="H27:H28"/>
    <mergeCell ref="I27:I28"/>
    <mergeCell ref="J27:J28"/>
    <mergeCell ref="K27:K28"/>
    <mergeCell ref="G25:G26"/>
    <mergeCell ref="A27:A28"/>
    <mergeCell ref="B27:B28"/>
  </mergeCells>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N15"/>
  <sheetViews>
    <sheetView workbookViewId="0">
      <selection activeCell="K4" sqref="K4"/>
    </sheetView>
  </sheetViews>
  <sheetFormatPr defaultRowHeight="13.5"/>
  <cols>
    <col min="1" max="1" width="38.5" customWidth="1"/>
    <col min="8" max="8" width="11.375" customWidth="1"/>
  </cols>
  <sheetData>
    <row r="1" spans="1:14" s="3137" customFormat="1">
      <c r="A1" s="3137" t="s">
        <v>3226</v>
      </c>
      <c r="B1" s="3137" t="s">
        <v>3227</v>
      </c>
      <c r="C1" s="3137" t="s">
        <v>3228</v>
      </c>
      <c r="D1" s="3137" t="s">
        <v>3229</v>
      </c>
      <c r="E1" s="3137" t="s">
        <v>3230</v>
      </c>
      <c r="F1" s="3137" t="s">
        <v>3231</v>
      </c>
      <c r="G1" s="3137" t="s">
        <v>3232</v>
      </c>
      <c r="H1" s="3137" t="s">
        <v>3233</v>
      </c>
      <c r="I1" s="3137" t="s">
        <v>3234</v>
      </c>
      <c r="J1" s="3137" t="s">
        <v>3235</v>
      </c>
      <c r="K1" s="3137" t="s">
        <v>3236</v>
      </c>
      <c r="L1" s="3403" t="s">
        <v>3237</v>
      </c>
      <c r="M1" s="3137" t="s">
        <v>3238</v>
      </c>
      <c r="N1" s="3137" t="s">
        <v>3239</v>
      </c>
    </row>
    <row r="2" spans="1:14" s="3137" customFormat="1">
      <c r="A2" s="3416" t="s">
        <v>3240</v>
      </c>
      <c r="B2" s="3137" t="s">
        <v>3068</v>
      </c>
      <c r="C2" s="3137" t="s">
        <v>3241</v>
      </c>
      <c r="D2" s="3137">
        <v>44700.95</v>
      </c>
      <c r="E2" s="3137">
        <v>80462</v>
      </c>
      <c r="F2" s="3137">
        <v>1.8</v>
      </c>
      <c r="G2" s="3137" t="s">
        <v>3242</v>
      </c>
      <c r="H2" s="3137" t="s">
        <v>3243</v>
      </c>
      <c r="I2" s="3137">
        <v>22400</v>
      </c>
      <c r="J2" s="3137">
        <v>22400</v>
      </c>
      <c r="K2" s="3137">
        <v>2783.92</v>
      </c>
      <c r="L2" s="3137">
        <f>ROUND(J2*10000/D2,0)</f>
        <v>5011</v>
      </c>
      <c r="M2" s="3137">
        <v>0</v>
      </c>
      <c r="N2" s="3137" t="s">
        <v>3244</v>
      </c>
    </row>
    <row r="3" spans="1:14" s="3404" customFormat="1" ht="29.25" customHeight="1">
      <c r="A3" s="3417" t="s">
        <v>3245</v>
      </c>
      <c r="B3" s="3404" t="s">
        <v>3068</v>
      </c>
      <c r="C3" s="3404" t="s">
        <v>3241</v>
      </c>
      <c r="D3" s="3404">
        <v>12853.55</v>
      </c>
      <c r="E3" s="3404">
        <v>77121</v>
      </c>
      <c r="F3" s="3404">
        <v>6</v>
      </c>
      <c r="G3" s="3404" t="s">
        <v>3242</v>
      </c>
      <c r="H3" s="3404" t="s">
        <v>3246</v>
      </c>
      <c r="I3" s="3404">
        <v>43000</v>
      </c>
      <c r="J3" s="3404">
        <v>52200</v>
      </c>
      <c r="K3" s="3404">
        <v>6768.57</v>
      </c>
      <c r="L3" s="3404">
        <f t="shared" ref="L3:L15" si="0">ROUND(J3*10000/D3,0)</f>
        <v>40611</v>
      </c>
      <c r="M3" s="3404">
        <v>21.4</v>
      </c>
      <c r="N3" s="3404" t="s">
        <v>3247</v>
      </c>
    </row>
    <row r="4" spans="1:14" s="3423" customFormat="1" ht="37.5" customHeight="1">
      <c r="A4" s="3422" t="s">
        <v>3248</v>
      </c>
      <c r="B4" s="3423" t="s">
        <v>3068</v>
      </c>
      <c r="C4" s="3423" t="s">
        <v>3241</v>
      </c>
      <c r="D4" s="3423">
        <v>1080820</v>
      </c>
      <c r="E4" s="3423">
        <v>421534</v>
      </c>
      <c r="F4" s="3423">
        <v>0.39</v>
      </c>
      <c r="G4" s="3423" t="s">
        <v>3242</v>
      </c>
      <c r="H4" s="3423" t="s">
        <v>3249</v>
      </c>
      <c r="I4" s="3423">
        <v>568000</v>
      </c>
      <c r="J4" s="3423">
        <v>568000</v>
      </c>
      <c r="K4" s="3423">
        <v>13474.6</v>
      </c>
      <c r="L4" s="3423">
        <f t="shared" si="0"/>
        <v>5255</v>
      </c>
      <c r="M4" s="3423">
        <v>0</v>
      </c>
      <c r="N4" s="3423" t="s">
        <v>3250</v>
      </c>
    </row>
    <row r="5" spans="1:14" s="3137" customFormat="1">
      <c r="A5" s="3418" t="s">
        <v>3251</v>
      </c>
      <c r="B5" s="3405" t="s">
        <v>3068</v>
      </c>
      <c r="C5" s="3405" t="s">
        <v>3241</v>
      </c>
      <c r="D5" s="3405">
        <v>23105.759999999998</v>
      </c>
      <c r="E5" s="3405">
        <v>27727</v>
      </c>
      <c r="F5" s="3405">
        <v>1.2</v>
      </c>
      <c r="G5" s="3405" t="s">
        <v>3242</v>
      </c>
      <c r="H5" s="3405" t="s">
        <v>3252</v>
      </c>
      <c r="I5" s="3405">
        <v>8000</v>
      </c>
      <c r="J5" s="3405">
        <v>8000</v>
      </c>
      <c r="K5" s="3405">
        <v>2885.26</v>
      </c>
      <c r="L5" s="3137">
        <f t="shared" si="0"/>
        <v>3462</v>
      </c>
      <c r="M5" s="3405">
        <v>0</v>
      </c>
      <c r="N5" s="3405" t="s">
        <v>3253</v>
      </c>
    </row>
    <row r="6" spans="1:14" s="3415" customFormat="1" ht="20.25" customHeight="1">
      <c r="A6" s="3419" t="s">
        <v>3254</v>
      </c>
      <c r="B6" s="3414" t="s">
        <v>3068</v>
      </c>
      <c r="C6" s="3414" t="s">
        <v>3241</v>
      </c>
      <c r="D6" s="3414">
        <v>36265</v>
      </c>
      <c r="E6" s="3414">
        <v>126928</v>
      </c>
      <c r="F6" s="3414">
        <v>3.5</v>
      </c>
      <c r="G6" s="3414" t="s">
        <v>3242</v>
      </c>
      <c r="H6" s="3414" t="s">
        <v>3255</v>
      </c>
      <c r="I6" s="3414">
        <v>37000</v>
      </c>
      <c r="J6" s="3414">
        <v>48600</v>
      </c>
      <c r="K6" s="3414">
        <v>3828.94</v>
      </c>
      <c r="L6" s="3415">
        <f t="shared" si="0"/>
        <v>13401</v>
      </c>
      <c r="M6" s="3414">
        <v>31.35</v>
      </c>
      <c r="N6" s="3414" t="s">
        <v>3256</v>
      </c>
    </row>
    <row r="7" spans="1:14" s="3415" customFormat="1">
      <c r="A7" s="3419" t="s">
        <v>3257</v>
      </c>
      <c r="B7" s="3414" t="s">
        <v>3068</v>
      </c>
      <c r="C7" s="3414" t="s">
        <v>3241</v>
      </c>
      <c r="D7" s="3414">
        <v>170200.2</v>
      </c>
      <c r="E7" s="3414">
        <v>255301</v>
      </c>
      <c r="F7" s="3414">
        <v>1.5</v>
      </c>
      <c r="G7" s="3414" t="s">
        <v>3242</v>
      </c>
      <c r="H7" s="3414" t="s">
        <v>3258</v>
      </c>
      <c r="I7" s="3414">
        <v>255000</v>
      </c>
      <c r="J7" s="3414">
        <v>259500</v>
      </c>
      <c r="K7" s="3414">
        <v>10164.459999999999</v>
      </c>
      <c r="L7" s="3415">
        <f t="shared" si="0"/>
        <v>15247</v>
      </c>
      <c r="M7" s="3414">
        <v>1.76</v>
      </c>
      <c r="N7" s="3414" t="s">
        <v>3259</v>
      </c>
    </row>
    <row r="8" spans="1:14" s="3412" customFormat="1">
      <c r="A8" s="3420" t="s">
        <v>3260</v>
      </c>
      <c r="B8" s="3411" t="s">
        <v>3068</v>
      </c>
      <c r="C8" s="3411" t="s">
        <v>3241</v>
      </c>
      <c r="D8" s="3411">
        <v>49477.2</v>
      </c>
      <c r="E8" s="3411">
        <v>123693</v>
      </c>
      <c r="F8" s="3411">
        <v>2.5</v>
      </c>
      <c r="G8" s="3411" t="s">
        <v>3242</v>
      </c>
      <c r="H8" s="3411" t="s">
        <v>3261</v>
      </c>
      <c r="I8" s="3411">
        <v>74300</v>
      </c>
      <c r="J8" s="3411">
        <v>187500</v>
      </c>
      <c r="K8" s="3411">
        <v>15158.5</v>
      </c>
      <c r="L8" s="3412">
        <f t="shared" si="0"/>
        <v>37896</v>
      </c>
      <c r="M8" s="3411">
        <v>152.36000000000001</v>
      </c>
      <c r="N8" s="3411" t="s">
        <v>3262</v>
      </c>
    </row>
    <row r="9" spans="1:14" s="3404" customFormat="1">
      <c r="A9" s="3421" t="s">
        <v>3263</v>
      </c>
      <c r="B9" s="3406" t="s">
        <v>3068</v>
      </c>
      <c r="C9" s="3406" t="s">
        <v>3241</v>
      </c>
      <c r="D9" s="3406">
        <v>17277.400000000001</v>
      </c>
      <c r="E9" s="3406">
        <v>34555</v>
      </c>
      <c r="F9" s="3406">
        <v>2</v>
      </c>
      <c r="G9" s="3406" t="s">
        <v>3242</v>
      </c>
      <c r="H9" s="3406" t="s">
        <v>3252</v>
      </c>
      <c r="I9" s="3406">
        <v>22000</v>
      </c>
      <c r="J9" s="3406">
        <v>22000</v>
      </c>
      <c r="K9" s="3406">
        <v>6366.65</v>
      </c>
      <c r="L9" s="3404">
        <f t="shared" si="0"/>
        <v>12733</v>
      </c>
      <c r="M9" s="3406">
        <v>0</v>
      </c>
      <c r="N9" s="3406" t="s">
        <v>3264</v>
      </c>
    </row>
    <row r="10" spans="1:14" s="3404" customFormat="1" ht="27">
      <c r="A10" s="3421" t="s">
        <v>3265</v>
      </c>
      <c r="B10" s="3406" t="s">
        <v>3068</v>
      </c>
      <c r="C10" s="3406" t="s">
        <v>3241</v>
      </c>
      <c r="D10" s="3406">
        <v>88702.37</v>
      </c>
      <c r="E10" s="3406">
        <v>206707</v>
      </c>
      <c r="F10" s="3406">
        <v>2.33</v>
      </c>
      <c r="G10" s="3406" t="s">
        <v>3242</v>
      </c>
      <c r="H10" s="3406" t="s">
        <v>3252</v>
      </c>
      <c r="I10" s="3406">
        <v>134500</v>
      </c>
      <c r="J10" s="3406">
        <v>138000</v>
      </c>
      <c r="K10" s="3406">
        <v>6676.11</v>
      </c>
      <c r="L10" s="3404">
        <f t="shared" si="0"/>
        <v>15558</v>
      </c>
      <c r="M10" s="3406">
        <v>2.6</v>
      </c>
      <c r="N10" s="3406" t="s">
        <v>3266</v>
      </c>
    </row>
    <row r="11" spans="1:14" s="3137" customFormat="1" ht="28.5" customHeight="1">
      <c r="A11" s="3418" t="s">
        <v>3267</v>
      </c>
      <c r="B11" s="3405" t="s">
        <v>3068</v>
      </c>
      <c r="C11" s="3405" t="s">
        <v>3241</v>
      </c>
      <c r="D11" s="3405">
        <v>40669.300000000003</v>
      </c>
      <c r="E11" s="3405">
        <v>109807</v>
      </c>
      <c r="F11" s="3405">
        <v>2.7</v>
      </c>
      <c r="G11" s="3405" t="s">
        <v>3242</v>
      </c>
      <c r="H11" s="3405" t="s">
        <v>3268</v>
      </c>
      <c r="I11" s="3405">
        <v>75000</v>
      </c>
      <c r="J11" s="3405">
        <v>75000</v>
      </c>
      <c r="K11" s="3405">
        <v>6830.17</v>
      </c>
      <c r="L11" s="3137">
        <f t="shared" si="0"/>
        <v>18441</v>
      </c>
      <c r="M11" s="3405">
        <v>0</v>
      </c>
      <c r="N11" s="3405" t="s">
        <v>3269</v>
      </c>
    </row>
    <row r="12" spans="1:14" s="3415" customFormat="1" ht="42.75" customHeight="1">
      <c r="A12" s="3419" t="s">
        <v>3270</v>
      </c>
      <c r="B12" s="3414" t="s">
        <v>3068</v>
      </c>
      <c r="C12" s="3414" t="s">
        <v>3241</v>
      </c>
      <c r="D12" s="3414">
        <v>45793.17</v>
      </c>
      <c r="E12" s="3414">
        <v>114483</v>
      </c>
      <c r="F12" s="3414">
        <v>2.5</v>
      </c>
      <c r="G12" s="3414" t="s">
        <v>3242</v>
      </c>
      <c r="H12" s="3414" t="s">
        <v>3271</v>
      </c>
      <c r="I12" s="3414">
        <v>65000</v>
      </c>
      <c r="J12" s="3414">
        <v>65000</v>
      </c>
      <c r="K12" s="3414">
        <v>5677.69</v>
      </c>
      <c r="L12" s="3415">
        <f t="shared" si="0"/>
        <v>14194</v>
      </c>
      <c r="M12" s="3414">
        <v>0</v>
      </c>
      <c r="N12" s="3414" t="s">
        <v>3272</v>
      </c>
    </row>
    <row r="13" spans="1:14" s="3415" customFormat="1">
      <c r="A13" s="3419" t="s">
        <v>3307</v>
      </c>
      <c r="B13" s="3414" t="s">
        <v>3068</v>
      </c>
      <c r="C13" s="3414" t="s">
        <v>3241</v>
      </c>
      <c r="D13" s="3414">
        <v>120885</v>
      </c>
      <c r="E13" s="3414">
        <v>256512</v>
      </c>
      <c r="F13" s="3414" t="s">
        <v>2934</v>
      </c>
      <c r="G13" s="3414" t="s">
        <v>3242</v>
      </c>
      <c r="H13" s="3414" t="s">
        <v>3258</v>
      </c>
      <c r="I13" s="3414">
        <v>250000</v>
      </c>
      <c r="J13" s="3414">
        <v>250000</v>
      </c>
      <c r="K13" s="3414">
        <v>9746.1200000000008</v>
      </c>
      <c r="L13" s="3415">
        <f t="shared" si="0"/>
        <v>20681</v>
      </c>
      <c r="M13" s="3414">
        <v>0</v>
      </c>
      <c r="N13" s="3414" t="s">
        <v>3308</v>
      </c>
    </row>
    <row r="14" spans="1:14" s="3412" customFormat="1" ht="31.5" customHeight="1">
      <c r="A14" s="3420" t="s">
        <v>3309</v>
      </c>
      <c r="B14" s="3411" t="s">
        <v>3068</v>
      </c>
      <c r="C14" s="3411" t="s">
        <v>3241</v>
      </c>
      <c r="D14" s="3411">
        <v>5237.16</v>
      </c>
      <c r="E14" s="3411">
        <v>10474</v>
      </c>
      <c r="F14" s="3411">
        <v>2</v>
      </c>
      <c r="G14" s="3411" t="s">
        <v>3242</v>
      </c>
      <c r="H14" s="3411" t="s">
        <v>3310</v>
      </c>
      <c r="I14" s="3411">
        <v>13000</v>
      </c>
      <c r="J14" s="3411">
        <v>13700</v>
      </c>
      <c r="K14" s="3411">
        <v>13080.01</v>
      </c>
      <c r="L14" s="3412">
        <f t="shared" si="0"/>
        <v>26159</v>
      </c>
      <c r="M14" s="3411">
        <v>5.38</v>
      </c>
      <c r="N14" s="3411" t="s">
        <v>3311</v>
      </c>
    </row>
    <row r="15" spans="1:14" s="3412" customFormat="1" ht="36.75" customHeight="1">
      <c r="A15" s="3420" t="s">
        <v>3312</v>
      </c>
      <c r="B15" s="3411" t="s">
        <v>3068</v>
      </c>
      <c r="C15" s="3411" t="s">
        <v>3241</v>
      </c>
      <c r="D15" s="3411">
        <v>27641.17</v>
      </c>
      <c r="E15" s="3411">
        <v>96744</v>
      </c>
      <c r="F15" s="3411">
        <v>3.5</v>
      </c>
      <c r="G15" s="3411" t="s">
        <v>3242</v>
      </c>
      <c r="H15" s="3411" t="s">
        <v>3268</v>
      </c>
      <c r="I15" s="3411">
        <v>117000</v>
      </c>
      <c r="J15" s="3411">
        <v>117600</v>
      </c>
      <c r="K15" s="3411">
        <v>12155.79</v>
      </c>
      <c r="L15" s="3412">
        <f t="shared" si="0"/>
        <v>42545</v>
      </c>
      <c r="M15" s="3411">
        <v>0.51</v>
      </c>
      <c r="N15" s="3411" t="s">
        <v>3313</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437" t="str">
        <f>IF(项目基本情况!B9="房地产市场价值","估价结果一览表","结果表-2")</f>
        <v>结果表-2</v>
      </c>
      <c r="B1" s="3437"/>
      <c r="C1" s="3437"/>
      <c r="D1" s="3437"/>
      <c r="E1" s="3437"/>
      <c r="F1" s="3437"/>
      <c r="G1" s="3437"/>
      <c r="H1" s="3437"/>
      <c r="I1" s="3437"/>
    </row>
    <row r="2" spans="1:9" ht="30" customHeight="1" thickTop="1">
      <c r="A2" s="3438" t="s">
        <v>2872</v>
      </c>
      <c r="B2" s="3438" t="s">
        <v>2036</v>
      </c>
      <c r="C2" s="3438" t="s">
        <v>2037</v>
      </c>
      <c r="D2" s="3438" t="str">
        <f>结果表!D116</f>
        <v>出让国有建设用地使用权价值</v>
      </c>
      <c r="E2" s="3438"/>
      <c r="F2" s="3438" t="str">
        <f>结果表!F116</f>
        <v>在建建筑物价值</v>
      </c>
      <c r="G2" s="3438"/>
      <c r="H2" s="3438" t="str">
        <f>IF(项目基本情况!B9="房地产市场价值","房地产市场价值","房地产价值")</f>
        <v>房地产价值</v>
      </c>
      <c r="I2" s="3438"/>
    </row>
    <row r="3" spans="1:9" ht="14.25">
      <c r="A3" s="3439"/>
      <c r="B3" s="3439"/>
      <c r="C3" s="3439"/>
      <c r="D3" s="1913" t="s">
        <v>7</v>
      </c>
      <c r="E3" s="1913" t="s">
        <v>2038</v>
      </c>
      <c r="F3" s="1913" t="s">
        <v>7</v>
      </c>
      <c r="G3" s="1913" t="s">
        <v>8</v>
      </c>
      <c r="H3" s="1913" t="s">
        <v>7</v>
      </c>
      <c r="I3" s="1913" t="s">
        <v>8</v>
      </c>
    </row>
    <row r="4" spans="1:9" ht="28.5">
      <c r="A4" s="1983" t="str">
        <f>项目基本情况!S2</f>
        <v>北京市怀柔区杨宋镇凤翔二园1号1-7幢房地产</v>
      </c>
      <c r="B4" s="1977">
        <f>项目基本情况!C17</f>
        <v>12736.12000000001</v>
      </c>
      <c r="C4" s="1977">
        <f>项目基本情况!C18</f>
        <v>82323.28</v>
      </c>
      <c r="D4" s="1977">
        <f ca="1">结果表!D118</f>
        <v>28576</v>
      </c>
      <c r="E4" s="1977">
        <f ca="1">结果表!E118</f>
        <v>22437</v>
      </c>
      <c r="F4" s="1977">
        <f ca="1">结果表!F118</f>
        <v>2586</v>
      </c>
      <c r="G4" s="1977">
        <f ca="1">结果表!G118</f>
        <v>2030</v>
      </c>
      <c r="H4" s="1977">
        <f ca="1">结果表!H118</f>
        <v>31162</v>
      </c>
      <c r="I4" s="1977">
        <f ca="1">结果表!I118</f>
        <v>24467</v>
      </c>
    </row>
    <row r="5" spans="1:9" ht="30" customHeight="1">
      <c r="A5" s="3439" t="s">
        <v>9</v>
      </c>
      <c r="B5" s="3439"/>
      <c r="C5" s="3439"/>
      <c r="D5" s="3440" t="str">
        <f ca="1">结果表!D119</f>
        <v>贰亿捌仟伍佰柒拾陆万元整</v>
      </c>
      <c r="E5" s="3440"/>
      <c r="F5" s="3440" t="str">
        <f ca="1">结果表!F119</f>
        <v>贰仟伍佰捌拾陆万元整</v>
      </c>
      <c r="G5" s="3440"/>
      <c r="H5" s="3440" t="str">
        <f ca="1">结果表!H119</f>
        <v>叁亿壹仟壹佰陆拾贰万元整</v>
      </c>
      <c r="I5" s="3440"/>
    </row>
    <row r="6" spans="1:9" ht="15.75">
      <c r="A6" s="3441" t="str">
        <f>结果表!A120</f>
        <v>估价师知悉的法定优先受偿款</v>
      </c>
      <c r="B6" s="3441"/>
      <c r="C6" s="3441"/>
      <c r="D6" s="3442">
        <f>结果表!D120</f>
        <v>0</v>
      </c>
      <c r="E6" s="3442"/>
      <c r="F6" s="3442"/>
      <c r="G6" s="3442"/>
      <c r="H6" s="3442"/>
      <c r="I6" s="3442"/>
    </row>
    <row r="7" spans="1:9" ht="14.25">
      <c r="A7" s="3439" t="s">
        <v>9</v>
      </c>
      <c r="B7" s="3439"/>
      <c r="C7" s="3439"/>
      <c r="D7" s="3443" t="str">
        <f>结果表!D121</f>
        <v>零元整</v>
      </c>
      <c r="E7" s="3444"/>
      <c r="F7" s="3444"/>
      <c r="G7" s="3444"/>
      <c r="H7" s="3444"/>
      <c r="I7" s="3445"/>
    </row>
    <row r="8" spans="1:9" ht="15.75">
      <c r="A8" s="3441" t="str">
        <f>结果表!A122</f>
        <v>房地产抵押价值</v>
      </c>
      <c r="B8" s="3441"/>
      <c r="C8" s="3441"/>
      <c r="D8" s="3442">
        <f ca="1">结果表!D122</f>
        <v>31162</v>
      </c>
      <c r="E8" s="3442"/>
      <c r="F8" s="3442"/>
      <c r="G8" s="3442"/>
      <c r="H8" s="3442"/>
      <c r="I8" s="3442"/>
    </row>
    <row r="9" spans="1:9" ht="14.25">
      <c r="A9" s="3439" t="s">
        <v>9</v>
      </c>
      <c r="B9" s="3439"/>
      <c r="C9" s="3439"/>
      <c r="D9" s="3440" t="str">
        <f ca="1">结果表!D123</f>
        <v>叁亿壹仟壹佰陆拾贰万元整</v>
      </c>
      <c r="E9" s="3440"/>
      <c r="F9" s="3440"/>
      <c r="G9" s="3440"/>
      <c r="H9" s="3440"/>
      <c r="I9" s="3440"/>
    </row>
    <row r="10" spans="1:9" ht="15.75">
      <c r="A10" s="3441" t="str">
        <f>结果表!A124</f>
        <v/>
      </c>
      <c r="B10" s="3441"/>
      <c r="C10" s="3441"/>
      <c r="D10" s="3442" t="str">
        <f>结果表!D124</f>
        <v>——</v>
      </c>
      <c r="E10" s="3442"/>
      <c r="F10" s="3442"/>
      <c r="G10" s="3442"/>
      <c r="H10" s="3442"/>
      <c r="I10" s="3442"/>
    </row>
    <row r="11" spans="1:9" ht="14.25">
      <c r="A11" s="3439" t="s">
        <v>9</v>
      </c>
      <c r="B11" s="3439"/>
      <c r="C11" s="3439"/>
      <c r="D11" s="3440" t="e">
        <f>结果表!D125</f>
        <v>#VALUE!</v>
      </c>
      <c r="E11" s="3440"/>
      <c r="F11" s="3440"/>
      <c r="G11" s="3440"/>
      <c r="H11" s="3440"/>
      <c r="I11" s="3440"/>
    </row>
    <row r="12" spans="1:9" ht="15.75">
      <c r="A12" s="3441" t="str">
        <f>结果表!A126</f>
        <v/>
      </c>
      <c r="B12" s="3441"/>
      <c r="C12" s="3441"/>
      <c r="D12" s="3442" t="str">
        <f>结果表!D126</f>
        <v>——</v>
      </c>
      <c r="E12" s="3442"/>
      <c r="F12" s="3442"/>
      <c r="G12" s="3442"/>
      <c r="H12" s="3442"/>
      <c r="I12" s="3442"/>
    </row>
    <row r="13" spans="1:9" ht="15" thickBot="1">
      <c r="A13" s="3446" t="s">
        <v>9</v>
      </c>
      <c r="B13" s="3446"/>
      <c r="C13" s="3446"/>
      <c r="D13" s="3447" t="e">
        <f>结果表!D127</f>
        <v>#VALUE!</v>
      </c>
      <c r="E13" s="3447"/>
      <c r="F13" s="3447"/>
      <c r="G13" s="3447"/>
      <c r="H13" s="3447"/>
      <c r="I13" s="3447"/>
    </row>
    <row r="14" spans="1:9" ht="14.25" thickTop="1">
      <c r="A14" s="3448" t="s">
        <v>2039</v>
      </c>
      <c r="B14" s="3448"/>
      <c r="C14" s="3448"/>
      <c r="D14" s="3448"/>
      <c r="E14" s="3448"/>
      <c r="F14" s="3448"/>
      <c r="G14" s="3448"/>
      <c r="H14" s="3448"/>
      <c r="I14" s="3448"/>
    </row>
    <row r="16" spans="1:9" ht="18.75">
      <c r="A16" s="1992" t="s">
        <v>2040</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49" t="s">
        <v>2849</v>
      </c>
      <c r="B1" s="3449"/>
      <c r="C1" s="3449"/>
      <c r="D1" s="3449"/>
    </row>
    <row r="2" spans="1:4" ht="18.75">
      <c r="A2" s="3450" t="s">
        <v>2110</v>
      </c>
      <c r="B2" s="3450"/>
      <c r="C2" s="3450"/>
      <c r="D2" s="3450"/>
    </row>
    <row r="3" spans="1:4" ht="18.75">
      <c r="A3" s="2612" t="s">
        <v>2111</v>
      </c>
      <c r="B3" s="2612" t="s">
        <v>2112</v>
      </c>
      <c r="C3" s="2612" t="s">
        <v>2113</v>
      </c>
      <c r="D3" s="2612" t="s">
        <v>2114</v>
      </c>
    </row>
    <row r="4" spans="1:4" ht="56.25" customHeight="1">
      <c r="A4" s="2618" t="str">
        <f>项目基本情况!B4</f>
        <v>刘梅</v>
      </c>
      <c r="B4" s="2613">
        <f ca="1">项目基本情况!C4</f>
        <v>1120140022</v>
      </c>
      <c r="C4" s="2616"/>
      <c r="D4" s="2614" t="s">
        <v>2115</v>
      </c>
    </row>
    <row r="5" spans="1:4" ht="56.25" customHeight="1">
      <c r="A5" s="2618" t="str">
        <f>项目基本情况!D4</f>
        <v>吴薇</v>
      </c>
      <c r="B5" s="2613">
        <f ca="1">项目基本情况!E4</f>
        <v>1419970001</v>
      </c>
      <c r="C5" s="2617"/>
      <c r="D5" s="2614" t="s">
        <v>2115</v>
      </c>
    </row>
    <row r="6" spans="1:4" ht="18.75">
      <c r="A6" s="3450" t="s">
        <v>2611</v>
      </c>
      <c r="B6" s="3450"/>
      <c r="C6" s="3450"/>
      <c r="D6" s="3450"/>
    </row>
    <row r="7" spans="1:4" ht="18.75">
      <c r="A7" s="2612" t="s">
        <v>2111</v>
      </c>
      <c r="B7" s="2613" t="s">
        <v>2116</v>
      </c>
      <c r="C7" s="2612" t="s">
        <v>2113</v>
      </c>
      <c r="D7" s="2612" t="s">
        <v>2114</v>
      </c>
    </row>
    <row r="8" spans="1:4" ht="56.25" customHeight="1">
      <c r="A8" s="2615" t="s">
        <v>2117</v>
      </c>
      <c r="B8" s="2615" t="s">
        <v>23</v>
      </c>
      <c r="C8" s="2616"/>
      <c r="D8" s="2614" t="s">
        <v>2115</v>
      </c>
    </row>
    <row r="9" spans="1:4">
      <c r="A9" s="1496"/>
      <c r="B9" s="1496"/>
      <c r="C9" s="1496"/>
      <c r="D9" s="1496"/>
    </row>
    <row r="10" spans="1:4" ht="18.75">
      <c r="A10" s="2094" t="s">
        <v>2118</v>
      </c>
      <c r="B10" s="1496"/>
      <c r="C10" s="1496"/>
      <c r="D10" s="1496"/>
    </row>
    <row r="11" spans="1:4" ht="30" customHeight="1">
      <c r="A11" s="3451" t="s">
        <v>2704</v>
      </c>
      <c r="B11" s="3452"/>
      <c r="C11" s="3452"/>
      <c r="D11" s="3452"/>
    </row>
    <row r="12" spans="1:4" ht="14.25">
      <c r="A12" s="34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3"/>
      <c r="C12" s="3453"/>
      <c r="D12" s="3453"/>
    </row>
    <row r="13" spans="1:4" ht="30" customHeight="1">
      <c r="A13" s="34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3"/>
      <c r="C13" s="3453"/>
      <c r="D13" s="3453"/>
    </row>
    <row r="14" spans="1:4" ht="15.75" customHeight="1">
      <c r="A14" s="3452" t="str">
        <f>IF(项目基本情况!B8="抵押","4.本次评估估价师所知悉的法定优先受偿款情况说明如下：","——")</f>
        <v>4.本次评估估价师所知悉的法定优先受偿款情况说明如下：</v>
      </c>
      <c r="B14" s="3453"/>
      <c r="C14" s="3453"/>
      <c r="D14" s="3453"/>
    </row>
    <row r="15" spans="1:4" ht="42" customHeight="1">
      <c r="A15" s="34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2"/>
      <c r="C15" s="3452"/>
      <c r="D15" s="3452"/>
    </row>
    <row r="16" spans="1:4" ht="30" customHeight="1">
      <c r="A16" s="3455" t="s">
        <v>2122</v>
      </c>
      <c r="B16" s="3455"/>
      <c r="C16" s="3455"/>
      <c r="D16" s="3455"/>
    </row>
    <row r="17" spans="1:4" ht="144" customHeight="1">
      <c r="A17" s="3455" t="s">
        <v>2123</v>
      </c>
      <c r="B17" s="3455"/>
      <c r="C17" s="3455"/>
      <c r="D17" s="3455"/>
    </row>
    <row r="18" spans="1:4" ht="15.75" customHeight="1">
      <c r="A18" s="3452" t="str">
        <f>IF(项目基本情况!B8="抵押",结果表!K120,"——")</f>
        <v>故，本次评估不存在估价师知悉的法定优先受偿款</v>
      </c>
      <c r="B18" s="3452"/>
      <c r="C18" s="3452"/>
      <c r="D18" s="3452"/>
    </row>
    <row r="19" spans="1:4" ht="46.5" customHeight="1">
      <c r="A19" s="34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2"/>
      <c r="C19" s="3452"/>
      <c r="D19" s="3452"/>
    </row>
    <row r="20" spans="1:4" ht="57.75" customHeight="1">
      <c r="A20" s="34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2"/>
      <c r="C20" s="3452"/>
      <c r="D20" s="3452"/>
    </row>
    <row r="21" spans="1:4" ht="57.75" customHeight="1">
      <c r="A21" s="3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56"/>
      <c r="C21" s="3456"/>
      <c r="D21" s="3456"/>
    </row>
    <row r="22" spans="1:4" ht="18.75" customHeight="1">
      <c r="A22" s="3457" t="s">
        <v>2870</v>
      </c>
      <c r="B22" s="3457"/>
      <c r="C22" s="3457"/>
      <c r="D22" s="3457"/>
    </row>
    <row r="23" spans="1:4">
      <c r="A23" s="1984"/>
      <c r="B23" s="1993"/>
      <c r="C23" s="1993"/>
      <c r="D23" s="1993"/>
    </row>
    <row r="24" spans="1:4">
      <c r="A24" s="1984"/>
      <c r="B24" s="1993"/>
      <c r="C24" s="1993"/>
      <c r="D24" s="1993"/>
    </row>
    <row r="25" spans="1:4" ht="18.75">
      <c r="A25" s="1982" t="s">
        <v>2119</v>
      </c>
    </row>
    <row r="26" spans="1:4" ht="18.75">
      <c r="A26" s="1954"/>
    </row>
    <row r="27" spans="1:4" ht="18.75">
      <c r="A27" s="1954" t="s">
        <v>2120</v>
      </c>
    </row>
    <row r="30" spans="1:4" ht="18.75">
      <c r="D30" s="1982" t="s">
        <v>2121</v>
      </c>
    </row>
    <row r="31" spans="1:4" ht="13.5" customHeight="1">
      <c r="C31" s="3454">
        <v>42551</v>
      </c>
      <c r="D31" s="345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topLeftCell="A1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1" t="s">
        <v>2126</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577</v>
      </c>
    </row>
    <row r="3" spans="1:7">
      <c r="A3" s="1139" t="s">
        <v>550</v>
      </c>
      <c r="B3" s="1140" t="s">
        <v>551</v>
      </c>
      <c r="G3" s="1141"/>
    </row>
    <row r="4" spans="1:7">
      <c r="G4" s="1141"/>
    </row>
    <row r="5" spans="1:7">
      <c r="A5" s="1143" t="s">
        <v>541</v>
      </c>
      <c r="B5" s="1140" t="s">
        <v>552</v>
      </c>
      <c r="G5" s="1141"/>
    </row>
    <row r="6" spans="1:7">
      <c r="G6" s="1141"/>
    </row>
    <row r="7" spans="1:7">
      <c r="A7" s="1144" t="s">
        <v>1134</v>
      </c>
      <c r="B7" s="1140" t="s">
        <v>553</v>
      </c>
      <c r="G7" s="1141"/>
    </row>
    <row r="8" spans="1:7">
      <c r="G8" s="1141"/>
    </row>
    <row r="9" spans="1:7">
      <c r="A9" s="1145" t="s">
        <v>542</v>
      </c>
      <c r="B9" s="1140" t="s">
        <v>554</v>
      </c>
    </row>
    <row r="11" spans="1:7">
      <c r="A11" s="1146" t="s">
        <v>543</v>
      </c>
      <c r="B11" s="1147" t="s">
        <v>540</v>
      </c>
    </row>
    <row r="13" spans="1:7">
      <c r="A13" s="1148" t="s">
        <v>555</v>
      </c>
    </row>
    <row r="15" spans="1:7" ht="13.5">
      <c r="A15" s="3463" t="s">
        <v>556</v>
      </c>
      <c r="B15" s="3458" t="s">
        <v>1135</v>
      </c>
      <c r="C15" s="3459"/>
    </row>
    <row r="16" spans="1:7" ht="13.5">
      <c r="A16" s="3464"/>
      <c r="B16" s="3458" t="s">
        <v>529</v>
      </c>
      <c r="C16" s="3459"/>
    </row>
    <row r="17" spans="1:3" ht="13.5">
      <c r="A17" s="3464"/>
      <c r="B17" s="3461" t="s">
        <v>557</v>
      </c>
      <c r="C17" s="1149" t="s">
        <v>556</v>
      </c>
    </row>
    <row r="18" spans="1:3" ht="13.5">
      <c r="A18" s="3464"/>
      <c r="B18" s="3461"/>
      <c r="C18" s="1149" t="s">
        <v>558</v>
      </c>
    </row>
    <row r="19" spans="1:3" ht="13.5">
      <c r="A19" s="3464"/>
      <c r="B19" s="3461"/>
      <c r="C19" s="1149" t="s">
        <v>559</v>
      </c>
    </row>
    <row r="20" spans="1:3" ht="13.5">
      <c r="A20" s="3465"/>
      <c r="B20" s="3460" t="s">
        <v>560</v>
      </c>
      <c r="C20" s="3459"/>
    </row>
    <row r="21" spans="1:3" ht="13.5">
      <c r="A21" s="1150" t="s">
        <v>561</v>
      </c>
      <c r="B21" s="1151"/>
      <c r="C21" s="1152"/>
    </row>
    <row r="22" spans="1:3" ht="13.5">
      <c r="A22" s="3462" t="s">
        <v>562</v>
      </c>
      <c r="B22" s="3460" t="s">
        <v>563</v>
      </c>
      <c r="C22" s="3459"/>
    </row>
    <row r="23" spans="1:3" ht="13.5">
      <c r="A23" s="3462"/>
      <c r="B23" s="3460" t="s">
        <v>564</v>
      </c>
      <c r="C23" s="3459"/>
    </row>
    <row r="24" spans="1:3" ht="13.5">
      <c r="A24" s="3462"/>
      <c r="B24" s="3460" t="s">
        <v>565</v>
      </c>
      <c r="C24" s="3459"/>
    </row>
    <row r="25" spans="1:3" ht="13.5">
      <c r="A25" s="3462"/>
      <c r="B25" s="3461" t="s">
        <v>566</v>
      </c>
      <c r="C25" s="1149" t="s">
        <v>567</v>
      </c>
    </row>
    <row r="26" spans="1:3" ht="13.5">
      <c r="A26" s="3462"/>
      <c r="B26" s="3461"/>
      <c r="C26" s="1149" t="s">
        <v>568</v>
      </c>
    </row>
    <row r="27" spans="1:3" ht="13.5">
      <c r="A27" s="3462"/>
      <c r="B27" s="3461"/>
      <c r="C27" s="1149" t="s">
        <v>569</v>
      </c>
    </row>
    <row r="28" spans="1:3" ht="13.5">
      <c r="A28" s="3462"/>
      <c r="B28" s="3461"/>
      <c r="C28" s="1149" t="s">
        <v>570</v>
      </c>
    </row>
    <row r="29" spans="1:3" ht="13.5">
      <c r="A29" s="3462"/>
      <c r="B29" s="3461"/>
      <c r="C29" s="1149" t="s">
        <v>571</v>
      </c>
    </row>
    <row r="30" spans="1:3" ht="13.5">
      <c r="A30" s="3462"/>
      <c r="B30" s="3461"/>
      <c r="C30" s="1149" t="s">
        <v>572</v>
      </c>
    </row>
    <row r="31" spans="1:3" ht="13.5">
      <c r="A31" s="3462"/>
      <c r="B31" s="3461"/>
      <c r="C31" s="1149" t="s">
        <v>573</v>
      </c>
    </row>
    <row r="32" spans="1:3" ht="13.5">
      <c r="A32" s="3462"/>
      <c r="B32" s="3461"/>
      <c r="C32" s="1149" t="s">
        <v>574</v>
      </c>
    </row>
    <row r="33" spans="1:3" ht="13.5">
      <c r="A33" s="3462"/>
      <c r="B33" s="3461"/>
      <c r="C33" s="1149" t="s">
        <v>575</v>
      </c>
    </row>
    <row r="34" spans="1:3">
      <c r="A34" s="1153" t="s">
        <v>544</v>
      </c>
    </row>
    <row r="37" spans="1:3">
      <c r="A37" s="1153" t="s">
        <v>576</v>
      </c>
    </row>
    <row r="38" spans="1:3" ht="13.5">
      <c r="A38" s="1154" t="s">
        <v>545</v>
      </c>
    </row>
    <row r="39" spans="1:3" ht="13.5">
      <c r="A39" s="1154" t="s">
        <v>546</v>
      </c>
    </row>
    <row r="40" spans="1:3" ht="13.5">
      <c r="A40" s="1154" t="s">
        <v>547</v>
      </c>
    </row>
    <row r="41" spans="1:3" ht="13.5">
      <c r="A41" s="1155" t="s">
        <v>548</v>
      </c>
    </row>
    <row r="42" spans="1:3" ht="13.5">
      <c r="A42" s="1154"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A17" sqref="A17:F20"/>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1969</v>
      </c>
      <c r="B2" s="1891">
        <f ca="1">TODAY()</f>
        <v>42990</v>
      </c>
      <c r="C2" s="1892" t="s">
        <v>1970</v>
      </c>
      <c r="D2" s="1892"/>
    </row>
    <row r="3" spans="1:6" ht="24" customHeight="1">
      <c r="A3" s="1893" t="s">
        <v>1971</v>
      </c>
      <c r="B3" s="1894" t="s">
        <v>1972</v>
      </c>
      <c r="C3" s="1894" t="s">
        <v>1973</v>
      </c>
      <c r="D3" s="1895" t="s">
        <v>1974</v>
      </c>
      <c r="E3" s="1896" t="s">
        <v>1975</v>
      </c>
      <c r="F3" s="1894" t="s">
        <v>1973</v>
      </c>
    </row>
    <row r="4" spans="1:6" ht="24" customHeight="1">
      <c r="A4" s="3204" t="s">
        <v>1976</v>
      </c>
      <c r="B4" s="1896">
        <f ca="1">IF(C4&lt;B2,"已过期",1119970066)</f>
        <v>1119970066</v>
      </c>
      <c r="C4" s="3205">
        <v>43849</v>
      </c>
      <c r="D4" s="3204" t="s">
        <v>1976</v>
      </c>
      <c r="E4" s="1896">
        <f ca="1">IF(F4&lt;B2,"已过期",96010014)</f>
        <v>96010014</v>
      </c>
      <c r="F4" s="1905">
        <v>47118</v>
      </c>
    </row>
    <row r="5" spans="1:6" ht="24" customHeight="1">
      <c r="A5" s="3204" t="s">
        <v>1977</v>
      </c>
      <c r="B5" s="1896">
        <f ca="1">IF(C5&lt;B2,"已过期",1119970074)</f>
        <v>1119970074</v>
      </c>
      <c r="C5" s="3205">
        <v>43849</v>
      </c>
      <c r="D5" s="3204" t="s">
        <v>1977</v>
      </c>
      <c r="E5" s="1896">
        <f ca="1">IF(F5&lt;B2,"已过期",2002110027)</f>
        <v>2002110027</v>
      </c>
      <c r="F5" s="1905">
        <v>46752</v>
      </c>
    </row>
    <row r="6" spans="1:6" ht="24" customHeight="1">
      <c r="A6" s="3204" t="s">
        <v>1978</v>
      </c>
      <c r="B6" s="1896">
        <f ca="1">IF(C6&lt;B2,"已过期",1119970111)</f>
        <v>1119970111</v>
      </c>
      <c r="C6" s="3205">
        <v>43849</v>
      </c>
      <c r="D6" s="3204" t="s">
        <v>1978</v>
      </c>
      <c r="E6" s="1896">
        <f ca="1">IF(F6&lt;B2,"已过期",94010078)</f>
        <v>94010078</v>
      </c>
      <c r="F6" s="1905">
        <v>46387</v>
      </c>
    </row>
    <row r="7" spans="1:6" ht="24" customHeight="1">
      <c r="A7" s="3204" t="s">
        <v>1979</v>
      </c>
      <c r="B7" s="1896">
        <f ca="1">IF(C7&lt;B2,"已过期",1120050019)</f>
        <v>1120050019</v>
      </c>
      <c r="C7" s="3205">
        <v>43359</v>
      </c>
      <c r="D7" s="3204" t="s">
        <v>1979</v>
      </c>
      <c r="E7" s="1896">
        <f ca="1">IF(F7&lt;B2,"已过期",2002110030)</f>
        <v>2002110030</v>
      </c>
      <c r="F7" s="1905">
        <v>46387</v>
      </c>
    </row>
    <row r="8" spans="1:6" ht="24" customHeight="1">
      <c r="A8" s="3204" t="s">
        <v>1980</v>
      </c>
      <c r="B8" s="1896">
        <f ca="1">IF(C8&lt;B2,"已过期",1120000080)</f>
        <v>1120000080</v>
      </c>
      <c r="C8" s="3205">
        <v>43849</v>
      </c>
      <c r="D8" s="3204" t="s">
        <v>1980</v>
      </c>
      <c r="E8" s="1896">
        <f ca="1">IF(F8&lt;B2,"已过期",2000110082)</f>
        <v>2000110082</v>
      </c>
      <c r="F8" s="1905">
        <v>46387</v>
      </c>
    </row>
    <row r="9" spans="1:6" ht="24" customHeight="1">
      <c r="A9" s="3204" t="s">
        <v>1981</v>
      </c>
      <c r="B9" s="1896">
        <f ca="1">IF(C9&lt;B2,"已过期",1419970001)</f>
        <v>1419970001</v>
      </c>
      <c r="C9" s="3205">
        <v>43867</v>
      </c>
      <c r="D9" s="3204" t="s">
        <v>1981</v>
      </c>
      <c r="E9" s="1896">
        <f ca="1">IF(F9&lt;B2,"已过期",2002110125)</f>
        <v>2002110125</v>
      </c>
      <c r="F9" s="1905">
        <v>47118</v>
      </c>
    </row>
    <row r="10" spans="1:6" ht="24" customHeight="1">
      <c r="A10" s="3204" t="s">
        <v>1982</v>
      </c>
      <c r="B10" s="1896">
        <f ca="1">IF(C10&lt;B2,"已过期",1120060040)</f>
        <v>1120060040</v>
      </c>
      <c r="C10" s="3205">
        <v>43483</v>
      </c>
      <c r="D10" s="3204" t="s">
        <v>1982</v>
      </c>
      <c r="E10" s="1896">
        <f ca="1">IF(F10&lt;B2,"已过期",2004110096)</f>
        <v>2004110096</v>
      </c>
      <c r="F10" s="1905">
        <v>47118</v>
      </c>
    </row>
    <row r="11" spans="1:6" ht="24" customHeight="1">
      <c r="A11" s="3204" t="s">
        <v>1983</v>
      </c>
      <c r="B11" s="1896">
        <f ca="1">IF(C11&lt;B2,"已过期",1120100036)</f>
        <v>1120100036</v>
      </c>
      <c r="C11" s="3205">
        <v>43622</v>
      </c>
      <c r="D11" s="3204" t="s">
        <v>1983</v>
      </c>
      <c r="E11" s="1896">
        <f ca="1">IF(F11&lt;B2,"已过期",2010110070)</f>
        <v>2010110070</v>
      </c>
      <c r="F11" s="1905">
        <v>47907</v>
      </c>
    </row>
    <row r="12" spans="1:6" ht="24" customHeight="1">
      <c r="A12" s="3204"/>
      <c r="B12" s="1896"/>
      <c r="C12" s="3205"/>
      <c r="D12" s="3204"/>
      <c r="E12" s="1896"/>
      <c r="F12" s="1896"/>
    </row>
    <row r="13" spans="1:6" ht="24" customHeight="1">
      <c r="A13" s="3204" t="s">
        <v>1984</v>
      </c>
      <c r="B13" s="1896">
        <f ca="1">IF(C13&lt;B2,"已过期",1120070131)</f>
        <v>1120070131</v>
      </c>
      <c r="C13" s="3205">
        <v>43814</v>
      </c>
      <c r="D13" s="3204" t="s">
        <v>1984</v>
      </c>
      <c r="E13" s="1896">
        <v>2014110011</v>
      </c>
      <c r="F13" s="1905">
        <v>49302</v>
      </c>
    </row>
    <row r="14" spans="1:6" ht="24" customHeight="1">
      <c r="A14" s="3204" t="s">
        <v>1985</v>
      </c>
      <c r="B14" s="1896">
        <f ca="1">IF(C14&lt;B2,"已过期",1120130020)</f>
        <v>1120130020</v>
      </c>
      <c r="C14" s="3205">
        <v>43622</v>
      </c>
      <c r="D14" s="3204"/>
      <c r="E14" s="1896"/>
      <c r="F14" s="1896"/>
    </row>
    <row r="15" spans="1:6" ht="24" customHeight="1">
      <c r="A15" s="3206" t="s">
        <v>2702</v>
      </c>
      <c r="B15" s="1896">
        <v>1120070085</v>
      </c>
      <c r="C15" s="3205">
        <v>43814</v>
      </c>
      <c r="D15" s="3206" t="s">
        <v>2702</v>
      </c>
      <c r="E15" s="1896">
        <v>2004110128</v>
      </c>
      <c r="F15" s="1897">
        <v>47118</v>
      </c>
    </row>
    <row r="16" spans="1:6" ht="24" customHeight="1">
      <c r="A16" s="3204" t="s">
        <v>1986</v>
      </c>
      <c r="B16" s="1896">
        <f ca="1">IF(C16&lt;B2,"已过期",1120140022)</f>
        <v>1120140022</v>
      </c>
      <c r="C16" s="3205">
        <v>44029</v>
      </c>
      <c r="D16" s="3204" t="s">
        <v>1986</v>
      </c>
      <c r="E16" s="1896">
        <f ca="1">IF(F16&lt;B2,"已过期",2008110059)</f>
        <v>2008110059</v>
      </c>
      <c r="F16" s="1905">
        <v>47177</v>
      </c>
    </row>
    <row r="17" spans="1:7" ht="24" customHeight="1">
      <c r="A17" s="3204"/>
      <c r="B17" s="1896"/>
      <c r="C17" s="3205"/>
      <c r="D17" s="3204"/>
      <c r="E17" s="1896"/>
      <c r="F17" s="1905"/>
    </row>
    <row r="18" spans="1:7" ht="24" customHeight="1">
      <c r="A18" s="3204"/>
      <c r="B18" s="1896"/>
      <c r="C18" s="3205"/>
      <c r="D18" s="3204"/>
      <c r="E18" s="1896"/>
      <c r="F18" s="1905"/>
    </row>
    <row r="19" spans="1:7" ht="24" customHeight="1">
      <c r="A19" s="3204"/>
      <c r="B19" s="1896"/>
      <c r="C19" s="3205"/>
      <c r="D19" s="3204"/>
      <c r="E19" s="1896"/>
      <c r="F19" s="1896"/>
    </row>
    <row r="20" spans="1:7" ht="24" customHeight="1">
      <c r="A20" s="3204"/>
      <c r="B20" s="1896"/>
      <c r="C20" s="3205"/>
      <c r="D20" s="3204"/>
      <c r="E20" s="1896"/>
      <c r="F20" s="1896"/>
    </row>
    <row r="21" spans="1:7" ht="24" customHeight="1">
      <c r="A21" s="3204"/>
      <c r="B21" s="1896"/>
      <c r="C21" s="3205"/>
      <c r="D21" s="3204" t="s">
        <v>1987</v>
      </c>
      <c r="E21" s="1896">
        <f ca="1">IF(F21&lt;B2,"已过期",2011110090)</f>
        <v>2011110090</v>
      </c>
      <c r="F21" s="1905">
        <v>48302</v>
      </c>
    </row>
    <row r="22" spans="1:7" ht="24" customHeight="1">
      <c r="A22" s="3204" t="s">
        <v>1988</v>
      </c>
      <c r="B22" s="1896">
        <f ca="1">IF(C22&lt;B2,"已过期",1120020033)</f>
        <v>1120020033</v>
      </c>
      <c r="C22" s="3205">
        <v>43304</v>
      </c>
      <c r="D22" s="3204" t="s">
        <v>1988</v>
      </c>
      <c r="E22" s="1896">
        <f ca="1">IF(F22&lt;B2,"已过期",2000110137)</f>
        <v>2000110137</v>
      </c>
      <c r="F22" s="1905">
        <v>46387</v>
      </c>
    </row>
    <row r="23" spans="1:7" ht="24" customHeight="1">
      <c r="A23" s="3204" t="s">
        <v>1989</v>
      </c>
      <c r="B23" s="1896">
        <f ca="1">IF(C23&lt;B2,"已过期",1120130048)</f>
        <v>1120130048</v>
      </c>
      <c r="C23" s="3205">
        <v>43686</v>
      </c>
      <c r="D23" s="3204"/>
      <c r="E23" s="1896"/>
      <c r="F23" s="1896"/>
    </row>
    <row r="24" spans="1:7" s="1898" customFormat="1" ht="24" customHeight="1">
      <c r="A24" s="3206" t="s">
        <v>2936</v>
      </c>
      <c r="B24" s="3206" t="s">
        <v>2936</v>
      </c>
      <c r="C24" s="3206" t="s">
        <v>2936</v>
      </c>
      <c r="D24" s="3206" t="s">
        <v>2936</v>
      </c>
      <c r="E24" s="3206" t="s">
        <v>2936</v>
      </c>
      <c r="F24" s="3206" t="s">
        <v>2936</v>
      </c>
    </row>
    <row r="25" spans="1:7" ht="24" customHeight="1">
      <c r="A25" s="3466" t="s">
        <v>1990</v>
      </c>
      <c r="B25" s="3466"/>
      <c r="C25" s="3466"/>
      <c r="D25" s="3466"/>
      <c r="E25" s="3466"/>
      <c r="F25" s="3466"/>
      <c r="G25" s="3466"/>
    </row>
    <row r="26" spans="1:7" s="1900" customFormat="1" ht="24" customHeight="1">
      <c r="A26" s="3467" t="s">
        <v>1991</v>
      </c>
      <c r="B26" s="3467"/>
      <c r="C26" s="3467"/>
      <c r="D26" s="1899"/>
      <c r="E26" s="3467" t="s">
        <v>1992</v>
      </c>
      <c r="F26" s="3467"/>
      <c r="G26" s="3467"/>
    </row>
    <row r="27" spans="1:7" s="1902" customFormat="1" ht="24" customHeight="1">
      <c r="A27" s="1901" t="s">
        <v>1993</v>
      </c>
      <c r="B27" s="1894" t="s">
        <v>1994</v>
      </c>
      <c r="C27" s="1894" t="s">
        <v>1995</v>
      </c>
      <c r="D27" s="1894"/>
      <c r="E27" s="1896" t="s">
        <v>1993</v>
      </c>
      <c r="F27" s="1894" t="s">
        <v>1994</v>
      </c>
      <c r="G27" s="1894" t="s">
        <v>1995</v>
      </c>
    </row>
    <row r="28" spans="1:7" s="1902" customFormat="1" ht="24" customHeight="1">
      <c r="A28" s="1903" t="s">
        <v>1996</v>
      </c>
      <c r="B28" s="1904" t="s">
        <v>1997</v>
      </c>
      <c r="C28" s="1905">
        <v>43725</v>
      </c>
      <c r="D28" s="1905"/>
      <c r="E28" s="1903" t="s">
        <v>1998</v>
      </c>
      <c r="F28" s="1903" t="s">
        <v>1999</v>
      </c>
      <c r="G28" s="2113">
        <v>44377</v>
      </c>
    </row>
    <row r="29" spans="1:7" s="1902" customFormat="1" ht="24" customHeight="1">
      <c r="A29" s="1903"/>
      <c r="B29" s="1903"/>
      <c r="C29" s="1906"/>
      <c r="D29" s="1906"/>
      <c r="E29" s="1903" t="s">
        <v>2000</v>
      </c>
      <c r="F29" s="2439" t="s">
        <v>3048</v>
      </c>
      <c r="G29" s="2440">
        <v>43281</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192" priority="55">
      <formula>AND($C28-TODAY()&lt;30,TODAY()&lt;$C28)</formula>
    </cfRule>
  </conditionalFormatting>
  <conditionalFormatting sqref="C28:D28 F4">
    <cfRule type="cellIs" dxfId="191" priority="57" stopIfTrue="1" operator="lessThan">
      <formula>$B$2</formula>
    </cfRule>
  </conditionalFormatting>
  <conditionalFormatting sqref="C5">
    <cfRule type="expression" dxfId="190" priority="52">
      <formula>AND($C5-TODAY()&lt;30,TODAY()&lt;$C5)</formula>
    </cfRule>
  </conditionalFormatting>
  <conditionalFormatting sqref="C5 F5">
    <cfRule type="cellIs" dxfId="189" priority="53" stopIfTrue="1" operator="lessThan">
      <formula>$B$2</formula>
    </cfRule>
  </conditionalFormatting>
  <conditionalFormatting sqref="F6 F8 F10">
    <cfRule type="cellIs" dxfId="188" priority="51" stopIfTrue="1" operator="lessThan">
      <formula>$B$2</formula>
    </cfRule>
  </conditionalFormatting>
  <conditionalFormatting sqref="C4:C23">
    <cfRule type="expression" dxfId="187" priority="49">
      <formula>AND($C4-TODAY()&lt;30,TODAY()&lt;$C4)</formula>
    </cfRule>
  </conditionalFormatting>
  <conditionalFormatting sqref="F7 F9 F11 C4:C23">
    <cfRule type="cellIs" dxfId="186" priority="50" stopIfTrue="1" operator="lessThan">
      <formula>$B$2</formula>
    </cfRule>
  </conditionalFormatting>
  <conditionalFormatting sqref="C12">
    <cfRule type="expression" dxfId="185" priority="47">
      <formula>AND($C12-TODAY()&lt;30,TODAY()&lt;$C12)</formula>
    </cfRule>
  </conditionalFormatting>
  <conditionalFormatting sqref="C12">
    <cfRule type="cellIs" dxfId="184" priority="48" stopIfTrue="1" operator="lessThan">
      <formula>$B$2</formula>
    </cfRule>
  </conditionalFormatting>
  <conditionalFormatting sqref="C14">
    <cfRule type="expression" dxfId="183" priority="43">
      <formula>AND($C14-TODAY()&lt;30,TODAY()&lt;$C14)</formula>
    </cfRule>
  </conditionalFormatting>
  <conditionalFormatting sqref="C14">
    <cfRule type="cellIs" dxfId="182" priority="44" stopIfTrue="1" operator="lessThan">
      <formula>$B$2</formula>
    </cfRule>
  </conditionalFormatting>
  <conditionalFormatting sqref="C16">
    <cfRule type="expression" dxfId="181" priority="41">
      <formula>AND($C16-TODAY()&lt;30,TODAY()&lt;$C16)</formula>
    </cfRule>
  </conditionalFormatting>
  <conditionalFormatting sqref="C16">
    <cfRule type="cellIs" dxfId="180" priority="42" stopIfTrue="1" operator="lessThan">
      <formula>$B$2</formula>
    </cfRule>
  </conditionalFormatting>
  <conditionalFormatting sqref="C18">
    <cfRule type="expression" dxfId="179" priority="39">
      <formula>AND($C18-TODAY()&lt;30,TODAY()&lt;$C18)</formula>
    </cfRule>
  </conditionalFormatting>
  <conditionalFormatting sqref="C18">
    <cfRule type="cellIs" dxfId="178" priority="40" stopIfTrue="1" operator="lessThan">
      <formula>$B$2</formula>
    </cfRule>
  </conditionalFormatting>
  <conditionalFormatting sqref="C20">
    <cfRule type="expression" dxfId="177" priority="37">
      <formula>AND($C20-TODAY()&lt;30,TODAY()&lt;$C20)</formula>
    </cfRule>
  </conditionalFormatting>
  <conditionalFormatting sqref="C20">
    <cfRule type="cellIs" dxfId="176" priority="38" stopIfTrue="1" operator="lessThan">
      <formula>$B$2</formula>
    </cfRule>
  </conditionalFormatting>
  <conditionalFormatting sqref="C22">
    <cfRule type="expression" dxfId="175" priority="35">
      <formula>AND($C22-TODAY()&lt;30,TODAY()&lt;$C22)</formula>
    </cfRule>
  </conditionalFormatting>
  <conditionalFormatting sqref="C22">
    <cfRule type="cellIs" dxfId="174" priority="36" stopIfTrue="1" operator="lessThan">
      <formula>$B$2</formula>
    </cfRule>
  </conditionalFormatting>
  <conditionalFormatting sqref="C15">
    <cfRule type="expression" dxfId="173" priority="33">
      <formula>AND($C15-TODAY()&lt;30,TODAY()&lt;$C15)</formula>
    </cfRule>
  </conditionalFormatting>
  <conditionalFormatting sqref="C15">
    <cfRule type="cellIs" dxfId="172" priority="34" stopIfTrue="1" operator="lessThan">
      <formula>$B$2</formula>
    </cfRule>
  </conditionalFormatting>
  <conditionalFormatting sqref="C17">
    <cfRule type="expression" dxfId="171" priority="31">
      <formula>AND($C17-TODAY()&lt;30,TODAY()&lt;$C17)</formula>
    </cfRule>
  </conditionalFormatting>
  <conditionalFormatting sqref="C17">
    <cfRule type="cellIs" dxfId="170" priority="32" stopIfTrue="1" operator="lessThan">
      <formula>$B$2</formula>
    </cfRule>
  </conditionalFormatting>
  <conditionalFormatting sqref="C19">
    <cfRule type="expression" dxfId="169" priority="29">
      <formula>AND($C19-TODAY()&lt;30,TODAY()&lt;$C19)</formula>
    </cfRule>
  </conditionalFormatting>
  <conditionalFormatting sqref="C19">
    <cfRule type="cellIs" dxfId="168" priority="30" stopIfTrue="1" operator="lessThan">
      <formula>$B$2</formula>
    </cfRule>
  </conditionalFormatting>
  <conditionalFormatting sqref="C21">
    <cfRule type="expression" dxfId="167" priority="27">
      <formula>AND($C21-TODAY()&lt;30,TODAY()&lt;$C21)</formula>
    </cfRule>
  </conditionalFormatting>
  <conditionalFormatting sqref="C21">
    <cfRule type="cellIs" dxfId="166" priority="28" stopIfTrue="1" operator="lessThan">
      <formula>$B$2</formula>
    </cfRule>
  </conditionalFormatting>
  <conditionalFormatting sqref="C23">
    <cfRule type="expression" dxfId="165" priority="25">
      <formula>AND($C23-TODAY()&lt;30,TODAY()&lt;$C23)</formula>
    </cfRule>
  </conditionalFormatting>
  <conditionalFormatting sqref="C23">
    <cfRule type="cellIs" dxfId="164" priority="26" stopIfTrue="1" operator="lessThan">
      <formula>$B$2</formula>
    </cfRule>
  </conditionalFormatting>
  <conditionalFormatting sqref="F16">
    <cfRule type="cellIs" dxfId="163" priority="23" stopIfTrue="1" operator="lessThan">
      <formula>$B$2</formula>
    </cfRule>
  </conditionalFormatting>
  <conditionalFormatting sqref="F18">
    <cfRule type="cellIs" dxfId="162" priority="22" stopIfTrue="1" operator="lessThan">
      <formula>$B$2</formula>
    </cfRule>
  </conditionalFormatting>
  <conditionalFormatting sqref="F22">
    <cfRule type="cellIs" dxfId="161" priority="21" stopIfTrue="1" operator="lessThan">
      <formula>$B$2</formula>
    </cfRule>
  </conditionalFormatting>
  <conditionalFormatting sqref="F21">
    <cfRule type="cellIs" dxfId="160" priority="20" stopIfTrue="1" operator="lessThan">
      <formula>$B$2</formula>
    </cfRule>
  </conditionalFormatting>
  <conditionalFormatting sqref="F17">
    <cfRule type="cellIs" dxfId="159" priority="19" stopIfTrue="1" operator="lessThan">
      <formula>$B$2</formula>
    </cfRule>
  </conditionalFormatting>
  <conditionalFormatting sqref="B4:B14 E4:E14 B16:B23 E16:E23">
    <cfRule type="cellIs" dxfId="158" priority="18" stopIfTrue="1" operator="equal">
      <formula>"已过期"</formula>
    </cfRule>
  </conditionalFormatting>
  <conditionalFormatting sqref="A24:F24">
    <cfRule type="cellIs" dxfId="157" priority="14" stopIfTrue="1" operator="equal">
      <formula>"已过期"</formula>
    </cfRule>
  </conditionalFormatting>
  <conditionalFormatting sqref="G28">
    <cfRule type="expression" dxfId="156" priority="12">
      <formula>AND($F28-TODAY()&lt;30,TODAY()&lt;$F28)</formula>
    </cfRule>
  </conditionalFormatting>
  <conditionalFormatting sqref="G28">
    <cfRule type="cellIs" dxfId="155" priority="13" stopIfTrue="1" operator="lessThan">
      <formula>$B$2</formula>
    </cfRule>
  </conditionalFormatting>
  <conditionalFormatting sqref="G29">
    <cfRule type="expression" dxfId="154" priority="8" stopIfTrue="1">
      <formula>AND($F29-TODAY()&lt;30,TODAY()&lt;$F29)</formula>
    </cfRule>
  </conditionalFormatting>
  <conditionalFormatting sqref="G29">
    <cfRule type="cellIs" dxfId="153" priority="9" stopIfTrue="1" operator="lessThan">
      <formula>$B$2</formula>
    </cfRule>
  </conditionalFormatting>
  <conditionalFormatting sqref="B15">
    <cfRule type="cellIs" dxfId="152" priority="6" stopIfTrue="1" operator="equal">
      <formula>"已过期"</formula>
    </cfRule>
  </conditionalFormatting>
  <conditionalFormatting sqref="A15">
    <cfRule type="cellIs" dxfId="151" priority="5" stopIfTrue="1" operator="equal">
      <formula>"已过期"</formula>
    </cfRule>
  </conditionalFormatting>
  <conditionalFormatting sqref="C15">
    <cfRule type="expression" dxfId="150" priority="4">
      <formula>AND($C15-TODAY()&lt;30,TODAY()&lt;$C15)</formula>
    </cfRule>
  </conditionalFormatting>
  <conditionalFormatting sqref="E15">
    <cfRule type="cellIs" dxfId="149" priority="3" stopIfTrue="1" operator="equal">
      <formula>"已过期"</formula>
    </cfRule>
  </conditionalFormatting>
  <conditionalFormatting sqref="D15">
    <cfRule type="cellIs" dxfId="148" priority="2" stopIfTrue="1" operator="equal">
      <formula>"已过期"</formula>
    </cfRule>
  </conditionalFormatting>
  <conditionalFormatting sqref="F13">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vt:lpstr>
      <vt:lpstr>土地案例</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2017-09-12T04:47:16Z</dcterms:modified>
</cp:coreProperties>
</file>