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成本法 (元)" sheetId="69"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2"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2" i="1" l="1"/>
  <c r="G27" i="9" l="1"/>
  <c r="J49" i="67"/>
  <c r="D33" i="43"/>
  <c r="C16" i="3"/>
  <c r="E4" i="31" l="1"/>
  <c r="F4" i="31"/>
  <c r="G4" i="31"/>
  <c r="H4" i="31" s="1"/>
  <c r="D4" i="31"/>
  <c r="B26" i="31"/>
  <c r="B27" i="31"/>
  <c r="B28" i="31"/>
  <c r="B29" i="31"/>
  <c r="B30" i="31"/>
  <c r="B31" i="31"/>
  <c r="B32" i="31"/>
  <c r="B33" i="31"/>
  <c r="B34" i="31"/>
  <c r="B35" i="31"/>
  <c r="B36" i="31"/>
  <c r="B25" i="31"/>
  <c r="B24" i="31"/>
  <c r="D105" i="34" l="1"/>
  <c r="E105" i="34" s="1"/>
  <c r="F105" i="34" s="1"/>
  <c r="C19" i="6"/>
  <c r="N60" i="34" l="1"/>
  <c r="O60" i="34" s="1"/>
  <c r="N19" i="1" l="1"/>
  <c r="N6" i="1" s="1"/>
  <c r="C37" i="34" l="1"/>
  <c r="I37" i="34" s="1"/>
  <c r="N21" i="1"/>
  <c r="Y6" i="1"/>
  <c r="E37" i="34" l="1"/>
  <c r="G37" i="34"/>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3"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R435" i="31"/>
  <c r="S435" i="31" s="1"/>
  <c r="R436" i="31"/>
  <c r="S436" i="31" s="1"/>
  <c r="R437" i="31"/>
  <c r="R438" i="31"/>
  <c r="R439" i="31"/>
  <c r="S439" i="31" s="1"/>
  <c r="R440" i="31"/>
  <c r="S440" i="31" s="1"/>
  <c r="R441" i="31"/>
  <c r="R442" i="31"/>
  <c r="S442" i="31" s="1"/>
  <c r="R443" i="31"/>
  <c r="S443" i="31" s="1"/>
  <c r="R444" i="31"/>
  <c r="S444" i="31" s="1"/>
  <c r="R445" i="31"/>
  <c r="R446" i="31"/>
  <c r="S446" i="31" s="1"/>
  <c r="R447" i="31"/>
  <c r="S447" i="31" s="1"/>
  <c r="R448" i="31"/>
  <c r="S448" i="31" s="1"/>
  <c r="R449" i="31"/>
  <c r="R450" i="31"/>
  <c r="R451" i="31"/>
  <c r="S451" i="31" s="1"/>
  <c r="R452" i="31"/>
  <c r="S452" i="31" s="1"/>
  <c r="R453" i="31"/>
  <c r="R454" i="31"/>
  <c r="S454" i="31" s="1"/>
  <c r="R455" i="31"/>
  <c r="S455" i="31" s="1"/>
  <c r="R456" i="31"/>
  <c r="S456" i="31" s="1"/>
  <c r="R457" i="31"/>
  <c r="R458" i="31"/>
  <c r="S458" i="31" s="1"/>
  <c r="R459" i="31"/>
  <c r="S459" i="31" s="1"/>
  <c r="R460" i="31"/>
  <c r="S460" i="31" s="1"/>
  <c r="R461" i="31"/>
  <c r="R462" i="31"/>
  <c r="R463" i="31"/>
  <c r="S463" i="31" s="1"/>
  <c r="R464" i="31"/>
  <c r="S464" i="31" s="1"/>
  <c r="R465" i="31"/>
  <c r="R466" i="31"/>
  <c r="R467" i="31"/>
  <c r="S467" i="31" s="1"/>
  <c r="R468" i="31"/>
  <c r="S468" i="31" s="1"/>
  <c r="R469" i="31"/>
  <c r="R470" i="31"/>
  <c r="S470" i="31" s="1"/>
  <c r="R471" i="31"/>
  <c r="S471" i="31" s="1"/>
  <c r="R472" i="31"/>
  <c r="S472" i="31" s="1"/>
  <c r="R473" i="31"/>
  <c r="R474" i="31"/>
  <c r="R475" i="31"/>
  <c r="S475" i="31" s="1"/>
  <c r="R476" i="31"/>
  <c r="S476" i="31" s="1"/>
  <c r="R477" i="31"/>
  <c r="R478" i="3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R495" i="31"/>
  <c r="S495" i="31" s="1"/>
  <c r="R496" i="31"/>
  <c r="S496" i="31" s="1"/>
  <c r="R497" i="31"/>
  <c r="R498" i="31"/>
  <c r="S498" i="31" s="1"/>
  <c r="R499" i="31"/>
  <c r="S499" i="31" s="1"/>
  <c r="R500" i="31"/>
  <c r="S500" i="31" s="1"/>
  <c r="R501" i="31"/>
  <c r="R502" i="31"/>
  <c r="S502" i="31" s="1"/>
  <c r="R503" i="31"/>
  <c r="S503" i="31" s="1"/>
  <c r="R504" i="31"/>
  <c r="S504" i="31" s="1"/>
  <c r="R505" i="31"/>
  <c r="R506" i="3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R37" i="31" s="1"/>
  <c r="S37" i="31" s="1"/>
  <c r="C38" i="31"/>
  <c r="R38" i="31" s="1"/>
  <c r="S38" i="31" s="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0" i="31"/>
  <c r="S406" i="31"/>
  <c r="S394" i="31"/>
  <c r="S390" i="31"/>
  <c r="S378" i="31"/>
  <c r="S374" i="31"/>
  <c r="S362" i="31"/>
  <c r="S350" i="31"/>
  <c r="S342" i="31"/>
  <c r="S338" i="31"/>
  <c r="S330" i="31"/>
  <c r="S318" i="31"/>
  <c r="S310" i="31"/>
  <c r="S306" i="31"/>
  <c r="S298" i="31"/>
  <c r="S282" i="31"/>
  <c r="S274" i="31"/>
  <c r="S266" i="31"/>
  <c r="S258"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4" i="31"/>
  <c r="S493" i="31"/>
  <c r="S490" i="31"/>
  <c r="S489" i="31"/>
  <c r="S485" i="31"/>
  <c r="S481" i="31"/>
  <c r="S478" i="31"/>
  <c r="S477" i="31"/>
  <c r="S474" i="31"/>
  <c r="S473" i="31"/>
  <c r="S469" i="31"/>
  <c r="S441" i="31"/>
  <c r="S438" i="31"/>
  <c r="S437" i="31"/>
  <c r="S434" i="31"/>
  <c r="S433" i="31"/>
  <c r="S122" i="31"/>
  <c r="S121" i="31"/>
  <c r="S118" i="31"/>
  <c r="S117" i="31"/>
  <c r="S114" i="31"/>
  <c r="S113" i="31"/>
  <c r="S506" i="31"/>
  <c r="S466" i="31"/>
  <c r="S465" i="31"/>
  <c r="S462" i="31"/>
  <c r="S461" i="31"/>
  <c r="S457" i="31"/>
  <c r="S453" i="31"/>
  <c r="S450" i="31"/>
  <c r="S53" i="31"/>
  <c r="S49" i="31"/>
  <c r="S45" i="31"/>
  <c r="S41" i="31"/>
  <c r="S77" i="31"/>
  <c r="S74" i="31"/>
  <c r="S73" i="31"/>
  <c r="S70" i="31"/>
  <c r="S69" i="31"/>
  <c r="S66" i="31"/>
  <c r="S65" i="31"/>
  <c r="S62" i="31"/>
  <c r="S61" i="31"/>
  <c r="S58" i="31"/>
  <c r="S57" i="31"/>
  <c r="S97" i="31"/>
  <c r="S94" i="31"/>
  <c r="S93" i="31"/>
  <c r="S90" i="31"/>
  <c r="S89" i="31"/>
  <c r="S86" i="31"/>
  <c r="S85" i="31"/>
  <c r="S82" i="31"/>
  <c r="S81" i="31"/>
  <c r="S78" i="31"/>
  <c r="S98" i="31"/>
  <c r="S101" i="31"/>
  <c r="S102" i="31"/>
  <c r="S105" i="31"/>
  <c r="S106" i="31"/>
  <c r="S107" i="31"/>
  <c r="S109" i="31"/>
  <c r="S110" i="31"/>
  <c r="S111"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7"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F72" i="43"/>
  <c r="H75" i="43" s="1"/>
  <c r="U17" i="39"/>
  <c r="S14" i="35"/>
  <c r="U43" i="21"/>
  <c r="U35" i="21"/>
  <c r="AC35" i="2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3"/>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37"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3" i="76"/>
  <c r="B11" i="76"/>
  <c r="F7" i="73"/>
  <c r="B13" i="76"/>
  <c r="E10" i="76"/>
  <c r="D6" i="73"/>
  <c r="F5" i="73"/>
  <c r="B7" i="76"/>
  <c r="E2" i="69"/>
  <c r="E7" i="76"/>
  <c r="F3" i="73"/>
  <c r="F20" i="31"/>
  <c r="E2" i="68"/>
  <c r="B8" i="76"/>
  <c r="E8" i="76"/>
  <c r="B12" i="76"/>
  <c r="B10" i="76"/>
  <c r="F6" i="73"/>
  <c r="E9" i="76"/>
  <c r="B9" i="76"/>
  <c r="AO13" i="1"/>
  <c r="E11" i="76"/>
  <c r="F4" i="73"/>
  <c r="E12" i="76"/>
  <c r="S19" i="34" l="1"/>
  <c r="S17" i="34"/>
  <c r="H9" i="34"/>
  <c r="J9" i="34"/>
  <c r="AC9" i="34" s="1"/>
  <c r="N54" i="43"/>
  <c r="D54" i="43"/>
  <c r="K54" i="43"/>
  <c r="J54" i="43" s="1"/>
  <c r="H37" i="43"/>
  <c r="F34" i="15"/>
  <c r="F62" i="15" s="1"/>
  <c r="M20" i="67"/>
  <c r="K1" i="12"/>
  <c r="G1" i="15"/>
  <c r="B6" i="1"/>
  <c r="E6" i="1" s="1"/>
  <c r="K6" i="1"/>
  <c r="G1" i="67"/>
  <c r="G1" i="69"/>
  <c r="G1" i="68"/>
  <c r="M11" i="6"/>
  <c r="M10" i="6"/>
  <c r="C34" i="34"/>
  <c r="D1" i="43"/>
  <c r="B14" i="74"/>
  <c r="M47" i="9"/>
  <c r="C7" i="35"/>
  <c r="C48" i="35" s="1"/>
  <c r="D48" i="35" s="1"/>
  <c r="E48" i="35" s="1"/>
  <c r="C42" i="1"/>
  <c r="C24" i="12" s="1"/>
  <c r="C7" i="37"/>
  <c r="C52" i="37" s="1"/>
  <c r="D52" i="37" s="1"/>
  <c r="C7" i="40"/>
  <c r="C63" i="40" s="1"/>
  <c r="C7" i="39"/>
  <c r="C67" i="39" s="1"/>
  <c r="D67" i="39" s="1"/>
  <c r="D69" i="39" s="1"/>
  <c r="J51" i="67"/>
  <c r="C7" i="21"/>
  <c r="F8" i="1"/>
  <c r="G8" i="1" s="1"/>
  <c r="F16" i="4"/>
  <c r="A18" i="51" s="1"/>
  <c r="B13" i="72" s="1"/>
  <c r="C18" i="9"/>
  <c r="D18" i="9" s="1"/>
  <c r="W44" i="34"/>
  <c r="AC40" i="34"/>
  <c r="AC35" i="34"/>
  <c r="AC23" i="34"/>
  <c r="S23" i="34"/>
  <c r="U21" i="34"/>
  <c r="AB17" i="34"/>
  <c r="U15" i="34"/>
  <c r="AC15" i="34"/>
  <c r="U43" i="34"/>
  <c r="AA40" i="34"/>
  <c r="AB40" i="34"/>
  <c r="AC36" i="34"/>
  <c r="U27" i="34"/>
  <c r="W27" i="34"/>
  <c r="S44" i="34"/>
  <c r="W43" i="34"/>
  <c r="S43" i="34"/>
  <c r="AC39" i="34"/>
  <c r="AB36" i="34"/>
  <c r="AB35" i="34"/>
  <c r="S35" i="34"/>
  <c r="U33" i="34"/>
  <c r="W33" i="34"/>
  <c r="AA33" i="34"/>
  <c r="U23" i="34"/>
  <c r="S21" i="34"/>
  <c r="W19" i="34"/>
  <c r="U19" i="34"/>
  <c r="AC17" i="34"/>
  <c r="U38" i="34"/>
  <c r="W8" i="34"/>
  <c r="H69" i="43"/>
  <c r="C21"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8"/>
  <c r="D9" i="69"/>
  <c r="D7" i="73"/>
  <c r="L48" i="67"/>
  <c r="F43" i="67"/>
  <c r="J15" i="15"/>
  <c r="M24" i="15"/>
  <c r="C76" i="15"/>
  <c r="M22" i="15"/>
  <c r="F9" i="15"/>
  <c r="F38" i="67"/>
  <c r="F42" i="67"/>
  <c r="F40" i="67"/>
  <c r="M9" i="15"/>
  <c r="M24" i="67"/>
  <c r="M22" i="67"/>
  <c r="F26" i="67"/>
  <c r="D5" i="73"/>
  <c r="M8" i="67"/>
  <c r="F16" i="67"/>
  <c r="M29" i="67"/>
  <c r="F38" i="15"/>
  <c r="L48" i="15"/>
  <c r="M6" i="67"/>
  <c r="M8" i="15"/>
  <c r="M29" i="15"/>
  <c r="M23" i="15"/>
  <c r="F8" i="15"/>
  <c r="D3" i="73"/>
  <c r="L47" i="67"/>
  <c r="F6" i="67"/>
  <c r="F26" i="15"/>
  <c r="M26" i="15"/>
  <c r="F13" i="67"/>
  <c r="M23" i="67"/>
  <c r="M28" i="67"/>
  <c r="F6" i="15"/>
  <c r="F37" i="15"/>
  <c r="F16" i="15"/>
  <c r="F7" i="15"/>
  <c r="F43" i="15"/>
  <c r="M28" i="15"/>
  <c r="F13" i="15"/>
  <c r="F36" i="15"/>
  <c r="F7" i="67"/>
  <c r="F42" i="15"/>
  <c r="F9" i="67"/>
  <c r="F40" i="15"/>
  <c r="F8" i="67"/>
  <c r="F36" i="67"/>
  <c r="D4" i="73"/>
  <c r="F37" i="67"/>
  <c r="M9" i="67"/>
  <c r="C76" i="67"/>
  <c r="M26" i="67"/>
  <c r="J15" i="67"/>
  <c r="M6" i="15"/>
  <c r="L47" i="15"/>
  <c r="W9" i="34" l="1"/>
  <c r="U9" i="34"/>
  <c r="AB9" i="34"/>
  <c r="F31" i="15"/>
  <c r="F31" i="67"/>
  <c r="K51" i="43"/>
  <c r="M51" i="43"/>
  <c r="N51" i="43" s="1"/>
  <c r="K58" i="43"/>
  <c r="M58" i="43"/>
  <c r="N58" i="43" s="1"/>
  <c r="M52" i="43"/>
  <c r="N52" i="43" s="1"/>
  <c r="K52" i="43"/>
  <c r="K55" i="43"/>
  <c r="M55" i="43"/>
  <c r="N55" i="43" s="1"/>
  <c r="M53" i="43"/>
  <c r="N53" i="43" s="1"/>
  <c r="K53" i="43"/>
  <c r="J53" i="43" s="1"/>
  <c r="M57" i="43"/>
  <c r="N57" i="43" s="1"/>
  <c r="K57" i="43"/>
  <c r="J57" i="43" s="1"/>
  <c r="D57" i="43" s="1"/>
  <c r="M56" i="43"/>
  <c r="N56" i="43" s="1"/>
  <c r="K56" i="43"/>
  <c r="K50" i="43"/>
  <c r="M50" i="43"/>
  <c r="N50" i="43" s="1"/>
  <c r="E59" i="40"/>
  <c r="AP6" i="1"/>
  <c r="B29" i="1"/>
  <c r="C69" i="39"/>
  <c r="I54" i="15"/>
  <c r="J53" i="15"/>
  <c r="L56" i="15" s="1"/>
  <c r="J57" i="15"/>
  <c r="J55" i="15" s="1"/>
  <c r="J58" i="15" s="1"/>
  <c r="Q50" i="15" s="1"/>
  <c r="F68" i="15"/>
  <c r="C6" i="15"/>
  <c r="C32" i="15" s="1"/>
  <c r="F51" i="15"/>
  <c r="M7" i="15"/>
  <c r="J6" i="15" s="1"/>
  <c r="J18" i="15" s="1"/>
  <c r="F50" i="15"/>
  <c r="L59" i="15"/>
  <c r="Q74" i="15" s="1"/>
  <c r="L58" i="15"/>
  <c r="Q60" i="15" s="1"/>
  <c r="M59" i="15"/>
  <c r="N59" i="15"/>
  <c r="F66" i="15"/>
  <c r="Q71" i="15"/>
  <c r="F64" i="15"/>
  <c r="F71" i="15"/>
  <c r="F65" i="15"/>
  <c r="C27" i="15"/>
  <c r="F64" i="67"/>
  <c r="F50" i="67"/>
  <c r="M7" i="67"/>
  <c r="J6" i="67" s="1"/>
  <c r="J18" i="67" s="1"/>
  <c r="F65" i="67"/>
  <c r="F68" i="67"/>
  <c r="Q71" i="67"/>
  <c r="F51" i="67"/>
  <c r="C27" i="67"/>
  <c r="C6" i="67"/>
  <c r="C32" i="67" s="1"/>
  <c r="L58" i="67"/>
  <c r="Q60" i="67" s="1"/>
  <c r="N59" i="67"/>
  <c r="J57" i="67"/>
  <c r="J55" i="67" s="1"/>
  <c r="J58" i="67" s="1"/>
  <c r="Q50" i="67" s="1"/>
  <c r="F66" i="67"/>
  <c r="F71" i="67"/>
  <c r="L56" i="67"/>
  <c r="Q16" i="1"/>
  <c r="N94" i="46"/>
  <c r="J53" i="67"/>
  <c r="Q52" i="67" s="1"/>
  <c r="I54" i="67"/>
  <c r="J7" i="36"/>
  <c r="AC7" i="36" s="1"/>
  <c r="V36" i="36" s="1"/>
  <c r="I36" i="36" s="1"/>
  <c r="A19" i="51"/>
  <c r="B14" i="72" s="1"/>
  <c r="C48" i="68"/>
  <c r="M59" i="67"/>
  <c r="C30" i="68"/>
  <c r="C28" i="15"/>
  <c r="C36" i="68"/>
  <c r="L59" i="67"/>
  <c r="Q61" i="67" s="1"/>
  <c r="C31" i="12"/>
  <c r="C28" i="67"/>
  <c r="G16" i="1"/>
  <c r="F10" i="39" s="1"/>
  <c r="S10" i="39" s="1"/>
  <c r="N370" i="46"/>
  <c r="H34" i="34"/>
  <c r="J34" i="34"/>
  <c r="F34" i="34"/>
  <c r="J7" i="37"/>
  <c r="AC7" i="37" s="1"/>
  <c r="G26" i="43"/>
  <c r="J26" i="43"/>
  <c r="E26" i="43"/>
  <c r="P6" i="1"/>
  <c r="C13" i="12" s="1"/>
  <c r="K16" i="1"/>
  <c r="F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A7" i="36"/>
  <c r="R36" i="36" s="1"/>
  <c r="W7" i="37"/>
  <c r="F7" i="33"/>
  <c r="E58" i="21"/>
  <c r="F7" i="37"/>
  <c r="M17" i="15"/>
  <c r="P28" i="43"/>
  <c r="B66" i="40" s="1"/>
  <c r="P25" i="43"/>
  <c r="P29" i="43"/>
  <c r="P27" i="43"/>
  <c r="B70" i="39" s="1"/>
  <c r="M11" i="67"/>
  <c r="J10" i="67" s="1"/>
  <c r="F11" i="15"/>
  <c r="M11" i="15"/>
  <c r="J10" i="15" s="1"/>
  <c r="F11" i="67"/>
  <c r="AE11" i="1"/>
  <c r="AE9" i="1"/>
  <c r="F27" i="68"/>
  <c r="AE7" i="1"/>
  <c r="AE8" i="1"/>
  <c r="AE12" i="1"/>
  <c r="AE10" i="1"/>
  <c r="C36" i="69"/>
  <c r="F27" i="69"/>
  <c r="C16" i="67"/>
  <c r="G1" i="73"/>
  <c r="C16" i="15"/>
  <c r="F59" i="67" l="1"/>
  <c r="F59" i="15"/>
  <c r="M17" i="67"/>
  <c r="J50" i="43"/>
  <c r="D50" i="43"/>
  <c r="J55" i="43"/>
  <c r="D55" i="43"/>
  <c r="J58" i="43"/>
  <c r="D58" i="43"/>
  <c r="J56" i="43"/>
  <c r="D56" i="43"/>
  <c r="J52" i="43"/>
  <c r="D52" i="43"/>
  <c r="J51" i="43"/>
  <c r="D51" i="43"/>
  <c r="F1" i="15"/>
  <c r="J5" i="67"/>
  <c r="J24" i="67" s="1"/>
  <c r="C47" i="69"/>
  <c r="D45" i="69" s="1"/>
  <c r="C29" i="69"/>
  <c r="D27" i="69" s="1"/>
  <c r="F45" i="69"/>
  <c r="Q73" i="15"/>
  <c r="Q52" i="15"/>
  <c r="Q61" i="15"/>
  <c r="F67" i="39"/>
  <c r="C49" i="67"/>
  <c r="Q74" i="67"/>
  <c r="F1" i="67"/>
  <c r="F10" i="40"/>
  <c r="S10" i="40" s="1"/>
  <c r="C49" i="15"/>
  <c r="Q73" i="67"/>
  <c r="AA10" i="39"/>
  <c r="H10" i="39"/>
  <c r="U10" i="39" s="1"/>
  <c r="J5" i="15"/>
  <c r="J24" i="15" s="1"/>
  <c r="H10" i="40"/>
  <c r="AB10" i="40" s="1"/>
  <c r="J10" i="40"/>
  <c r="AC10" i="40" s="1"/>
  <c r="J10" i="39"/>
  <c r="W10" i="39" s="1"/>
  <c r="H6" i="3"/>
  <c r="W7" i="36"/>
  <c r="U7" i="36"/>
  <c r="D26" i="43"/>
  <c r="C25" i="43" s="1"/>
  <c r="AC34" i="34"/>
  <c r="W34" i="34"/>
  <c r="AA34" i="34"/>
  <c r="S34" i="34"/>
  <c r="AC6" i="3"/>
  <c r="AB34" i="34"/>
  <c r="T49" i="34" s="1"/>
  <c r="G49" i="34" s="1"/>
  <c r="G53" i="34" s="1"/>
  <c r="H53" i="34" s="1"/>
  <c r="U34" i="34"/>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A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F41" i="15"/>
  <c r="E50" i="43" l="1"/>
  <c r="B48" i="43" s="1"/>
  <c r="C28" i="43" s="1"/>
  <c r="C33" i="43" s="1"/>
  <c r="C6" i="69" s="1"/>
  <c r="U10" i="40"/>
  <c r="V49" i="34"/>
  <c r="I49" i="34" s="1"/>
  <c r="I53" i="34" s="1"/>
  <c r="J53" i="34" s="1"/>
  <c r="R49" i="34"/>
  <c r="W10" i="40"/>
  <c r="C48" i="67"/>
  <c r="C66" i="67" s="1"/>
  <c r="C48" i="15"/>
  <c r="C66" i="15" s="1"/>
  <c r="AC10" i="39"/>
  <c r="AB10" i="39"/>
  <c r="B1" i="74"/>
  <c r="L22" i="9"/>
  <c r="L21" i="9"/>
  <c r="D116" i="43"/>
  <c r="F24" i="67"/>
  <c r="C24" i="67" s="1"/>
  <c r="F24" i="15"/>
  <c r="C24" i="15" s="1"/>
  <c r="F22" i="69"/>
  <c r="F41" i="69" s="1"/>
  <c r="F22" i="68"/>
  <c r="F41" i="68" s="1"/>
  <c r="F25" i="12"/>
  <c r="C26" i="12" s="1"/>
  <c r="D25" i="12" s="1"/>
  <c r="F22" i="11"/>
  <c r="C24" i="11"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D10" i="69"/>
  <c r="C34" i="69"/>
  <c r="C17" i="67"/>
  <c r="C14" i="67"/>
  <c r="C17" i="15"/>
  <c r="R50" i="34" l="1"/>
  <c r="C50" i="34" s="1"/>
  <c r="E49" i="34"/>
  <c r="E53" i="34" s="1"/>
  <c r="F53" i="34" s="1"/>
  <c r="E33" i="43"/>
  <c r="T13" i="43"/>
  <c r="V13" i="43" s="1"/>
  <c r="T16" i="43"/>
  <c r="V16" i="43" s="1"/>
  <c r="T8" i="43"/>
  <c r="V8" i="43" s="1"/>
  <c r="T6" i="43"/>
  <c r="V6" i="43" s="1"/>
  <c r="C41" i="43"/>
  <c r="T11" i="43"/>
  <c r="V11" i="43" s="1"/>
  <c r="T14" i="43"/>
  <c r="V14" i="43" s="1"/>
  <c r="T4" i="43"/>
  <c r="V4" i="43" s="1"/>
  <c r="T5" i="43"/>
  <c r="V5" i="43" s="1"/>
  <c r="C42" i="43"/>
  <c r="T9" i="43"/>
  <c r="V9" i="43" s="1"/>
  <c r="T3" i="43"/>
  <c r="V3" i="43" s="1"/>
  <c r="C40" i="43"/>
  <c r="C38" i="43"/>
  <c r="T12" i="43"/>
  <c r="V12" i="43" s="1"/>
  <c r="T15" i="43"/>
  <c r="V15" i="43" s="1"/>
  <c r="T7" i="43"/>
  <c r="V7" i="43" s="1"/>
  <c r="T10" i="43"/>
  <c r="V10" i="43" s="1"/>
  <c r="T2" i="43"/>
  <c r="V2" i="43" s="1"/>
  <c r="C37" i="43"/>
  <c r="C39" i="43"/>
  <c r="G54" i="34"/>
  <c r="H54" i="34" s="1"/>
  <c r="D30" i="6"/>
  <c r="C60" i="67"/>
  <c r="C60" i="15"/>
  <c r="H22" i="6"/>
  <c r="H25" i="6"/>
  <c r="C44" i="11"/>
  <c r="D41" i="11" s="1"/>
  <c r="C26" i="11"/>
  <c r="D22" i="11" s="1"/>
  <c r="E54" i="34"/>
  <c r="F54" i="34" s="1"/>
  <c r="C23" i="11"/>
  <c r="C25" i="11"/>
  <c r="C44" i="69"/>
  <c r="D41" i="69" s="1"/>
  <c r="C26" i="69"/>
  <c r="D22" i="69" s="1"/>
  <c r="C26" i="68"/>
  <c r="D22" i="68" s="1"/>
  <c r="C44" i="68"/>
  <c r="D41" i="68"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AE6" i="1"/>
  <c r="C14" i="15"/>
  <c r="I54" i="34" l="1"/>
  <c r="J54" i="34" s="1"/>
  <c r="C49" i="34"/>
  <c r="G38" i="43"/>
  <c r="I38" i="43" s="1"/>
  <c r="E38" i="43"/>
  <c r="E42" i="43"/>
  <c r="G42" i="43"/>
  <c r="I42" i="43" s="1"/>
  <c r="E39" i="43"/>
  <c r="G39" i="43"/>
  <c r="I39" i="43" s="1"/>
  <c r="G40" i="43"/>
  <c r="I40" i="43" s="1"/>
  <c r="E40" i="43"/>
  <c r="G41" i="43"/>
  <c r="I41" i="43" s="1"/>
  <c r="E41" i="43"/>
  <c r="C7" i="69"/>
  <c r="E37" i="43"/>
  <c r="G37" i="43"/>
  <c r="I37" i="43" s="1"/>
  <c r="C34" i="43"/>
  <c r="E34" i="43" s="1"/>
  <c r="C31" i="43" s="1"/>
  <c r="C22" i="11"/>
  <c r="C31" i="11" s="1"/>
  <c r="C8" i="69"/>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41" i="67"/>
  <c r="C5" i="69" l="1"/>
  <c r="C23" i="69" s="1"/>
  <c r="C30" i="43"/>
  <c r="B2" i="43" s="1"/>
  <c r="F69"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20" i="68"/>
  <c r="C28" i="68" s="1"/>
  <c r="C27" i="68" s="1"/>
  <c r="C22" i="12"/>
  <c r="C27" i="12" s="1"/>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C25" i="69" l="1"/>
  <c r="C22" i="69" s="1"/>
  <c r="C31" i="69" s="1"/>
  <c r="B3" i="76"/>
  <c r="C25" i="68"/>
  <c r="C22" i="68" s="1"/>
  <c r="C31" i="68" s="1"/>
  <c r="C30" i="12"/>
  <c r="C28"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2" i="68"/>
  <c r="B2" i="68" s="1"/>
  <c r="B3"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40" i="67"/>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12" i="1"/>
  <c r="AO9" i="1"/>
  <c r="C19" i="9"/>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D102" i="9" l="1"/>
  <c r="D21" i="9"/>
  <c r="G19" i="9"/>
  <c r="G21" i="9" s="1"/>
  <c r="D22" i="9"/>
  <c r="B3" i="15"/>
  <c r="C103" i="9"/>
  <c r="C35"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4" i="9"/>
  <c r="D6" i="71"/>
  <c r="C5" i="71"/>
  <c r="D5" i="71" s="1"/>
  <c r="M24" i="43" s="1"/>
  <c r="C42" i="40"/>
  <c r="C43" i="40"/>
  <c r="E47" i="40"/>
  <c r="F47" i="40" s="1"/>
  <c r="E46" i="40"/>
  <c r="F46" i="40" s="1"/>
  <c r="I47" i="40"/>
  <c r="J47" i="40" s="1"/>
  <c r="D35" i="9" l="1"/>
  <c r="R24" i="31"/>
  <c r="D34" i="9"/>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6" i="31"/>
  <c r="S36" i="31" s="1"/>
  <c r="R30" i="31"/>
  <c r="S30" i="31" s="1"/>
  <c r="R27" i="31"/>
  <c r="S27" i="31" s="1"/>
  <c r="R28" i="31"/>
  <c r="S28" i="31" s="1"/>
  <c r="R26" i="31"/>
  <c r="S26" i="31" s="1"/>
  <c r="R33" i="31"/>
  <c r="S33" i="31" s="1"/>
  <c r="R31" i="31"/>
  <c r="S31" i="31" s="1"/>
  <c r="R32" i="31"/>
  <c r="S32" i="31" s="1"/>
  <c r="R29" i="31"/>
  <c r="S29" i="31" s="1"/>
  <c r="R34" i="31"/>
  <c r="S34" i="31" s="1"/>
  <c r="R35" i="31"/>
  <c r="S35" i="31" s="1"/>
  <c r="R25" i="31"/>
  <c r="S25" i="31" s="1"/>
  <c r="G118" i="9"/>
  <c r="F118" i="9" s="1"/>
  <c r="I118" i="9"/>
  <c r="I4" i="52" s="1"/>
  <c r="S22" i="31" l="1"/>
  <c r="H118" i="9"/>
  <c r="C104" i="9" s="1"/>
  <c r="C105" i="9"/>
  <c r="D108" i="9" s="1"/>
  <c r="G4" i="52"/>
  <c r="B52" i="72" s="1"/>
  <c r="E118" i="9"/>
  <c r="H102" i="9"/>
  <c r="F119" i="9"/>
  <c r="F5" i="52" s="1"/>
  <c r="B53" i="72" s="1"/>
  <c r="F4" i="52"/>
  <c r="B51" i="72" s="1"/>
  <c r="R22" i="31" l="1"/>
  <c r="B20" i="31"/>
  <c r="B21" i="31" s="1"/>
  <c r="H4" i="52"/>
  <c r="H119" i="9"/>
  <c r="H5" i="52" s="1"/>
  <c r="H101" i="9"/>
  <c r="D14" i="74" s="1"/>
  <c r="D7" i="53"/>
  <c r="B21" i="72" s="1"/>
  <c r="E14" i="74"/>
  <c r="E4" i="52"/>
  <c r="B48" i="72" s="1"/>
  <c r="D118" i="9"/>
  <c r="F14" i="74" l="1"/>
  <c r="G14" i="74"/>
  <c r="B6" i="74" s="1"/>
  <c r="D6" i="74" s="1"/>
  <c r="D45" i="9"/>
  <c r="C72" i="9" s="1"/>
  <c r="B5" i="74"/>
  <c r="C5" i="74" s="1"/>
  <c r="H107" i="9"/>
  <c r="H108" i="9" s="1"/>
  <c r="I109" i="9" s="1"/>
  <c r="D5" i="53"/>
  <c r="D6" i="53" s="1"/>
  <c r="B22" i="72" s="1"/>
  <c r="M48" i="9"/>
  <c r="D4" i="52"/>
  <c r="B47" i="72" s="1"/>
  <c r="D119" i="9"/>
  <c r="D5" i="52" s="1"/>
  <c r="B49" i="72" s="1"/>
  <c r="D5" i="74" l="1"/>
  <c r="B20" i="72"/>
  <c r="D122" i="9"/>
  <c r="D8" i="52" s="1"/>
  <c r="C85" i="9"/>
  <c r="C78" i="9"/>
  <c r="C73" i="9" s="1"/>
  <c r="C79" i="9" s="1"/>
  <c r="C80" i="9" s="1"/>
  <c r="E80" i="9" s="1"/>
  <c r="E81" i="9" s="1"/>
  <c r="D52" i="9"/>
  <c r="C93" i="9"/>
  <c r="C86" i="9" s="1"/>
  <c r="C64" i="9"/>
  <c r="C63" i="9" s="1"/>
  <c r="C67" i="9" s="1"/>
  <c r="D59" i="9" s="1"/>
  <c r="M55" i="9" s="1"/>
  <c r="D53" i="9"/>
  <c r="D13" i="53"/>
  <c r="D14" i="53" s="1"/>
  <c r="B32" i="72" s="1"/>
  <c r="M49" i="9"/>
  <c r="L68" i="9" s="1"/>
  <c r="M68" i="9" s="1"/>
  <c r="D55" i="9"/>
  <c r="M53" i="9" s="1"/>
  <c r="C6" i="74"/>
  <c r="D15" i="53"/>
  <c r="B31" i="72" s="1"/>
  <c r="C68" i="9" l="1"/>
  <c r="D54" i="9" s="1"/>
  <c r="L64" i="9"/>
  <c r="M64" i="9" s="1"/>
  <c r="D123" i="9"/>
  <c r="D9" i="52" s="1"/>
  <c r="C95" i="9"/>
  <c r="C96" i="9" s="1"/>
  <c r="E96" i="9" s="1"/>
  <c r="E97" i="9" s="1"/>
  <c r="L65" i="9"/>
  <c r="M65" i="9" s="1"/>
  <c r="B30" i="72"/>
  <c r="L66" i="9"/>
  <c r="M66" i="9" s="1"/>
  <c r="L63" i="9"/>
  <c r="M63" i="9" s="1"/>
  <c r="L67" i="9"/>
  <c r="M67" i="9" s="1"/>
  <c r="C81" i="9"/>
  <c r="M69" i="9" l="1"/>
  <c r="N69" i="9" s="1"/>
  <c r="C97" i="9"/>
  <c r="D58" i="9" s="1"/>
  <c r="D56" i="9" s="1"/>
  <c r="M54" i="9" s="1"/>
  <c r="N57" i="9" s="1"/>
  <c r="P57" i="9" l="1"/>
  <c r="N58" i="9"/>
  <c r="N59" i="9"/>
  <c r="N61" i="9" l="1"/>
  <c r="N60" i="9"/>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<sst xmlns="http://schemas.openxmlformats.org/spreadsheetml/2006/main" count="7924" uniqueCount="3464">
  <si>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</si>
  <si>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</si>
  <si>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</si>
  <si>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</si>
  <si>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</si>
  <si>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</si>
  <si>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</si>
  <si>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</si>
  <si>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</si>
  <si>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</si>
  <si>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</si>
  <si>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</si>
  <si>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</si>
  <si>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</si>
  <si>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</si>
  <si>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</si>
  <si>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</si>
  <si>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</si>
  <si>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</si>
  <si>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</si>
  <si>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</si>
  <si>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</si>
  <si>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</si>
  <si>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</si>
  <si>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</si>
  <si>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</si>
  <si>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</si>
  <si>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</si>
  <si>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</si>
  <si>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</si>
  <si>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</si>
  <si>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</si>
  <si>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</si>
  <si>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</si>
  <si>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</si>
  <si>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</si>
  <si>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</si>
  <si>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</si>
  <si>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</si>
  <si>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</si>
  <si>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</si>
  <si>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</si>
  <si>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</si>
  <si>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</si>
  <si>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</si>
  <si>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</si>
  <si>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</si>
  <si>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</si>
  <si>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</si>
  <si>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</si>
  <si>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</si>
  <si>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</si>
  <si>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</si>
  <si>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</si>
  <si>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</si>
  <si>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</si>
  <si>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</si>
  <si>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</si>
  <si>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</si>
  <si>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</si>
  <si>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</si>
  <si>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</si>
  <si>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</si>
  <si>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</si>
  <si>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</si>
  <si>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</si>
  <si>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</si>
  <si>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</si>
  <si>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</si>
  <si>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</si>
  <si>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</si>
  <si>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</si>
  <si>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</si>
  <si>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</si>
  <si>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</si>
  <si>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</si>
  <si>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</si>
  <si>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</si>
  <si>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</si>
  <si>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</si>
  <si>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</si>
  <si>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</si>
  <si>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</si>
  <si>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</si>
  <si>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</si>
  <si>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</si>
  <si>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</si>
  <si>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</si>
  <si>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</si>
  <si>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</si>
  <si>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</si>
  <si>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</si>
  <si>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</si>
  <si>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</si>
  <si>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</si>
  <si>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</si>
  <si>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</si>
  <si>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</si>
  <si>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</si>
  <si>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</si>
  <si>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</si>
  <si>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</si>
  <si>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</si>
  <si>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</si>
  <si>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</si>
  <si>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</si>
  <si>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</si>
  <si>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</si>
  <si>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</si>
  <si>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</si>
  <si>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</si>
  <si>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</si>
  <si>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</si>
  <si>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</si>
  <si>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</si>
  <si>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</si>
  <si>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</si>
  <si>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</si>
  <si>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</si>
  <si>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</si>
  <si>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</si>
  <si>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</si>
  <si>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</si>
  <si>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</si>
  <si>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</si>
  <si>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</si>
  <si>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</si>
  <si>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</si>
  <si>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</si>
  <si>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</si>
  <si>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</si>
  <si>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</si>
  <si>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</si>
  <si>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</si>
  <si>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</si>
  <si>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</si>
  <si>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</si>
  <si>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</si>
  <si>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</si>
  <si>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</si>
  <si>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</si>
  <si>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</si>
  <si>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</si>
  <si>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</si>
  <si>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</si>
  <si>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</si>
  <si>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</si>
  <si>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</si>
  <si>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</si>
  <si>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</si>
  <si>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</si>
  <si>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</si>
  <si>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</si>
  <si>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</si>
  <si>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</si>
  <si>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</si>
  <si>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</si>
  <si>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</si>
  <si>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</si>
  <si>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</si>
  <si>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</si>
  <si>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</si>
  <si>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</si>
  <si>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</si>
  <si>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</si>
  <si>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</si>
  <si>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</si>
  <si>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</si>
  <si>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</si>
  <si>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</si>
  <si>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</si>
  <si>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</si>
  <si>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</si>
  <si>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</si>
  <si>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</si>
  <si>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</si>
  <si>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</si>
  <si>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</si>
  <si>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</si>
  <si>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</si>
  <si>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</si>
  <si>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</si>
  <si>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</si>
  <si>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</si>
  <si>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</si>
  <si>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</si>
  <si>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</si>
  <si>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</si>
  <si>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</si>
  <si>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</si>
  <si>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</si>
  <si>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</si>
  <si>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</si>
  <si>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</si>
  <si>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</si>
  <si>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</si>
  <si>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</si>
  <si>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</si>
  <si>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</si>
  <si>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</si>
  <si>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</si>
  <si>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</si>
  <si>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</si>
  <si>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</si>
  <si>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</si>
  <si>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</si>
  <si>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</si>
  <si>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</si>
  <si>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</si>
  <si>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</si>
  <si>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</si>
  <si>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</si>
  <si>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</si>
  <si>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</si>
  <si>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</si>
  <si>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</si>
  <si>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</si>
  <si>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</si>
  <si>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</si>
  <si>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</si>
  <si>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</si>
  <si>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</si>
  <si>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</si>
  <si>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</si>
  <si>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</si>
  <si>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</si>
  <si>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</si>
  <si>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</si>
  <si>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</si>
  <si>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</si>
  <si>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</si>
  <si>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</si>
  <si>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</si>
  <si>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</si>
  <si>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</si>
  <si>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</si>
  <si>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</si>
  <si>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</si>
  <si>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</si>
  <si>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</si>
  <si>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</si>
  <si>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</si>
  <si>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</si>
  <si>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</si>
  <si>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</si>
  <si>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</si>
  <si>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</si>
  <si>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</si>
  <si>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</si>
  <si>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</si>
  <si>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</si>
  <si>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</si>
  <si>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</si>
  <si>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</si>
  <si>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</si>
  <si>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</si>
  <si>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</si>
  <si>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</si>
  <si>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</si>
  <si>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</si>
  <si>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</si>
  <si>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</si>
  <si>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</si>
  <si>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</si>
  <si>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</si>
  <si>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</si>
  <si>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</si>
  <si>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</si>
  <si>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</si>
  <si>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</si>
  <si>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</si>
  <si>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</si>
  <si>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</si>
  <si>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</si>
  <si>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</si>
  <si>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</si>
  <si>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</si>
  <si>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</si>
  <si>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</si>
  <si>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</si>
  <si>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</si>
  <si>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</si>
  <si>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</si>
  <si>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</si>
  <si>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</si>
  <si>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</si>
  <si>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</si>
  <si>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</si>
  <si>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</si>
  <si>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</si>
  <si>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</si>
  <si>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</si>
  <si>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</si>
  <si>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</si>
  <si>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</si>
  <si>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</si>
  <si>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</si>
  <si>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</si>
  <si>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</si>
  <si>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</si>
  <si>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</si>
  <si>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</si>
  <si>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</si>
  <si>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</si>
  <si>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</si>
  <si>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</si>
  <si>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</si>
  <si>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</si>
  <si>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</si>
  <si>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</si>
  <si>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</si>
  <si>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</si>
  <si>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</si>
  <si>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</si>
  <si>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</si>
  <si>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</si>
  <si>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</si>
  <si>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</si>
  <si>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</si>
  <si>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</si>
  <si>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</si>
  <si>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</si>
  <si>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</si>
  <si>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</si>
  <si>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</si>
  <si>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</si>
  <si>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</si>
  <si>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</si>
  <si>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</si>
  <si>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</si>
  <si>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</si>
  <si>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</si>
  <si>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</si>
  <si>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</si>
  <si>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</si>
  <si>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</si>
  <si>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</si>
  <si>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</si>
  <si>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</si>
  <si>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</si>
  <si>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</si>
  <si>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</si>
  <si>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</si>
  <si>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</si>
  <si>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</si>
  <si>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</si>
  <si>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</si>
  <si>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</si>
  <si>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</si>
  <si>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</si>
  <si>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</si>
  <si>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</si>
  <si>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</si>
  <si>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</si>
  <si>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</si>
  <si>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</si>
  <si>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</si>
  <si>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</si>
  <si>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</si>
  <si>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</si>
  <si>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</si>
  <si>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</si>
  <si>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</si>
  <si>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</si>
  <si>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</si>
  <si>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</si>
  <si>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</si>
  <si>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</si>
  <si>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</si>
  <si>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</si>
  <si>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</si>
  <si>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</si>
  <si>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</si>
  <si>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</si>
  <si>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</si>
  <si>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</si>
  <si>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</si>
  <si>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</si>
  <si>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</si>
  <si>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</si>
  <si>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</si>
  <si>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</si>
  <si>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</si>
  <si>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</si>
  <si>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</si>
  <si>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</si>
  <si>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</si>
  <si>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</si>
  <si>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</si>
  <si>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</si>
  <si>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</si>
  <si>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</si>
  <si>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</si>
  <si>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</si>
  <si>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</si>
  <si>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</si>
  <si>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</si>
  <si>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</si>
  <si>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</si>
  <si>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</si>
  <si>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</si>
  <si>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</si>
  <si>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</si>
  <si>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</si>
  <si>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</si>
  <si>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</si>
  <si>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</si>
  <si>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</si>
  <si>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</si>
  <si>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</si>
  <si>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</si>
  <si>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</si>
  <si>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</si>
  <si>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</si>
  <si>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</si>
  <si>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</si>
  <si>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</si>
  <si>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</si>
  <si>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</si>
  <si>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</si>
  <si>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</si>
  <si>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</si>
  <si>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</si>
  <si>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</si>
  <si>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</si>
  <si>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</si>
  <si>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</si>
  <si>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</si>
  <si>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</si>
  <si>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</si>
  <si>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</si>
  <si>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</si>
  <si>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</si>
  <si>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</si>
  <si>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</si>
  <si>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</si>
  <si>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</si>
  <si>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</si>
  <si>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</si>
  <si>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</si>
  <si>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</si>
  <si>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</si>
  <si>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</si>
  <si>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</si>
  <si>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</si>
  <si>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</si>
  <si>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</si>
  <si>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</si>
  <si>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</si>
  <si>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</si>
  <si>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</si>
  <si>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</si>
  <si>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</si>
  <si>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</si>
  <si>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</si>
  <si>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</si>
  <si>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</si>
  <si>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</si>
  <si>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</si>
  <si>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</si>
  <si>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</si>
  <si>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</si>
  <si>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</si>
  <si>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</si>
  <si>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</si>
  <si>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</si>
  <si>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</si>
  <si>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</si>
  <si>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</si>
  <si>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</si>
  <si>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</si>
  <si>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</si>
  <si>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</si>
  <si>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</si>
  <si>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</si>
  <si>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</si>
  <si>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</si>
  <si>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</si>
  <si>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</si>
  <si>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</si>
  <si>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</si>
  <si>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</si>
  <si>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</si>
  <si>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</si>
  <si>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</si>
  <si>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</si>
  <si>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</si>
  <si>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</si>
  <si>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</si>
  <si>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</si>
  <si>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</si>
  <si>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</si>
  <si>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</si>
  <si>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</si>
  <si>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</si>
  <si>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</si>
  <si>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</si>
  <si>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</si>
  <si>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</si>
  <si>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</si>
  <si>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</si>
  <si>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</si>
  <si>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</si>
  <si>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</si>
  <si>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</si>
  <si>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</si>
  <si>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</si>
  <si>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</si>
  <si>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</si>
  <si>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</si>
  <si>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</si>
  <si>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</si>
  <si>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</si>
  <si>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</si>
  <si>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</si>
  <si>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</si>
  <si>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</si>
  <si>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</si>
  <si>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</si>
  <si>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</si>
  <si>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</si>
  <si>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</si>
  <si>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</si>
  <si>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</si>
  <si>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</si>
  <si>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</si>
  <si>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</si>
  <si>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</si>
  <si>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</si>
  <si>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</si>
  <si>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</si>
  <si>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</si>
  <si>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</si>
  <si>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</si>
  <si>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</si>
  <si>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</si>
  <si>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</si>
  <si>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</si>
  <si>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</si>
  <si>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</si>
  <si>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</si>
  <si>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</si>
  <si>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</si>
  <si>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</si>
  <si>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</si>
  <si>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</si>
  <si>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</si>
  <si>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</si>
  <si>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</si>
  <si>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</si>
  <si>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</si>
  <si>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</si>
  <si>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</si>
  <si>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</si>
  <si>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</si>
  <si>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</si>
  <si>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</si>
  <si>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</si>
  <si>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</si>
  <si>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</si>
  <si>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</si>
  <si>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</si>
  <si>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</si>
  <si>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</si>
  <si>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</si>
  <si>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</si>
  <si>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</si>
  <si>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</si>
  <si>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</si>
  <si>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</si>
  <si>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</si>
  <si>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</si>
  <si>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</si>
  <si>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</si>
  <si>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</si>
  <si>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</si>
  <si>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</si>
  <si>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</si>
  <si>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</si>
  <si>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</si>
  <si>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</si>
  <si>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</si>
  <si>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</si>
  <si>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</si>
  <si>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</si>
  <si>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</si>
  <si>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</si>
  <si>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</si>
  <si>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</si>
  <si>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</si>
  <si>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</si>
  <si>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</si>
  <si>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</si>
  <si>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</si>
  <si>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</si>
  <si>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</si>
  <si>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</si>
  <si>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</si>
  <si>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</si>
  <si>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</si>
  <si>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</si>
  <si>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</si>
  <si>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</si>
  <si>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</si>
  <si>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</si>
  <si>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</si>
  <si>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</si>
  <si>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</si>
  <si>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</si>
  <si>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</si>
  <si>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</si>
  <si>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</si>
  <si>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</si>
  <si>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</si>
  <si>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</si>
  <si>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</si>
  <si>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</si>
  <si>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</si>
  <si>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</si>
  <si>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</si>
  <si>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</si>
  <si>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</si>
  <si>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</si>
  <si>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</si>
  <si>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</si>
  <si>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</si>
  <si>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</si>
  <si>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</si>
  <si>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</si>
  <si>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</si>
  <si>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</si>
  <si>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</si>
  <si>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</si>
  <si>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</si>
  <si>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</si>
  <si>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</si>
  <si>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</si>
  <si>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</si>
  <si>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</si>
  <si>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</si>
  <si>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</si>
  <si>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</si>
  <si>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</si>
  <si>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</si>
  <si>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</si>
  <si>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</si>
  <si>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</si>
  <si>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</si>
  <si>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</si>
  <si>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</si>
  <si>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</si>
  <si>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</si>
  <si>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</si>
  <si>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</si>
  <si>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</si>
  <si>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</si>
  <si>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</si>
  <si>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</si>
  <si>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</si>
  <si>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</si>
  <si>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</si>
  <si>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</si>
  <si>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</si>
  <si>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</si>
  <si>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</si>
  <si>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</si>
  <si>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</si>
  <si>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</si>
  <si>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</si>
  <si>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</si>
  <si>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</si>
  <si>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</si>
  <si>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</si>
  <si>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</si>
  <si>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</si>
  <si>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</si>
  <si>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</si>
  <si>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</si>
  <si>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</si>
  <si>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</si>
  <si>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</si>
  <si>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</si>
  <si>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</si>
  <si>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</si>
  <si>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</si>
  <si>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</si>
  <si>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</si>
  <si>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</si>
  <si>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</si>
  <si>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</si>
  <si>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</si>
  <si>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</si>
  <si>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</si>
  <si>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</si>
  <si>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</si>
  <si>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</si>
  <si>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</si>
  <si>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</si>
  <si>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</si>
  <si>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</si>
  <si>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</si>
  <si>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</si>
  <si>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</si>
  <si>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</si>
  <si>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</si>
  <si>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</si>
  <si>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</si>
  <si>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</si>
  <si>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</si>
  <si>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</si>
  <si>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</si>
  <si>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</si>
  <si>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</si>
  <si>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</si>
  <si>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</si>
  <si>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</si>
  <si>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</si>
  <si>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</si>
  <si>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</si>
  <si>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</si>
  <si>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</si>
  <si>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</si>
  <si>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</si>
  <si>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</si>
  <si>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</si>
  <si>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</si>
  <si>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</si>
  <si>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</si>
  <si>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</si>
  <si>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</si>
  <si>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</si>
  <si>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</si>
  <si>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</si>
  <si>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</si>
  <si>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</si>
  <si>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</si>
  <si>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</si>
  <si>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</si>
  <si>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</si>
  <si>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</si>
  <si>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</si>
  <si>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</si>
  <si>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</si>
  <si>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</si>
  <si>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</si>
  <si>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</si>
  <si>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</si>
  <si>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</si>
  <si>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</si>
  <si>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</si>
  <si>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</si>
  <si>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</si>
  <si>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</si>
  <si>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</si>
  <si>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</si>
  <si>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</si>
  <si>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</si>
  <si>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</si>
  <si>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</si>
  <si>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</si>
  <si>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</si>
  <si>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</si>
  <si>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</si>
  <si>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</si>
  <si>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</si>
  <si>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</si>
  <si>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</si>
  <si>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</si>
  <si>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</si>
  <si>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</si>
  <si>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</si>
  <si>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</si>
  <si>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</si>
  <si>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</si>
  <si>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</si>
  <si>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</si>
  <si>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</si>
  <si>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</si>
  <si>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</si>
  <si>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</si>
  <si>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</si>
  <si>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</si>
  <si>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</si>
  <si>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</si>
  <si>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</si>
  <si>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</si>
  <si>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</si>
  <si>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</si>
  <si>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</si>
  <si>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</si>
  <si>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</si>
  <si>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</si>
  <si>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</si>
  <si>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</si>
  <si>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</si>
  <si>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</si>
  <si>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</si>
  <si>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</si>
  <si>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</si>
  <si>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</si>
  <si>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</si>
  <si>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</si>
  <si>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</si>
  <si>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</si>
  <si>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</si>
  <si>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</si>
  <si>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</si>
  <si>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</si>
  <si>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</si>
  <si>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</si>
  <si>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</si>
  <si>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</si>
  <si>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</si>
  <si>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</si>
  <si>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</si>
  <si>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</si>
  <si>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</si>
  <si>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</si>
  <si>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</si>
  <si>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</si>
  <si>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</si>
  <si>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</si>
  <si>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</si>
  <si>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</si>
  <si>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</si>
  <si>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</si>
  <si>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</si>
  <si>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</si>
  <si>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</si>
  <si>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</si>
  <si>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</si>
  <si>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</si>
  <si>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</si>
  <si>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</si>
  <si>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</si>
  <si>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</si>
  <si>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</si>
  <si>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</si>
  <si>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</si>
  <si>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</si>
  <si>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</si>
  <si>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</si>
  <si>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</si>
  <si>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</si>
  <si>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</si>
  <si>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</si>
  <si>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</si>
  <si>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</si>
  <si>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</si>
  <si>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</si>
  <si>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</si>
  <si>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</si>
  <si>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</si>
  <si>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</si>
  <si>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</si>
  <si>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</si>
  <si>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</si>
  <si>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</si>
  <si>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</si>
  <si>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</si>
  <si>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</si>
  <si>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</si>
  <si>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</si>
  <si>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</si>
  <si>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</si>
  <si>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</si>
  <si>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</si>
  <si>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</si>
  <si>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</si>
  <si>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</si>
  <si>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</si>
  <si>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</si>
  <si>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</si>
  <si>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</si>
  <si>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</si>
  <si>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</si>
  <si>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</si>
  <si>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</si>
  <si>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</si>
  <si>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</si>
  <si>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</si>
  <si>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</si>
  <si>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</si>
  <si>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</si>
  <si>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</si>
  <si>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</si>
  <si>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</si>
  <si>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</si>
  <si>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</si>
  <si>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</si>
  <si>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</si>
  <si>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</si>
  <si>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</si>
  <si>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</si>
  <si>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</si>
  <si>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</si>
  <si>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</si>
  <si>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</si>
  <si>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</si>
  <si>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</si>
  <si>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</si>
  <si>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</si>
  <si>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</si>
  <si>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</si>
  <si>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</si>
  <si>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</si>
  <si>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</si>
  <si>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</si>
  <si>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</si>
  <si>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</si>
  <si>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</si>
  <si>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</si>
  <si>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</si>
  <si>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</si>
  <si>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</si>
  <si>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</si>
  <si>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</si>
  <si>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</si>
  <si>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</si>
  <si>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</si>
  <si>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</si>
  <si>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</si>
  <si>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</si>
  <si>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</si>
  <si>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</si>
  <si>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</si>
  <si>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</si>
  <si>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</si>
  <si>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</si>
  <si>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</si>
  <si>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</si>
  <si>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</si>
  <si>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</si>
  <si>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</si>
  <si>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</si>
  <si>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</si>
  <si>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</si>
  <si>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</si>
  <si>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</si>
  <si>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</si>
  <si>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</si>
  <si>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</si>
  <si>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</si>
  <si>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</si>
  <si>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</si>
  <si>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</si>
  <si>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</si>
  <si>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</si>
  <si>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</si>
  <si>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</si>
  <si>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</si>
  <si>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</si>
  <si>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</si>
  <si>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</si>
  <si>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</si>
  <si>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</si>
  <si>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</si>
  <si>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</si>
  <si>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</si>
  <si>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</si>
  <si>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</si>
  <si>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</si>
  <si>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</si>
  <si>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</si>
  <si>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</si>
  <si>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</si>
  <si>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</si>
  <si>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</si>
  <si>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</si>
  <si>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</si>
  <si>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</si>
  <si>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</si>
  <si>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</si>
  <si>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</si>
  <si>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</si>
  <si>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</si>
  <si>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</si>
  <si>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</si>
  <si>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</si>
  <si>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</si>
  <si>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</si>
  <si>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</si>
  <si>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</si>
  <si>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</si>
  <si>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</si>
  <si>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</si>
  <si>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</si>
  <si>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</si>
  <si>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</si>
  <si>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</si>
  <si>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</si>
  <si>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</si>
  <si>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</si>
  <si>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</si>
  <si>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</si>
  <si>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</si>
  <si>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</si>
  <si>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</si>
  <si>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</si>
  <si>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</si>
  <si>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</si>
  <si>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</si>
  <si>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</si>
  <si>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</si>
  <si>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</si>
  <si>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</si>
  <si>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</si>
  <si>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</si>
  <si>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</si>
  <si>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</si>
  <si>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</si>
  <si>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</si>
  <si>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</si>
  <si>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</si>
  <si>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</si>
  <si>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</si>
  <si>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</si>
  <si>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</si>
  <si>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</si>
  <si>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</si>
  <si>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</si>
  <si>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</si>
  <si>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</si>
  <si>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</si>
  <si>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</si>
  <si>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</si>
  <si>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</si>
  <si>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</si>
  <si>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</si>
  <si>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</si>
  <si>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</si>
  <si>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</si>
  <si>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</si>
  <si>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</si>
  <si>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</si>
  <si>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</si>
  <si>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</si>
  <si>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</si>
  <si>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</si>
  <si>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</si>
  <si>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</si>
  <si>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</si>
  <si>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</si>
  <si>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</si>
  <si>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</si>
  <si>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</si>
  <si>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</si>
  <si>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</si>
  <si>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</si>
  <si>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</si>
  <si>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</si>
  <si>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</si>
  <si>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</si>
  <si>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</si>
  <si>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</si>
  <si>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</si>
  <si>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</si>
  <si>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</si>
  <si>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</si>
  <si>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</si>
  <si>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</si>
  <si>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</si>
  <si>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</si>
  <si>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</si>
  <si>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</si>
  <si>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</si>
  <si>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</si>
  <si>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</si>
  <si>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</si>
  <si>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</si>
  <si>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</si>
  <si>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</si>
  <si>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</si>
  <si>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</si>
  <si>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</si>
  <si>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</si>
  <si>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</si>
  <si>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</si>
  <si>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</si>
  <si>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</si>
  <si>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</si>
  <si>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</si>
  <si>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</si>
  <si>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</si>
  <si>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</si>
  <si>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</si>
  <si>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</si>
  <si>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</si>
  <si>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</si>
  <si>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</si>
  <si>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</si>
  <si>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</si>
  <si>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</si>
  <si>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</si>
  <si>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</si>
  <si>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</si>
  <si>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</si>
  <si>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</si>
  <si>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</si>
  <si>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</si>
  <si>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</si>
  <si>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</si>
  <si>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</si>
  <si>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</si>
  <si>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</si>
  <si>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</si>
  <si>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</si>
  <si>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</si>
  <si>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</si>
  <si>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</si>
  <si>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</si>
  <si>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</si>
  <si>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</si>
  <si>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</si>
  <si>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</si>
  <si>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</si>
  <si>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</si>
  <si>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</si>
  <si>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</si>
  <si>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</si>
  <si>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</si>
  <si>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</si>
  <si>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</si>
  <si>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</si>
  <si>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</si>
  <si>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</si>
  <si>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</si>
  <si>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</si>
  <si>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</si>
  <si>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</si>
  <si>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</si>
  <si>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</si>
  <si>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</si>
  <si>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</si>
  <si>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</si>
  <si>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</si>
  <si>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</si>
  <si>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</si>
  <si>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</si>
  <si>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</si>
  <si>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</si>
  <si>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</si>
  <si>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</si>
  <si>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</si>
  <si>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</si>
  <si>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</si>
  <si>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</si>
  <si>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</si>
  <si>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</si>
  <si>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</si>
  <si>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</si>
  <si>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</si>
  <si>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</si>
  <si>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</si>
  <si>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</si>
  <si>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</si>
  <si>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</si>
  <si>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</si>
  <si>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</si>
  <si>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</si>
  <si>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</si>
  <si>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</si>
  <si>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</si>
  <si>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</si>
  <si>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</si>
  <si>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</si>
  <si>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</si>
  <si>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</si>
  <si>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</si>
  <si>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</si>
  <si>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</si>
  <si>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</si>
  <si>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</si>
  <si>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</si>
  <si>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</si>
  <si>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</si>
  <si>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</si>
  <si>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</si>
  <si>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</si>
  <si>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</si>
  <si>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</si>
  <si>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</si>
  <si>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</si>
  <si>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</si>
  <si>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</si>
  <si>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</si>
  <si>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</si>
  <si>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</si>
  <si>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</si>
  <si>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</si>
  <si>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</si>
  <si>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</si>
  <si>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</si>
  <si>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</si>
  <si>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</si>
  <si>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</si>
  <si>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</si>
  <si>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</si>
  <si>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</si>
  <si>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</si>
  <si>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</si>
  <si>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</si>
  <si>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</si>
  <si>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</si>
  <si>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</si>
  <si>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</si>
  <si>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</si>
  <si>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</si>
  <si>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</si>
  <si>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</si>
  <si>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</si>
  <si>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</si>
  <si>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</si>
  <si>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</si>
  <si>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</si>
  <si>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</si>
  <si>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</si>
  <si>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</si>
  <si>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</si>
  <si>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</si>
  <si>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</si>
  <si>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</si>
  <si>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</si>
  <si>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</si>
  <si>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</si>
  <si>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</si>
  <si>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</si>
  <si>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</si>
  <si>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</si>
  <si>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</si>
  <si>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</si>
  <si>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</si>
  <si>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</si>
  <si>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</si>
  <si>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</si>
  <si>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</si>
  <si>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</si>
  <si>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</si>
  <si>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</si>
  <si>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</si>
  <si>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</si>
  <si>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</si>
  <si>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</si>
  <si>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</si>
  <si>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</si>
  <si>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</si>
  <si>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</si>
  <si>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</si>
  <si>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</si>
  <si>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</si>
  <si>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</si>
  <si>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</si>
  <si>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</si>
  <si>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</si>
  <si>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</si>
  <si>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</si>
  <si>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</si>
  <si>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</si>
  <si>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</si>
  <si>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</si>
  <si>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</si>
  <si>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</si>
  <si>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</si>
  <si>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</si>
  <si>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</si>
  <si>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</si>
  <si>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</si>
  <si>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</si>
  <si>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</si>
  <si>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</si>
  <si>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</si>
  <si>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</si>
  <si>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</si>
  <si>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</si>
  <si>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</si>
  <si>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</si>
  <si>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</si>
  <si>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</si>
  <si>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</si>
  <si>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</si>
  <si>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</si>
  <si>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</si>
  <si>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</si>
  <si>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</si>
  <si>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</si>
  <si>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</si>
  <si>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</si>
  <si>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</si>
  <si>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</si>
  <si>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</si>
  <si>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</si>
  <si>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</si>
  <si>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</si>
  <si>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</si>
  <si>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</si>
  <si>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</si>
  <si>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</si>
  <si>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</si>
  <si>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</si>
  <si>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</si>
  <si>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</si>
  <si>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</si>
  <si>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</si>
  <si>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</si>
  <si>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</si>
  <si>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</si>
  <si>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</si>
  <si>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</si>
  <si>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</si>
  <si>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</si>
  <si>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</si>
  <si>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</si>
  <si>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</si>
  <si>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</si>
  <si>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</si>
  <si>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</si>
  <si>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</si>
  <si>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</si>
  <si>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</si>
  <si>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</si>
  <si>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</si>
  <si>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</si>
  <si>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</si>
  <si>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</si>
  <si>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</si>
  <si>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</si>
  <si>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</si>
  <si>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</si>
  <si>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</si>
  <si>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</si>
  <si>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</si>
  <si>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</si>
  <si>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</si>
  <si>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</si>
  <si>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</si>
  <si>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</si>
  <si>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</si>
  <si>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</si>
  <si>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</si>
  <si>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</si>
  <si>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</si>
  <si>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</si>
  <si>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</si>
  <si>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</si>
  <si>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</si>
  <si>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</si>
  <si>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</si>
  <si>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</si>
  <si>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</si>
  <si>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</si>
  <si>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</si>
  <si>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</si>
  <si>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</si>
  <si>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</si>
  <si>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</si>
  <si>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</si>
  <si>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</si>
  <si>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</si>
  <si>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</si>
  <si>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</si>
  <si>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</si>
  <si>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</si>
  <si>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</si>
  <si>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</si>
  <si>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</si>
  <si>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</si>
  <si>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</si>
  <si>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</si>
  <si>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</si>
  <si>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</si>
  <si>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</si>
  <si>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</si>
  <si>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</si>
  <si>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</si>
  <si>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</si>
  <si>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</si>
  <si>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</si>
  <si>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</si>
  <si>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</si>
  <si>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</si>
  <si>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</si>
  <si>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</si>
  <si>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</si>
  <si>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</si>
  <si>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</si>
  <si>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</si>
  <si>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</si>
  <si>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</si>
  <si>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</si>
  <si>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</si>
  <si>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</si>
  <si>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</si>
  <si>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</si>
  <si>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</si>
  <si>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</si>
  <si>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</si>
  <si>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</si>
  <si>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</si>
  <si>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</si>
  <si>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</si>
  <si>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</si>
  <si>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</si>
  <si>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</si>
  <si>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</si>
  <si>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</si>
  <si>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</si>
  <si>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</si>
  <si>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</si>
  <si>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</si>
  <si>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</si>
  <si>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</si>
  <si>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</si>
  <si>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</si>
  <si>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</si>
  <si>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</si>
  <si>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</si>
  <si>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</si>
  <si>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</si>
  <si>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</si>
  <si>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</si>
  <si>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</si>
  <si>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</si>
  <si>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</si>
  <si>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</si>
  <si>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</si>
  <si>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</si>
  <si>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</si>
  <si>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</si>
  <si>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</si>
  <si>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</si>
  <si>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</si>
  <si>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</si>
  <si>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</si>
  <si>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</si>
  <si>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</si>
  <si>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</si>
  <si>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</si>
  <si>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</si>
  <si>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</si>
  <si>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</si>
  <si>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</si>
  <si>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</si>
  <si>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</si>
  <si>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</si>
  <si>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</si>
  <si>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</si>
  <si>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</si>
  <si>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</si>
  <si>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</si>
  <si>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</si>
  <si>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</si>
  <si>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</si>
  <si>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</si>
  <si>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</si>
  <si>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</si>
  <si>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</si>
  <si>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</si>
  <si>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</si>
  <si>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</si>
  <si>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</si>
  <si>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</si>
  <si>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</si>
  <si>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</si>
  <si>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</si>
  <si>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</si>
  <si>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</si>
  <si>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</si>
  <si>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</si>
  <si>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</si>
  <si>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</si>
  <si>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</si>
  <si>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</si>
  <si>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</si>
  <si>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</si>
  <si>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</si>
  <si>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</si>
  <si>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</si>
  <si>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</si>
  <si>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</si>
  <si>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</si>
  <si>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</si>
  <si>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</si>
  <si>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</si>
  <si>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</si>
  <si>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</si>
  <si>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</si>
  <si>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</si>
  <si>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</si>
  <si>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</si>
  <si>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</si>
  <si>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</si>
  <si>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</si>
  <si>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</si>
  <si>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</si>
  <si>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</si>
  <si>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</si>
  <si>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</si>
  <si>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</si>
  <si>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</si>
  <si>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</si>
  <si>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</si>
  <si>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</si>
  <si>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</si>
  <si>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</si>
  <si>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</si>
  <si>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</si>
  <si>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</si>
  <si>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</si>
  <si>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</si>
  <si>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</si>
  <si>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</si>
  <si>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</si>
  <si>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</si>
  <si>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</si>
  <si>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</si>
  <si>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</si>
  <si>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</si>
  <si>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</si>
  <si>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</si>
  <si>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</si>
  <si>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</si>
  <si>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</si>
  <si>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</si>
  <si>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</si>
  <si>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</si>
  <si>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</si>
  <si>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</si>
  <si>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</si>
  <si>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</si>
  <si>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</si>
  <si>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</si>
  <si>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</si>
  <si>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</si>
  <si>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</si>
  <si>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</si>
  <si>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</si>
  <si>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</si>
  <si>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</si>
  <si>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</si>
  <si>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</si>
  <si>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</si>
  <si>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</si>
  <si>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</si>
  <si>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</si>
  <si>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</si>
  <si>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</si>
  <si>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</si>
  <si>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</si>
  <si>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</si>
  <si>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</si>
  <si>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</si>
  <si>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</si>
  <si>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</si>
  <si>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</si>
  <si>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</si>
  <si>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</si>
  <si>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</si>
  <si>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</si>
  <si>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</si>
  <si>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</si>
  <si>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</si>
  <si>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</si>
  <si>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</si>
  <si>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</si>
  <si>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</si>
  <si>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</si>
  <si>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</si>
  <si>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</si>
  <si>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</si>
  <si>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</si>
  <si>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</si>
  <si>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</si>
  <si>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</si>
  <si>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</si>
  <si>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</si>
  <si>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</si>
  <si>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</si>
  <si>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</si>
  <si>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</si>
  <si>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</si>
  <si>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</si>
  <si>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</si>
  <si>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</si>
  <si>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</si>
  <si>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</si>
  <si>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</si>
  <si>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</si>
  <si>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</si>
  <si>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</si>
  <si>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</si>
  <si>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</si>
  <si>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</si>
  <si>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</si>
  <si>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</si>
  <si>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</si>
  <si>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</si>
  <si>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</si>
  <si>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</si>
  <si>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</si>
  <si>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</si>
  <si>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</si>
  <si>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</si>
  <si>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</si>
  <si>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</si>
  <si>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</si>
  <si>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</si>
  <si>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</si>
  <si>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</si>
  <si>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</si>
  <si>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</si>
  <si>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</si>
  <si>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</si>
  <si>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</si>
  <si>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</si>
  <si>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</si>
  <si>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</si>
  <si>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</si>
  <si>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</si>
  <si>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</si>
  <si>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</si>
  <si>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</si>
  <si>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</si>
  <si>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</si>
  <si>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</si>
  <si>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</si>
  <si>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</si>
  <si>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</si>
  <si>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</si>
  <si>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</si>
  <si>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</si>
  <si>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</si>
  <si>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</si>
  <si>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</si>
  <si>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</si>
  <si>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</si>
  <si>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</si>
  <si>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</si>
  <si>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</si>
  <si>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</si>
  <si>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</si>
  <si>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</si>
  <si>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</si>
  <si>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</si>
  <si>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</si>
  <si>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</si>
  <si>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</si>
  <si>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</si>
  <si>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</si>
  <si>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</si>
  <si>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</si>
  <si>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</si>
  <si>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</si>
  <si>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</si>
  <si>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</si>
  <si>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</si>
  <si>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</si>
  <si>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</si>
  <si>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</si>
  <si>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</si>
  <si>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</si>
  <si>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</si>
  <si>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</si>
  <si>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</si>
  <si>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</si>
  <si>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</si>
  <si>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</si>
  <si>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</si>
  <si>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</si>
  <si>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</si>
  <si>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</si>
  <si>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</si>
  <si>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</si>
  <si>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</si>
  <si>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</si>
  <si>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</si>
  <si>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</si>
  <si>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</si>
  <si>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</si>
  <si>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</si>
  <si>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</si>
  <si>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</si>
  <si>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</si>
  <si>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</si>
  <si>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</si>
  <si>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</si>
  <si>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</si>
  <si>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</si>
  <si>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</si>
  <si>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</si>
  <si>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</si>
  <si>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</si>
  <si>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</si>
  <si>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</si>
  <si>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</si>
  <si>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</si>
  <si>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</si>
  <si>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</si>
  <si>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</si>
  <si>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</si>
  <si>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</si>
  <si>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</si>
  <si>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</si>
  <si>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</si>
  <si>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</si>
  <si>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</si>
  <si>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</si>
  <si>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</si>
  <si>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</si>
  <si>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</si>
  <si>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</si>
  <si>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</si>
  <si>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</si>
  <si>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</si>
  <si>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</si>
  <si>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</si>
  <si>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</si>
  <si>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</si>
  <si>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</si>
  <si>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</si>
  <si>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</si>
  <si>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</si>
  <si>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</si>
  <si>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</si>
  <si>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</si>
  <si>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</si>
  <si>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</si>
  <si>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</si>
  <si>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</si>
  <si>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</si>
  <si>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</si>
  <si>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</si>
  <si>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</si>
  <si>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</si>
  <si>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</si>
  <si>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</si>
  <si>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</si>
  <si>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</si>
  <si>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</si>
  <si>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</si>
  <si>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</si>
  <si>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</si>
  <si>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</si>
  <si>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</si>
  <si>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</si>
  <si>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</si>
  <si>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</si>
  <si>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</si>
  <si>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</si>
  <si>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</si>
  <si>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</si>
  <si>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</si>
  <si>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</si>
  <si>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</si>
  <si>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</si>
  <si>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</si>
  <si>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</si>
  <si>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</si>
  <si>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</si>
  <si>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</si>
  <si>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</si>
  <si>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</si>
  <si>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</si>
  <si>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</si>
  <si>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</si>
  <si>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</si>
  <si>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</si>
  <si>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</si>
  <si>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</si>
  <si>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</si>
  <si>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</si>
  <si>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</si>
  <si>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</si>
  <si>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</si>
  <si>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</si>
  <si>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</si>
  <si>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</si>
  <si>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</si>
  <si>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</si>
  <si>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</si>
  <si>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</si>
  <si>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</si>
  <si>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</si>
  <si>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</si>
  <si>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</si>
  <si>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</si>
  <si>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</si>
  <si>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</si>
  <si>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</si>
  <si>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</si>
  <si>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</si>
  <si>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</si>
  <si>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</si>
  <si>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</si>
  <si>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</si>
  <si>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</si>
  <si>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</si>
  <si>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</si>
  <si>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</si>
  <si>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</si>
  <si>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</si>
  <si>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</si>
  <si>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</si>
  <si>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</si>
  <si>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</si>
  <si>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</si>
  <si>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</si>
  <si>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</si>
  <si>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</si>
  <si>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</si>
  <si>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</si>
  <si>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</si>
  <si>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</si>
  <si>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</si>
  <si>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</si>
  <si>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</si>
  <si>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</si>
  <si>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</si>
  <si>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</si>
  <si>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</si>
  <si>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</si>
  <si>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</si>
  <si>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</si>
  <si>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</si>
  <si>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</si>
  <si>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</si>
  <si>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</si>
  <si>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</si>
  <si>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</si>
  <si>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</si>
  <si>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</si>
  <si>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</si>
  <si>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</si>
  <si>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</si>
  <si>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</si>
  <si>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</si>
  <si>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</si>
  <si>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</si>
  <si>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</si>
  <si>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</si>
  <si>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</si>
  <si>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</si>
  <si>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</si>
  <si>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</si>
  <si>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</si>
  <si>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</si>
  <si>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</si>
  <si>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</si>
  <si>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</si>
  <si>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</si>
  <si>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</si>
  <si>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</si>
  <si>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</si>
  <si>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</si>
  <si>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</si>
  <si>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</si>
  <si>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</si>
  <si>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</si>
  <si>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</si>
  <si>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</si>
  <si>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</si>
  <si>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</si>
  <si>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</si>
  <si>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</si>
  <si>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</si>
  <si>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</si>
  <si>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</si>
  <si>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</si>
  <si>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</si>
  <si>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</si>
  <si>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</si>
  <si>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</si>
  <si>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</si>
  <si>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</si>
  <si>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</si>
  <si>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</si>
  <si>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</si>
  <si>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</si>
  <si>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</si>
  <si>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</si>
  <si>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</si>
  <si>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</si>
  <si>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</si>
  <si>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</si>
  <si>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</si>
  <si>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</si>
  <si>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</si>
  <si>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</si>
  <si>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</si>
  <si>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</si>
  <si>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</si>
  <si>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</si>
  <si>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</si>
  <si>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</si>
  <si>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</si>
  <si>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</si>
  <si>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</si>
  <si>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</si>
  <si>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</si>
  <si>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</si>
  <si>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</si>
  <si>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</si>
  <si>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</si>
  <si>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</si>
  <si>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</si>
  <si>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</si>
  <si>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</si>
  <si>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</si>
  <si>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</si>
  <si>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</si>
  <si>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</si>
  <si>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</si>
  <si>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</si>
  <si>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</si>
  <si>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</si>
  <si>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</si>
  <si>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</si>
  <si>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</si>
  <si>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</si>
  <si>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</si>
  <si>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</si>
  <si>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</si>
  <si>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</si>
  <si>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</si>
  <si>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</si>
  <si>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</si>
  <si>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</si>
  <si>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</si>
  <si>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</si>
  <si>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</si>
  <si>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</si>
  <si>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</si>
  <si>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</si>
  <si>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</si>
  <si>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</si>
  <si>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</si>
  <si>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</si>
  <si>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</si>
  <si>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</si>
  <si>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</si>
  <si>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</si>
  <si>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</si>
  <si>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</si>
  <si>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</si>
  <si>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</si>
  <si>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</si>
  <si>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</si>
  <si>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</si>
  <si>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</si>
  <si>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</si>
  <si>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</si>
  <si>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</si>
  <si>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</si>
  <si>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</si>
  <si>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</si>
  <si>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</si>
  <si>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</si>
  <si>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</si>
  <si>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</si>
  <si>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</si>
  <si>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</si>
  <si>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</si>
  <si>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</si>
  <si>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</si>
  <si>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</si>
  <si>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</si>
  <si>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</si>
  <si>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</si>
  <si>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</si>
  <si>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</si>
  <si>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</si>
  <si>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</si>
  <si>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</si>
  <si>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</si>
  <si>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</si>
  <si>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</si>
  <si>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</si>
  <si>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</si>
  <si>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</si>
  <si>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</si>
  <si>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</si>
  <si>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</si>
  <si>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</si>
  <si>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</si>
  <si>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</si>
  <si>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</si>
  <si>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</si>
  <si>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</si>
  <si>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</si>
  <si>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</si>
  <si>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</si>
  <si>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</si>
  <si>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</si>
  <si>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</si>
  <si>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</si>
  <si>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</si>
  <si>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</si>
  <si>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</si>
  <si>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</si>
  <si>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</si>
  <si>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</si>
  <si>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</si>
  <si>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</si>
  <si>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</si>
  <si>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</si>
  <si>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</si>
  <si>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</si>
  <si>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</si>
  <si>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</si>
  <si>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</si>
  <si>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</si>
  <si>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</si>
  <si>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</si>
  <si>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</si>
  <si>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</si>
  <si>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</si>
  <si>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</si>
  <si>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</si>
  <si>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</si>
  <si>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</si>
  <si>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</si>
  <si>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</si>
  <si>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</si>
  <si>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</si>
  <si>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</si>
  <si>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</si>
  <si>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</si>
  <si>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</si>
  <si>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</si>
  <si>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</si>
  <si>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</si>
  <si>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</si>
  <si>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</si>
  <si>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</si>
  <si>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</si>
  <si>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</si>
  <si>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</si>
  <si>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</si>
  <si>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</si>
  <si>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</si>
  <si>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</si>
  <si>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</si>
  <si>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</si>
  <si>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</si>
  <si>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</si>
  <si>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</si>
  <si>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</si>
  <si>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</si>
  <si>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</si>
  <si>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</si>
  <si>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</si>
  <si>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</si>
  <si>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</si>
  <si>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</si>
  <si>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</si>
  <si>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</si>
  <si>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</si>
  <si>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</si>
  <si>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</si>
  <si>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</si>
  <si>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</si>
  <si>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</si>
  <si>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</si>
  <si>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</si>
  <si>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</si>
  <si>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</si>
  <si>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</si>
  <si>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</si>
  <si>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</si>
  <si>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</si>
  <si>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</si>
  <si>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</si>
  <si>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</si>
  <si>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</si>
  <si>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</si>
  <si>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</si>
  <si>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</si>
  <si>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</si>
  <si>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</si>
  <si>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</si>
  <si>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</si>
  <si>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</si>
  <si>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</si>
  <si>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</si>
  <si>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</si>
  <si>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</si>
  <si>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</si>
  <si>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</si>
  <si>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</si>
  <si>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</si>
  <si>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</si>
  <si>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</si>
  <si>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</si>
  <si>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</si>
  <si>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</si>
  <si>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</si>
  <si>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</si>
  <si>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</si>
  <si>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</si>
  <si>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</si>
  <si>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</si>
  <si>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</si>
  <si>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</si>
  <si>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</si>
  <si>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</si>
  <si>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</si>
  <si>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</si>
  <si>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</si>
  <si>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</si>
  <si>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</si>
  <si>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</si>
  <si>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</si>
  <si>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</si>
  <si>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</si>
  <si>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</si>
  <si>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</si>
  <si>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</si>
  <si>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</si>
  <si>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</si>
  <si>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</si>
  <si>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</si>
  <si>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</si>
  <si>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</si>
  <si>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</si>
  <si>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</si>
  <si>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</si>
  <si>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</si>
  <si>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</si>
  <si>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</si>
  <si>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</si>
  <si>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</si>
  <si>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</si>
  <si>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</si>
  <si>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</si>
  <si>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</si>
  <si>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</si>
  <si>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</si>
  <si>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</si>
  <si>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</si>
  <si>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</si>
  <si>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</si>
  <si>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</si>
  <si>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</si>
  <si>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</si>
  <si>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</si>
  <si>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</si>
  <si>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</si>
  <si>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</si>
  <si>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</si>
  <si>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</si>
  <si>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</si>
  <si>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</si>
  <si>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</si>
  <si>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</si>
  <si>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</si>
  <si>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</si>
  <si>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</si>
  <si>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</si>
  <si>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</si>
  <si>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</si>
  <si>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</si>
  <si>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</si>
  <si>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</si>
  <si>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</si>
  <si>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</si>
  <si>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</si>
  <si>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</si>
  <si>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</si>
  <si>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</si>
  <si>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</si>
  <si>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</si>
  <si>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</si>
  <si>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</si>
  <si>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</si>
  <si>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</si>
  <si>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</si>
  <si>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</si>
  <si>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</si>
  <si>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</si>
  <si>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</si>
  <si>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</si>
  <si>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</si>
  <si>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</si>
  <si>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</si>
  <si>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</si>
  <si>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</si>
  <si>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</si>
  <si>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</si>
  <si>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</si>
  <si>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</si>
  <si>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</si>
  <si>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</si>
  <si>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</si>
  <si>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</si>
  <si>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</si>
  <si>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</si>
  <si>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</si>
  <si>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</si>
  <si>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</si>
  <si>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</si>
  <si>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</si>
  <si>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</si>
  <si>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</si>
  <si>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</si>
  <si>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</si>
  <si>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</si>
  <si>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</si>
  <si>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</si>
  <si>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</si>
  <si>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</si>
  <si>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</si>
  <si>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</si>
  <si>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</si>
  <si>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</si>
  <si>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</si>
  <si>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</si>
  <si>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</si>
  <si>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</si>
  <si>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</si>
  <si>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</si>
  <si>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</si>
  <si>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</si>
  <si>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</si>
  <si>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</si>
  <si>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</si>
  <si>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</si>
  <si>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</si>
  <si>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</si>
  <si>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</si>
  <si>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</si>
  <si>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</si>
  <si>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</si>
  <si>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</si>
  <si>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</si>
  <si>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</si>
  <si>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</si>
  <si>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</si>
  <si>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</si>
  <si>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</si>
  <si>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</si>
  <si>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</si>
  <si>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</si>
  <si>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</si>
  <si>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</si>
  <si>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</si>
  <si>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</si>
  <si>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</si>
  <si>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</si>
  <si>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</si>
  <si>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</si>
  <si>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</si>
  <si>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</si>
  <si>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</si>
  <si>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</si>
  <si>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</si>
  <si>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</si>
  <si>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</si>
  <si>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</si>
  <si>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</si>
  <si>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</si>
  <si>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</si>
  <si>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</si>
  <si>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</si>
  <si>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</si>
  <si>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</si>
  <si>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</si>
  <si>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</si>
  <si>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</si>
  <si>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</si>
  <si>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</si>
  <si>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</si>
  <si>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</si>
  <si>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</si>
  <si>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</si>
  <si>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</si>
  <si>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</si>
  <si>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</si>
  <si>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</si>
  <si>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</si>
  <si>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</si>
  <si>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</si>
  <si>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</si>
  <si>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</si>
  <si>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</si>
  <si>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</si>
  <si>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</si>
  <si>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</si>
  <si>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</si>
  <si>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</si>
  <si>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</si>
  <si>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</si>
  <si>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</si>
  <si>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</si>
  <si>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</si>
  <si>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</si>
  <si>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</si>
  <si>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</si>
  <si>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</si>
  <si>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</si>
  <si>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</si>
  <si>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</si>
  <si>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</si>
  <si>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</si>
  <si>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</si>
  <si>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</si>
  <si>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</si>
  <si>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</si>
  <si>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</si>
  <si>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</si>
  <si>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</si>
  <si>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</si>
  <si>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</si>
  <si>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</si>
  <si>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</si>
  <si>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</si>
  <si>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</si>
  <si>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</si>
  <si>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</si>
  <si>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</si>
  <si>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</si>
  <si>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</si>
  <si>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</si>
  <si>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</si>
  <si>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</si>
  <si>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</si>
  <si>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</si>
  <si>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</si>
  <si>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</si>
  <si>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</si>
  <si>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</si>
  <si>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</si>
  <si>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</si>
  <si>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</si>
  <si>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</si>
  <si>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</si>
  <si>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</si>
  <si>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</si>
  <si>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</si>
  <si>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</si>
  <si>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</si>
  <si>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</si>
  <si>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</si>
  <si>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</si>
  <si>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</si>
  <si>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</si>
  <si>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</si>
  <si>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</si>
  <si>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</si>
  <si>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</si>
  <si>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</si>
  <si>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</si>
  <si>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</si>
  <si>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</si>
  <si>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</si>
  <si>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</si>
  <si>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</si>
  <si>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</si>
  <si>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</si>
  <si>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</si>
  <si>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</si>
  <si>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</si>
  <si>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</si>
  <si>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</si>
  <si>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</si>
  <si>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</si>
  <si>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</si>
  <si>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</si>
  <si>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</si>
  <si>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</si>
  <si>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</si>
  <si>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</si>
  <si>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</si>
  <si>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</si>
  <si>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</si>
  <si>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</si>
  <si>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</si>
  <si>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</si>
  <si>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</si>
  <si>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</si>
  <si>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</si>
  <si>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</si>
  <si>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</si>
  <si>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</si>
  <si>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</si>
  <si>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</si>
  <si>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</si>
  <si>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</si>
  <si>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</si>
  <si>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</si>
  <si>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</si>
  <si>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</si>
  <si>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</si>
  <si>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</si>
  <si>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</si>
  <si>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</si>
  <si>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</si>
  <si>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</si>
  <si>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</si>
  <si>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</si>
  <si>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</si>
  <si>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</si>
  <si>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</si>
  <si>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</si>
  <si>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</si>
  <si>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</si>
  <si>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</si>
  <si>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</si>
  <si>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</si>
  <si>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</si>
  <si>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</si>
  <si>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</si>
  <si>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</si>
  <si>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</si>
  <si>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</si>
  <si>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</si>
  <si>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</si>
  <si>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</si>
  <si>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</si>
  <si>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</si>
  <si>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</si>
  <si>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</si>
  <si>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</si>
  <si>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</si>
  <si>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</si>
  <si>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</si>
  <si>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</si>
  <si>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</si>
  <si>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</si>
  <si>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</si>
  <si>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</si>
  <si>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</si>
  <si>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</si>
  <si>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</si>
  <si>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</si>
  <si>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</si>
  <si>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</si>
  <si>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</si>
  <si>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</si>
  <si>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</si>
  <si>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</si>
  <si>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</si>
  <si>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</si>
  <si>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</si>
  <si>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</si>
  <si>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</si>
  <si>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</si>
  <si>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</si>
  <si>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</si>
  <si>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</si>
  <si>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</si>
  <si>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</si>
  <si>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</si>
  <si>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</si>
  <si>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</si>
  <si>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</si>
  <si>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</si>
  <si>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</si>
  <si>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</si>
  <si>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</si>
  <si>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</si>
  <si>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</si>
  <si>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</si>
  <si>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</si>
  <si>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</si>
  <si>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</si>
  <si>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</si>
  <si>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</si>
  <si>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</si>
  <si>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</si>
  <si>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</si>
  <si>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</si>
  <si>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</si>
  <si>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</si>
  <si>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</si>
  <si>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</si>
  <si>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</si>
  <si>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</si>
  <si>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</si>
  <si>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</si>
  <si>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</si>
  <si>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</si>
  <si>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</si>
  <si>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</si>
  <si>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</si>
  <si>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</si>
  <si>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</si>
  <si>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</si>
  <si>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</si>
  <si>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</si>
  <si>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</si>
  <si>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</si>
  <si>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</si>
  <si>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</si>
  <si>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</si>
  <si>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</si>
  <si>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</si>
  <si>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</si>
  <si>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</si>
  <si>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</si>
  <si>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</si>
  <si>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</si>
  <si>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</si>
  <si>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</si>
  <si>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</si>
  <si>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</si>
  <si>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</si>
  <si>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</si>
  <si>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</si>
  <si>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</si>
  <si>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</si>
  <si>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</si>
  <si>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</si>
  <si>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</si>
  <si>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</si>
  <si>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</si>
  <si>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</si>
  <si>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</si>
  <si>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</si>
  <si>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</si>
  <si>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</si>
  <si>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</si>
  <si>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</si>
  <si>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</si>
  <si>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</si>
  <si>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</si>
  <si>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</si>
  <si>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</si>
  <si>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</si>
  <si>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</si>
  <si>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</si>
  <si>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</si>
  <si>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</si>
  <si>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</si>
  <si>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</si>
  <si>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</si>
  <si>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</si>
  <si>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</si>
  <si>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</si>
  <si>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</si>
  <si>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</si>
  <si>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</si>
  <si>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</si>
  <si>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</si>
  <si>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</si>
  <si>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</si>
  <si>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</si>
  <si>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</si>
  <si>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</si>
  <si>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</si>
  <si>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</si>
  <si>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</si>
  <si>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</si>
  <si>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</si>
  <si>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</si>
  <si>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</si>
  <si>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</si>
  <si>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</si>
  <si>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</si>
  <si>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</si>
  <si>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</si>
  <si>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</si>
  <si>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</si>
  <si>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</si>
  <si>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</si>
  <si>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</si>
  <si>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</si>
  <si>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</si>
  <si>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</si>
  <si>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</si>
  <si>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</si>
  <si>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</si>
  <si>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</si>
  <si>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</si>
  <si>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</si>
  <si>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</si>
  <si>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</si>
  <si>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</si>
  <si>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</si>
  <si>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</si>
  <si>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</si>
  <si>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</si>
  <si>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</si>
  <si>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</si>
  <si>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</si>
  <si>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</si>
  <si>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</si>
  <si>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</si>
  <si>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</si>
  <si>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</si>
  <si>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</si>
  <si>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</si>
  <si>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</si>
  <si>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</si>
  <si>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</si>
  <si>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</si>
  <si>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</si>
  <si>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</si>
  <si>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</si>
  <si>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</si>
  <si>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</si>
  <si>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</si>
  <si>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</si>
  <si>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</si>
  <si>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</si>
  <si>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</si>
  <si>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</si>
  <si>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</si>
  <si>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</si>
  <si>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</si>
  <si>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</si>
  <si>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</si>
  <si>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</si>
  <si>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</si>
  <si>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</si>
  <si>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</si>
  <si>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</si>
  <si>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</si>
  <si>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</si>
  <si>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</si>
  <si>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</si>
  <si>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</si>
  <si>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</si>
  <si>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</si>
  <si>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</si>
  <si>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</si>
  <si>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</si>
  <si>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</si>
  <si>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</si>
  <si>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</si>
  <si>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</si>
  <si>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</si>
  <si>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</si>
  <si>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</si>
  <si>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</si>
  <si>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</si>
  <si>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</si>
  <si>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</si>
  <si>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</si>
  <si>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</si>
  <si>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</si>
  <si>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</si>
  <si>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</si>
  <si>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</si>
  <si>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</si>
  <si>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</si>
  <si>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</si>
  <si>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</si>
  <si>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</si>
  <si>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</si>
  <si>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</si>
  <si>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</si>
  <si>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</si>
  <si>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</si>
  <si>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</si>
  <si>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</si>
  <si>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</si>
  <si>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</si>
  <si>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</si>
  <si>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</si>
  <si>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</si>
  <si>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</si>
  <si>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</si>
  <si>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</si>
  <si>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</si>
  <si>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</si>
  <si>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</si>
  <si>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</si>
  <si>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</si>
  <si>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</si>
  <si>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</si>
  <si>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</si>
  <si>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</si>
  <si>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</si>
  <si>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</si>
  <si>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</si>
  <si>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</si>
  <si>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</si>
  <si>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</si>
  <si>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</si>
  <si>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</si>
  <si>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</si>
  <si>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</si>
  <si>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</si>
  <si>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</si>
  <si>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</si>
  <si>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</si>
  <si>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</si>
  <si>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</si>
  <si>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</si>
  <si>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</si>
  <si>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</si>
  <si>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</si>
  <si>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</si>
  <si>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</si>
  <si>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</si>
  <si>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</si>
  <si>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</si>
  <si>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</si>
  <si>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</si>
  <si>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</si>
  <si>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</si>
  <si>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</si>
  <si>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</si>
  <si>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</si>
  <si>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</si>
  <si>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</si>
  <si>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</si>
  <si>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</si>
  <si>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</si>
  <si>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</si>
  <si>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</si>
  <si>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</si>
  <si>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</si>
  <si>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</si>
  <si>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</si>
  <si>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</si>
  <si>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</si>
  <si>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</si>
  <si>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</si>
  <si>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</si>
  <si>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</si>
  <si>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</si>
  <si>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</si>
  <si>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</si>
  <si>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</si>
  <si>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</si>
  <si>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</si>
  <si>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</si>
  <si>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</si>
  <si>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</si>
  <si>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</si>
  <si>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</si>
  <si>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</si>
  <si>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</si>
  <si>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</si>
  <si>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</si>
  <si>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</si>
  <si>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</si>
  <si>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</si>
  <si>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</si>
  <si>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</si>
  <si>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</si>
  <si>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</si>
  <si>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</si>
  <si>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</si>
  <si>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</si>
  <si>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</si>
  <si>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</si>
  <si>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</si>
  <si>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</si>
  <si>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</si>
  <si>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</si>
  <si>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</si>
  <si>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</si>
  <si>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</si>
  <si>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</si>
  <si>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</si>
  <si>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</si>
  <si>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</si>
  <si>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</si>
  <si>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</si>
  <si>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</si>
  <si>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</si>
  <si>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</si>
  <si>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</si>
  <si>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</si>
  <si>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</si>
  <si>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</si>
  <si>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</si>
  <si>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</si>
  <si>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</si>
  <si>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</si>
  <si>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</si>
  <si>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</si>
  <si>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</si>
  <si>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</si>
  <si>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</si>
  <si>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</si>
  <si>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</si>
  <si>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</si>
  <si>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</si>
  <si>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</si>
  <si>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</si>
  <si>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</si>
  <si>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</si>
  <si>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</si>
  <si>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</si>
  <si>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</si>
  <si>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</si>
  <si>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</si>
  <si>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</si>
  <si>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</si>
  <si>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</si>
  <si>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</si>
  <si>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</si>
  <si>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</si>
  <si>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</si>
  <si>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</si>
  <si>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</si>
  <si>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</si>
  <si>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</si>
  <si>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</si>
  <si>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</si>
  <si>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</si>
  <si>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</si>
  <si>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</si>
  <si>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</si>
  <si>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</si>
  <si>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</si>
  <si>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</si>
  <si>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</si>
  <si>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</si>
  <si>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</si>
  <si>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</si>
  <si>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</si>
  <si>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</si>
  <si>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</si>
  <si>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</si>
  <si>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</si>
  <si>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</si>
  <si>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</si>
  <si>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</si>
  <si>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</si>
  <si>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</si>
  <si>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</si>
  <si>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</si>
  <si>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</si>
  <si>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</si>
  <si>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</si>
  <si>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</si>
  <si>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</si>
  <si>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</si>
  <si>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</si>
  <si>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</si>
  <si>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</si>
  <si>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</si>
  <si>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</si>
  <si>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</si>
  <si>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</si>
  <si>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</si>
  <si>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</si>
  <si>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</si>
  <si>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</si>
  <si>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</si>
  <si>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</si>
  <si>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</si>
  <si>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</si>
  <si>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</si>
  <si>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</si>
  <si>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</si>
  <si>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</si>
  <si>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</si>
  <si>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</si>
  <si>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</si>
  <si>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</si>
  <si>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</si>
  <si>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</si>
  <si>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</si>
  <si>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</si>
  <si>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</si>
  <si>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</si>
  <si>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</si>
  <si>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</si>
  <si>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</si>
  <si>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</si>
  <si>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</si>
  <si>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</si>
  <si>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</si>
  <si>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</si>
  <si>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</si>
  <si>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</si>
  <si>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</si>
  <si>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</si>
  <si>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</si>
  <si>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</si>
  <si>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</si>
  <si>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</si>
  <si>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</si>
  <si>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</si>
  <si>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</si>
  <si>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</si>
  <si>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</si>
  <si>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</si>
  <si>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</si>
  <si>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</si>
  <si>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</si>
  <si>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</si>
  <si>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</si>
  <si>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</si>
  <si>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</si>
  <si>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</si>
  <si>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</si>
  <si>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</si>
  <si>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</si>
  <si>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</si>
  <si>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</si>
  <si>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</si>
  <si>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</si>
  <si>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</si>
  <si>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</si>
  <si>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</si>
  <si>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</si>
  <si>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</si>
  <si>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</si>
  <si>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</si>
  <si>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</si>
  <si>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</si>
  <si>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</si>
  <si>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</si>
  <si>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</si>
  <si>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</si>
  <si>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</si>
  <si>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</si>
  <si>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</si>
  <si>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</si>
  <si>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</si>
  <si>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</si>
  <si>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</si>
  <si>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</si>
  <si>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</si>
  <si>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</si>
  <si>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</si>
  <si>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</si>
  <si>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</si>
  <si>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</si>
  <si>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</si>
  <si>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</si>
  <si>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</si>
  <si>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</si>
  <si>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</si>
  <si>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</si>
  <si>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</si>
  <si>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</si>
  <si>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</si>
  <si>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</si>
  <si>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</si>
  <si>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</si>
  <si>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</si>
  <si>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</si>
  <si>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</si>
  <si>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</si>
  <si>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</si>
  <si>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</si>
  <si>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</si>
  <si>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</si>
  <si>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</si>
  <si>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</si>
  <si>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</si>
  <si>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</si>
  <si>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</si>
  <si>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</si>
  <si>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</si>
  <si>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</si>
  <si>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</si>
  <si>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</si>
  <si>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</si>
  <si>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</si>
  <si>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</si>
  <si>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</si>
  <si>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</si>
  <si>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</si>
  <si>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</si>
  <si>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</si>
  <si>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</si>
  <si>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</si>
  <si>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</si>
  <si>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</si>
  <si>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</si>
  <si>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</si>
  <si>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</si>
  <si>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</si>
  <si>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</si>
  <si>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</si>
  <si>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</si>
  <si>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</si>
  <si>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</si>
  <si>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</si>
  <si>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</si>
  <si>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</si>
  <si>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</si>
  <si>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</si>
  <si>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</si>
  <si>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</si>
  <si>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</si>
  <si>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</si>
  <si>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</si>
  <si>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</si>
  <si>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</si>
  <si>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</si>
  <si>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</si>
  <si>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</si>
  <si>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</si>
  <si>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</si>
  <si>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</si>
  <si>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</si>
  <si>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</si>
  <si>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</si>
  <si>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</si>
  <si>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</si>
  <si>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</si>
  <si>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</si>
  <si>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</si>
  <si>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</si>
  <si>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</si>
  <si>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</si>
  <si>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</si>
  <si>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</si>
  <si>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</si>
  <si>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</si>
  <si>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</si>
  <si>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</si>
  <si>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</si>
  <si>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</si>
  <si>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</si>
  <si>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</si>
  <si>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</si>
  <si>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</si>
  <si>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</si>
  <si>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</si>
  <si>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</si>
  <si>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</si>
  <si>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</si>
  <si>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</si>
  <si>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</si>
  <si>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</si>
  <si>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</si>
  <si>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</si>
  <si>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</si>
  <si>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</si>
  <si>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</si>
  <si>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</si>
  <si>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</si>
  <si>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</si>
  <si>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</si>
  <si>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</si>
  <si>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</si>
  <si>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</si>
  <si>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</si>
  <si>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</si>
  <si>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</si>
  <si>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</si>
  <si>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</si>
  <si>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</si>
  <si>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</si>
  <si>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</si>
  <si>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</si>
  <si>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</si>
  <si>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</si>
  <si>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</si>
  <si>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</si>
  <si>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</si>
  <si>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</si>
  <si>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</si>
  <si>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</si>
  <si>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</si>
  <si>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</si>
  <si>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</si>
  <si>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</si>
  <si>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</si>
  <si>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</si>
  <si>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</si>
  <si>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</si>
  <si>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</si>
  <si>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</si>
  <si>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</si>
  <si>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</si>
  <si>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</si>
  <si>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</si>
  <si>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</si>
  <si>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</si>
  <si>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</si>
  <si>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</si>
  <si>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</si>
  <si>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</si>
  <si>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</si>
  <si>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</si>
  <si>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</si>
  <si>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</si>
  <si>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</si>
  <si>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</si>
  <si>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</si>
  <si>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</si>
  <si>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</si>
  <si>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</si>
  <si>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</si>
  <si>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</si>
  <si>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</si>
  <si>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</si>
  <si>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</si>
  <si>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</si>
  <si>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</si>
  <si>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</si>
  <si>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</si>
  <si>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</si>
  <si>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</si>
  <si>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</si>
  <si>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</si>
  <si>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</si>
  <si>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</si>
  <si>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</si>
  <si>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</si>
  <si>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</si>
  <si>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</si>
  <si>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</si>
  <si>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</si>
  <si>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</si>
  <si>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</si>
  <si>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</si>
  <si>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</si>
  <si>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</si>
  <si>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</si>
  <si>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</si>
  <si>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</si>
  <si>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</si>
  <si>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</si>
  <si>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</si>
  <si>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</si>
  <si>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</si>
  <si>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</si>
  <si>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</si>
  <si>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</si>
  <si>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</si>
  <si>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</si>
  <si>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</si>
  <si>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</si>
  <si>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</si>
  <si>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</si>
  <si>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</si>
  <si>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</si>
  <si>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</si>
  <si>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</si>
  <si>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</si>
  <si>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</si>
  <si>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</si>
  <si>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</si>
  <si>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</si>
  <si>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</si>
  <si>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</si>
  <si>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</si>
  <si>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</si>
  <si>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</si>
  <si>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</si>
  <si>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</si>
  <si>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</si>
  <si>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</si>
  <si>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</si>
  <si>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</si>
  <si>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</si>
  <si>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</si>
  <si>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</si>
  <si>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</si>
  <si>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</si>
  <si>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</si>
  <si>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</si>
  <si>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</si>
  <si>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</si>
  <si>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</si>
  <si>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</si>
  <si>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</si>
  <si>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</si>
  <si>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</si>
  <si>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</si>
  <si>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</si>
  <si>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</si>
  <si>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</si>
  <si>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</si>
  <si>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</si>
  <si>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</si>
  <si>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</si>
  <si>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</si>
  <si>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</si>
  <si>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</si>
  <si>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</si>
  <si>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</si>
  <si>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</si>
  <si>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</si>
  <si>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</si>
  <si>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</si>
  <si>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</si>
  <si>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</si>
  <si>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</si>
  <si>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</si>
  <si>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</si>
  <si>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</si>
  <si>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</si>
  <si>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</si>
  <si>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</si>
  <si>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</si>
  <si>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</si>
  <si>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</si>
  <si>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</si>
  <si>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</si>
  <si>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</si>
  <si>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</si>
  <si>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</si>
  <si>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</si>
  <si>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</si>
  <si>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</si>
  <si>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</si>
  <si>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</si>
  <si>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</si>
  <si>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</si>
  <si>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</si>
  <si>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</si>
  <si>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</si>
  <si>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</si>
  <si>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</si>
  <si>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</si>
  <si>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</si>
  <si>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</si>
  <si>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</si>
  <si>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</si>
  <si>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</si>
  <si>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</si>
  <si>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</si>
  <si>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</si>
  <si>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</si>
  <si>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</si>
  <si>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</si>
  <si>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</si>
  <si>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</si>
  <si>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</si>
  <si>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</si>
  <si>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</si>
  <si>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</si>
  <si>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</si>
  <si>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</si>
  <si>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</si>
  <si>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</si>
  <si>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</si>
  <si>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</si>
  <si>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</si>
  <si>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</si>
  <si>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</si>
  <si>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</si>
  <si>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</si>
  <si>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</si>
  <si>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</si>
  <si>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</si>
  <si>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</si>
  <si>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</si>
  <si>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</si>
  <si>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</si>
  <si>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</si>
  <si>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</si>
  <si>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</si>
  <si>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</si>
  <si>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</si>
  <si>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</si>
  <si>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</si>
  <si>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</si>
  <si>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</si>
  <si>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</si>
  <si>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</si>
  <si>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</si>
  <si>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</si>
  <si>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</si>
  <si>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</si>
  <si>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</si>
  <si>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</si>
  <si>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</si>
  <si>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</si>
  <si>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</si>
  <si>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</si>
  <si>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</si>
  <si>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</si>
  <si>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</si>
  <si>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</si>
  <si>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</si>
  <si>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</si>
  <si>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</si>
  <si>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</si>
  <si>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</si>
  <si>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</si>
  <si>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</si>
  <si>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</si>
  <si>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</si>
  <si>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</si>
  <si>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</si>
  <si>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</si>
  <si>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</si>
  <si>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</si>
  <si>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</si>
  <si>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</si>
  <si>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</si>
  <si>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</si>
  <si>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</si>
  <si>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</si>
  <si>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</si>
  <si>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</si>
  <si>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</si>
  <si>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</si>
  <si>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</si>
  <si>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</si>
  <si>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</si>
  <si>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</si>
  <si>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</si>
  <si>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</si>
  <si>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</si>
  <si>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</si>
  <si>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</si>
  <si>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</si>
  <si>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</si>
  <si>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</si>
  <si>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</si>
  <si>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</si>
  <si>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</si>
  <si>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</si>
  <si>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</si>
  <si>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</si>
  <si>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</si>
  <si>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</si>
  <si>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</si>
  <si>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</si>
  <si>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</si>
  <si>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</si>
  <si>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</si>
  <si>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</si>
  <si>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</si>
  <si>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</si>
  <si>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</si>
  <si>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</si>
  <si>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</si>
  <si>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</si>
  <si>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</si>
  <si>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</si>
  <si>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</si>
  <si>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</si>
  <si>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</si>
  <si>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</si>
  <si>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</si>
  <si>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</si>
  <si>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</si>
  <si>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</si>
  <si>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</si>
  <si>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</si>
  <si>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</si>
  <si>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</si>
  <si>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</si>
  <si>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</si>
  <si>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</si>
  <si>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</si>
  <si>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</si>
  <si>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</si>
  <si>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</si>
  <si>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</si>
  <si>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</si>
  <si>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</si>
  <si>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</si>
  <si>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</si>
  <si>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</si>
  <si>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</si>
  <si>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</si>
  <si>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</si>
  <si>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</si>
  <si>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</si>
  <si>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</si>
  <si>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</si>
  <si>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</si>
  <si>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</si>
  <si>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</si>
  <si>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</si>
  <si>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</si>
  <si>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</si>
  <si>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</si>
  <si>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</si>
  <si>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</si>
  <si>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</si>
  <si>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</si>
  <si>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</si>
  <si>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</si>
  <si>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</si>
  <si>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</si>
  <si>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</si>
  <si>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</si>
  <si>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</si>
  <si>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</si>
  <si>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</si>
  <si>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</si>
  <si>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</si>
  <si>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</si>
  <si>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</si>
  <si>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</si>
  <si>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</si>
  <si>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</si>
  <si>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</si>
  <si>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现房</t>
  </si>
  <si>
    <t>是</t>
  </si>
  <si>
    <t>地上</t>
  </si>
  <si>
    <t>成新度</t>
  </si>
  <si>
    <t>收益法 (元)</t>
  </si>
  <si>
    <t>售价</t>
  </si>
  <si>
    <t>建成年代</t>
    <phoneticPr fontId="3" type="noConversion"/>
  </si>
  <si>
    <t>押一</t>
  </si>
  <si>
    <t>钢混</t>
  </si>
  <si>
    <t>非生产用房</t>
  </si>
  <si>
    <t>否</t>
  </si>
  <si>
    <t>未包含在土地购买价格中</t>
  </si>
  <si>
    <t>已包含在土地取得成本中</t>
  </si>
  <si>
    <t>自定义容积率</t>
  </si>
  <si>
    <t>与级别开发程度不一致</t>
  </si>
  <si>
    <t>通路</t>
  </si>
  <si>
    <t>通电</t>
  </si>
  <si>
    <t>通讯</t>
  </si>
  <si>
    <t>通上水</t>
  </si>
  <si>
    <t>通下水</t>
  </si>
  <si>
    <t>通热</t>
  </si>
  <si>
    <t>平整</t>
  </si>
  <si>
    <t>较好</t>
  </si>
  <si>
    <t>较差</t>
  </si>
  <si>
    <t>一般</t>
  </si>
  <si>
    <t>差</t>
  </si>
  <si>
    <t>好</t>
  </si>
  <si>
    <t>楼面单价</t>
  </si>
  <si>
    <t>自定义</t>
  </si>
  <si>
    <t>正常</t>
  </si>
  <si>
    <t>区间</t>
    <phoneticPr fontId="8" type="noConversion"/>
  </si>
  <si>
    <t>独栋</t>
    <phoneticPr fontId="31" type="noConversion"/>
  </si>
  <si>
    <t>平层</t>
    <phoneticPr fontId="31" type="noConversion"/>
  </si>
  <si>
    <t>钢混</t>
    <phoneticPr fontId="31" type="noConversion"/>
  </si>
  <si>
    <t>精装</t>
  </si>
  <si>
    <t>精装</t>
    <phoneticPr fontId="31" type="noConversion"/>
  </si>
  <si>
    <t>乙</t>
    <phoneticPr fontId="31" type="noConversion"/>
  </si>
  <si>
    <t>专业</t>
  </si>
  <si>
    <t>专业</t>
    <phoneticPr fontId="31" type="noConversion"/>
  </si>
  <si>
    <t>七通</t>
  </si>
  <si>
    <t>六通</t>
  </si>
  <si>
    <t>五通</t>
  </si>
  <si>
    <t>四通</t>
  </si>
  <si>
    <t>三通</t>
  </si>
  <si>
    <t>简装</t>
    <phoneticPr fontId="31" type="noConversion"/>
  </si>
  <si>
    <t>毛坯</t>
    <phoneticPr fontId="31" type="noConversion"/>
  </si>
  <si>
    <t>吴薇</t>
  </si>
  <si>
    <t>独栋</t>
  </si>
  <si>
    <t>报价</t>
  </si>
  <si>
    <t>报价</t>
    <phoneticPr fontId="31" type="noConversion"/>
  </si>
  <si>
    <t>总价</t>
  </si>
  <si>
    <t>单价</t>
  </si>
  <si>
    <r>
      <t>2023</t>
    </r>
    <r>
      <rPr>
        <sz val="10"/>
        <color indexed="8"/>
        <rFont val="宋体"/>
        <family val="3"/>
        <charset val="134"/>
      </rPr>
      <t>年</t>
    </r>
    <phoneticPr fontId="8" type="noConversion"/>
  </si>
  <si>
    <t>单价</t>
    <phoneticPr fontId="8" type="noConversion"/>
  </si>
  <si>
    <t>商业项目</t>
  </si>
  <si>
    <t>不临65条商业街</t>
  </si>
  <si>
    <t>中心城区</t>
  </si>
  <si>
    <t>楼层修正</t>
  </si>
  <si>
    <t>3-105</t>
    <phoneticPr fontId="24" type="noConversion"/>
  </si>
  <si>
    <t>3-108</t>
    <phoneticPr fontId="24" type="noConversion"/>
  </si>
  <si>
    <t>3-109</t>
    <phoneticPr fontId="24" type="noConversion"/>
  </si>
  <si>
    <t>4-106</t>
    <phoneticPr fontId="24" type="noConversion"/>
  </si>
  <si>
    <t>4-107</t>
  </si>
  <si>
    <t>4-108</t>
  </si>
  <si>
    <t>4-109</t>
  </si>
  <si>
    <t>4-110</t>
  </si>
  <si>
    <t>4-111</t>
  </si>
  <si>
    <t>4-112</t>
  </si>
  <si>
    <t>4-113</t>
  </si>
  <si>
    <t>4-114</t>
  </si>
  <si>
    <t>4-115</t>
  </si>
  <si>
    <t>自然人</t>
  </si>
  <si>
    <t>单价</t>
    <phoneticPr fontId="8" type="noConversion"/>
  </si>
  <si>
    <t>需求</t>
    <phoneticPr fontId="8" type="noConversion"/>
  </si>
  <si>
    <t>万</t>
    <phoneticPr fontId="8" type="noConversion"/>
  </si>
  <si>
    <t>商业</t>
    <phoneticPr fontId="31" type="noConversion"/>
  </si>
  <si>
    <t>比较法-办公</t>
  </si>
  <si>
    <t>单套模式</t>
  </si>
  <si>
    <t>年租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</si>
</sst>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47" fillId="6" borderId="0" xfId="17" applyFont="1" applyFill="1" applyProtection="1">
      <alignment vertical="center"/>
      <protection locked="0"/>
    </xf>
    <xf numFmtId="0" fontId="95" fillId="0" borderId="0" xfId="0" applyFont="1">
      <alignment vertical="center"/>
    </xf>
    <xf numFmtId="0" fontId="176" fillId="0" borderId="1" xfId="0" applyFont="1" applyFill="1" applyBorder="1" applyAlignment="1" applyProtection="1">
      <alignment horizontal="center" vertical="center"/>
      <protection locked="0"/>
    </xf>
    <xf numFmtId="0" fontId="77" fillId="6" borderId="0" xfId="0" applyFont="1" applyFill="1" applyProtection="1">
      <alignment vertical="center"/>
      <protection locked="0"/>
    </xf>
    <xf numFmtId="0" fontId="77" fillId="6" borderId="0" xfId="0" applyFont="1" applyFill="1" applyAlignment="1" applyProtection="1">
      <alignment horizontal="left" vertical="center"/>
      <protection locked="0"/>
    </xf>
    <xf numFmtId="0" fontId="77" fillId="6"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22" borderId="1" xfId="0" applyNumberFormat="1" applyFont="1" applyFill="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475784</xdr:colOff>
      <xdr:row>7</xdr:row>
      <xdr:rowOff>66538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723809" cy="1095238"/>
        </a:xfrm>
        <a:prstGeom prst="rect">
          <a:avLst/>
        </a:prstGeom>
      </xdr:spPr>
    </xdr:pic>
    <xdr:clientData/>
  </xdr:twoCellAnchor>
  <xdr:twoCellAnchor editAs="oneCell">
    <xdr:from>
      <xdr:col>0</xdr:col>
      <xdr:colOff>0</xdr:colOff>
      <xdr:row>8</xdr:row>
      <xdr:rowOff>0</xdr:rowOff>
    </xdr:from>
    <xdr:to>
      <xdr:col>2</xdr:col>
      <xdr:colOff>485308</xdr:colOff>
      <xdr:row>14</xdr:row>
      <xdr:rowOff>66538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3733333" cy="1095238"/>
        </a:xfrm>
        <a:prstGeom prst="rect">
          <a:avLst/>
        </a:prstGeom>
      </xdr:spPr>
    </xdr:pic>
    <xdr:clientData/>
  </xdr:twoCellAnchor>
  <xdr:twoCellAnchor editAs="oneCell">
    <xdr:from>
      <xdr:col>0</xdr:col>
      <xdr:colOff>0</xdr:colOff>
      <xdr:row>15</xdr:row>
      <xdr:rowOff>0</xdr:rowOff>
    </xdr:from>
    <xdr:to>
      <xdr:col>2</xdr:col>
      <xdr:colOff>351975</xdr:colOff>
      <xdr:row>41</xdr:row>
      <xdr:rowOff>142300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600000" cy="4600000"/>
        </a:xfrm>
        <a:prstGeom prst="rect">
          <a:avLst/>
        </a:prstGeom>
      </xdr:spPr>
    </xdr:pic>
    <xdr:clientData/>
  </xdr:twoCellAnchor>
  <xdr:twoCellAnchor editAs="oneCell">
    <xdr:from>
      <xdr:col>3</xdr:col>
      <xdr:colOff>0</xdr:colOff>
      <xdr:row>1</xdr:row>
      <xdr:rowOff>0</xdr:rowOff>
    </xdr:from>
    <xdr:to>
      <xdr:col>8</xdr:col>
      <xdr:colOff>304333</xdr:colOff>
      <xdr:row>7</xdr:row>
      <xdr:rowOff>123681</xdr:rowOff>
    </xdr:to>
    <xdr:pic>
      <xdr:nvPicPr>
        <xdr:cNvPr id="5" name="图片 4"/>
        <xdr:cNvPicPr>
          <a:picLocks noChangeAspect="1"/>
        </xdr:cNvPicPr>
      </xdr:nvPicPr>
      <xdr:blipFill>
        <a:blip xmlns:r="http://schemas.openxmlformats.org/officeDocument/2006/relationships" r:embed="rId4"/>
        <a:stretch>
          <a:fillRect/>
        </a:stretch>
      </xdr:blipFill>
      <xdr:spPr>
        <a:xfrm>
          <a:off x="3933825" y="171450"/>
          <a:ext cx="3733333" cy="1152381"/>
        </a:xfrm>
        <a:prstGeom prst="rect">
          <a:avLst/>
        </a:prstGeom>
      </xdr:spPr>
    </xdr:pic>
    <xdr:clientData/>
  </xdr:twoCellAnchor>
  <xdr:twoCellAnchor editAs="oneCell">
    <xdr:from>
      <xdr:col>3</xdr:col>
      <xdr:colOff>0</xdr:colOff>
      <xdr:row>10</xdr:row>
      <xdr:rowOff>0</xdr:rowOff>
    </xdr:from>
    <xdr:to>
      <xdr:col>8</xdr:col>
      <xdr:colOff>190048</xdr:colOff>
      <xdr:row>16</xdr:row>
      <xdr:rowOff>76062</xdr:rowOff>
    </xdr:to>
    <xdr:pic>
      <xdr:nvPicPr>
        <xdr:cNvPr id="6" name="图片 5"/>
        <xdr:cNvPicPr>
          <a:picLocks noChangeAspect="1"/>
        </xdr:cNvPicPr>
      </xdr:nvPicPr>
      <xdr:blipFill>
        <a:blip xmlns:r="http://schemas.openxmlformats.org/officeDocument/2006/relationships" r:embed="rId5"/>
        <a:stretch>
          <a:fillRect/>
        </a:stretch>
      </xdr:blipFill>
      <xdr:spPr>
        <a:xfrm>
          <a:off x="3933825" y="1714500"/>
          <a:ext cx="3619048" cy="1104762"/>
        </a:xfrm>
        <a:prstGeom prst="rect">
          <a:avLst/>
        </a:prstGeom>
      </xdr:spPr>
    </xdr:pic>
    <xdr:clientData/>
  </xdr:twoCellAnchor>
  <xdr:twoCellAnchor editAs="oneCell">
    <xdr:from>
      <xdr:col>3</xdr:col>
      <xdr:colOff>0</xdr:colOff>
      <xdr:row>18</xdr:row>
      <xdr:rowOff>0</xdr:rowOff>
    </xdr:from>
    <xdr:to>
      <xdr:col>8</xdr:col>
      <xdr:colOff>180524</xdr:colOff>
      <xdr:row>24</xdr:row>
      <xdr:rowOff>76062</xdr:rowOff>
    </xdr:to>
    <xdr:pic>
      <xdr:nvPicPr>
        <xdr:cNvPr id="7" name="图片 6"/>
        <xdr:cNvPicPr>
          <a:picLocks noChangeAspect="1"/>
        </xdr:cNvPicPr>
      </xdr:nvPicPr>
      <xdr:blipFill>
        <a:blip xmlns:r="http://schemas.openxmlformats.org/officeDocument/2006/relationships" r:embed="rId6"/>
        <a:stretch>
          <a:fillRect/>
        </a:stretch>
      </xdr:blipFill>
      <xdr:spPr>
        <a:xfrm>
          <a:off x="3933825" y="3086100"/>
          <a:ext cx="3609524" cy="1104762"/>
        </a:xfrm>
        <a:prstGeom prst="rect">
          <a:avLst/>
        </a:prstGeom>
      </xdr:spPr>
    </xdr:pic>
    <xdr:clientData/>
  </xdr:twoCellAnchor>
  <xdr:twoCellAnchor editAs="oneCell">
    <xdr:from>
      <xdr:col>3</xdr:col>
      <xdr:colOff>0</xdr:colOff>
      <xdr:row>25</xdr:row>
      <xdr:rowOff>0</xdr:rowOff>
    </xdr:from>
    <xdr:to>
      <xdr:col>8</xdr:col>
      <xdr:colOff>371000</xdr:colOff>
      <xdr:row>31</xdr:row>
      <xdr:rowOff>142729</xdr:rowOff>
    </xdr:to>
    <xdr:pic>
      <xdr:nvPicPr>
        <xdr:cNvPr id="9" name="图片 8"/>
        <xdr:cNvPicPr>
          <a:picLocks noChangeAspect="1"/>
        </xdr:cNvPicPr>
      </xdr:nvPicPr>
      <xdr:blipFill>
        <a:blip xmlns:r="http://schemas.openxmlformats.org/officeDocument/2006/relationships" r:embed="rId7"/>
        <a:stretch>
          <a:fillRect/>
        </a:stretch>
      </xdr:blipFill>
      <xdr:spPr>
        <a:xfrm>
          <a:off x="3933825" y="4286250"/>
          <a:ext cx="3800000" cy="1171429"/>
        </a:xfrm>
        <a:prstGeom prst="rect">
          <a:avLst/>
        </a:prstGeom>
      </xdr:spPr>
    </xdr:pic>
    <xdr:clientData/>
  </xdr:twoCellAnchor>
  <xdr:twoCellAnchor editAs="oneCell">
    <xdr:from>
      <xdr:col>3</xdr:col>
      <xdr:colOff>0</xdr:colOff>
      <xdr:row>33</xdr:row>
      <xdr:rowOff>0</xdr:rowOff>
    </xdr:from>
    <xdr:to>
      <xdr:col>8</xdr:col>
      <xdr:colOff>285286</xdr:colOff>
      <xdr:row>39</xdr:row>
      <xdr:rowOff>133205</xdr:rowOff>
    </xdr:to>
    <xdr:pic>
      <xdr:nvPicPr>
        <xdr:cNvPr id="11" name="图片 10"/>
        <xdr:cNvPicPr>
          <a:picLocks noChangeAspect="1"/>
        </xdr:cNvPicPr>
      </xdr:nvPicPr>
      <xdr:blipFill>
        <a:blip xmlns:r="http://schemas.openxmlformats.org/officeDocument/2006/relationships" r:embed="rId8"/>
        <a:stretch>
          <a:fillRect/>
        </a:stretch>
      </xdr:blipFill>
      <xdr:spPr>
        <a:xfrm>
          <a:off x="3933825" y="5657850"/>
          <a:ext cx="3714286" cy="1161905"/>
        </a:xfrm>
        <a:prstGeom prst="rect">
          <a:avLst/>
        </a:prstGeom>
      </xdr:spPr>
    </xdr:pic>
    <xdr:clientData/>
  </xdr:twoCellAnchor>
  <xdr:twoCellAnchor editAs="oneCell">
    <xdr:from>
      <xdr:col>8</xdr:col>
      <xdr:colOff>0</xdr:colOff>
      <xdr:row>2</xdr:row>
      <xdr:rowOff>0</xdr:rowOff>
    </xdr:from>
    <xdr:to>
      <xdr:col>13</xdr:col>
      <xdr:colOff>390048</xdr:colOff>
      <xdr:row>8</xdr:row>
      <xdr:rowOff>152252</xdr:rowOff>
    </xdr:to>
    <xdr:pic>
      <xdr:nvPicPr>
        <xdr:cNvPr id="12" name="图片 11"/>
        <xdr:cNvPicPr>
          <a:picLocks noChangeAspect="1"/>
        </xdr:cNvPicPr>
      </xdr:nvPicPr>
      <xdr:blipFill>
        <a:blip xmlns:r="http://schemas.openxmlformats.org/officeDocument/2006/relationships" r:embed="rId9"/>
        <a:stretch>
          <a:fillRect/>
        </a:stretch>
      </xdr:blipFill>
      <xdr:spPr>
        <a:xfrm>
          <a:off x="7362825" y="342900"/>
          <a:ext cx="38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估价对象为北京市房地产,属开发建设的商业项目，该项目尚在开发建设中。根据《国有土地使用证》[]，估价对象（分摊）出让国有建设用地使用权面积为0平方米，规划建筑面积为53.09平方米。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2024年9月26日（评估专业人员实地查勘之日）</v>
      </c>
    </row>
    <row r="13" spans="1:2" s="1203" customFormat="1">
      <c r="A13" s="1201" t="s">
        <v>529</v>
      </c>
      <c r="B13" s="1202" t="str">
        <f>'预评函-1'!A18</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372</v>
      </c>
    </row>
    <row r="21" spans="1:2" s="1203" customFormat="1">
      <c r="A21" s="1201" t="s">
        <v>537</v>
      </c>
      <c r="B21" s="1202">
        <f ca="1">'预评函-2'!D7</f>
        <v>70148</v>
      </c>
    </row>
    <row r="22" spans="1:2" s="1203" customFormat="1">
      <c r="A22" s="1201" t="s">
        <v>538</v>
      </c>
      <c r="B22" s="1202" t="str">
        <f ca="1">'预评函-2'!D6</f>
        <v>叁佰柒拾贰万元整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372</v>
      </c>
    </row>
    <row r="31" spans="1:2" s="1203" customFormat="1">
      <c r="A31" s="1201" t="s">
        <v>576</v>
      </c>
      <c r="B31" s="1202">
        <f ca="1">'预评函-2'!D15</f>
        <v>70148</v>
      </c>
    </row>
    <row r="32" spans="1:2" s="1203" customFormat="1">
      <c r="A32" s="1201" t="s">
        <v>543</v>
      </c>
      <c r="B32" s="1202" t="str">
        <f ca="1">'预评函-2'!D14</f>
        <v>叁佰柒拾贰万元整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4" t="s">
        <v>2581</v>
      </c>
      <c r="J2" s="3504"/>
      <c r="K2" s="3504"/>
      <c r="L2" s="3504"/>
      <c r="M2" s="3504"/>
      <c r="N2" s="3504"/>
      <c r="O2" s="3504"/>
      <c r="P2" s="3504"/>
      <c r="Q2" s="3504"/>
      <c r="R2" s="3504"/>
    </row>
    <row r="3" spans="1:18">
      <c r="A3" s="3019" t="s">
        <v>2502</v>
      </c>
      <c r="B3" s="3020">
        <f>项目基本情况!D3</f>
        <v>45561</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2.23</v>
      </c>
      <c r="D5" s="3024">
        <f>IF(ISERROR(ROUND(POWER(1+E5,A5-C5)*(POWER(1+E5,C5)-1)/(POWER(1+E5,A5)-1),3)),0,ROUND(POWER(1+E5,A5-C5)*(POWER(1+E5,C5)-1)/(POWER(1+E5,A5)-1),4))</f>
        <v>0.10580000000000001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12.23</v>
      </c>
      <c r="D6" s="3024">
        <f>IF(ISERROR(ROUND(POWER(1+E6,A6-C6)*(POWER(1+E6,C6)-1)/(POWER(1+E6,A6)-1),3)),0,ROUND(POWER(1+E6,A6-C6)*(POWER(1+E6,C6)-1)/(POWER(1+E6,A6)-1),4))</f>
        <v>0.44340000000000002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32.25</v>
      </c>
      <c r="D7" s="3024">
        <f>IF(ISERROR(ROUND(POWER(1+E7,A7-C7)*(POWER(1+E7,C7)-1)/(POWER(1+E7,A7)-1),3)),0,ROUND(POWER(1+E7,A7-C7)*(POWER(1+E7,C7)-1)/(POWER(1+E7,A7)-1),4))</f>
        <v>0.76700000000000002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45561</v>
      </c>
      <c r="C3" s="2374" t="s">
        <v>2170</v>
      </c>
      <c r="D3" s="2373">
        <f>B3</f>
        <v>45561</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3431</v>
      </c>
      <c r="C4" s="2376">
        <f ca="1">SUMIF(注册房地产估价师,B4,估价师及机构信息!B3:B24)</f>
        <v>1419970001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3382</v>
      </c>
      <c r="C8" s="2390"/>
      <c r="D8" s="3516" t="s">
        <v>2176</v>
      </c>
      <c r="E8" s="2391" t="s">
        <v>3383</v>
      </c>
      <c r="F8" s="2392"/>
      <c r="G8" s="2662"/>
      <c r="H8" s="2662"/>
      <c r="I8" s="2662"/>
      <c r="J8" s="2438"/>
      <c r="K8" s="2613"/>
      <c r="L8" s="2612"/>
      <c r="M8" s="2612"/>
      <c r="N8" s="2438"/>
      <c r="O8" s="2449"/>
      <c r="P8" s="2438"/>
      <c r="Q8" s="2438"/>
      <c r="R8" s="2438"/>
    </row>
    <row r="9" spans="1:30" ht="13.5" thickBot="1">
      <c r="A9" s="2393" t="s">
        <v>2177</v>
      </c>
      <c r="B9" s="2394" t="s">
        <v>3383</v>
      </c>
      <c r="C9" s="2395"/>
      <c r="D9" s="3517"/>
      <c r="E9" s="2394"/>
      <c r="F9" s="2396"/>
      <c r="G9" s="2664"/>
      <c r="H9" s="2664"/>
      <c r="I9" s="2664"/>
      <c r="J9" s="2438"/>
      <c r="K9" s="2615"/>
      <c r="L9" s="2612"/>
      <c r="M9" s="2612"/>
      <c r="N9" s="2438"/>
      <c r="O9" s="2449"/>
      <c r="P9" s="2438"/>
      <c r="Q9" s="2438"/>
      <c r="R9" s="2438"/>
    </row>
    <row r="10" spans="1:30" ht="13.5" thickTop="1">
      <c r="A10" s="2397" t="s">
        <v>2178</v>
      </c>
      <c r="B10" s="2398" t="s">
        <v>3384</v>
      </c>
      <c r="C10" s="2399"/>
      <c r="D10" s="2382"/>
      <c r="E10" s="2400" t="s">
        <v>2179</v>
      </c>
      <c r="F10" s="2665"/>
      <c r="G10" s="2666"/>
      <c r="H10" s="2667"/>
      <c r="I10" s="2668"/>
      <c r="J10" s="2438"/>
      <c r="K10" s="2615"/>
      <c r="L10" s="2612"/>
      <c r="M10" s="2612"/>
      <c r="N10" s="2438"/>
      <c r="O10" s="2449"/>
      <c r="P10" s="2438"/>
      <c r="Q10" s="2438"/>
      <c r="R10" s="2438"/>
    </row>
    <row r="11" spans="1:30">
      <c r="A11" s="2401" t="s">
        <v>2180</v>
      </c>
      <c r="B11" s="2402" t="s">
        <v>3456</v>
      </c>
      <c r="C11" s="3448"/>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2577</v>
      </c>
      <c r="J12" s="3061"/>
      <c r="K12" s="2612"/>
      <c r="L12" s="2612"/>
      <c r="M12" s="2438"/>
      <c r="N12" s="2449"/>
      <c r="O12" s="2438"/>
      <c r="P12" s="2438"/>
      <c r="Q12" s="2438"/>
      <c r="AD12" s="1745"/>
    </row>
    <row r="13" spans="1:30">
      <c r="A13" s="3422" t="s">
        <v>3332</v>
      </c>
      <c r="B13" s="2406" t="s">
        <v>2189</v>
      </c>
      <c r="C13" s="856"/>
      <c r="D13" s="856">
        <v>54686</v>
      </c>
      <c r="E13" s="856"/>
      <c r="F13" s="856"/>
      <c r="G13" s="856"/>
      <c r="H13" s="856"/>
      <c r="I13" s="856"/>
      <c r="J13" s="3061"/>
      <c r="K13" s="2612"/>
      <c r="L13" s="2612"/>
      <c r="M13" s="2438"/>
      <c r="N13" s="2449"/>
      <c r="O13" s="2438"/>
      <c r="P13" s="2438"/>
      <c r="Q13" s="2438"/>
      <c r="AD13" s="1745"/>
    </row>
    <row r="14" spans="1:30">
      <c r="A14" s="1081"/>
      <c r="B14" s="2406" t="s">
        <v>2190</v>
      </c>
      <c r="C14" s="2407"/>
      <c r="D14" s="2407">
        <v>40</v>
      </c>
      <c r="E14" s="2407"/>
      <c r="F14" s="2407"/>
      <c r="G14" s="2407"/>
      <c r="H14" s="2407"/>
      <c r="I14" s="2407"/>
      <c r="J14" s="3062"/>
      <c r="K14" s="2612"/>
      <c r="L14" s="2612"/>
      <c r="M14" s="2438"/>
      <c r="N14" s="2449"/>
      <c r="O14" s="2438"/>
      <c r="P14" s="2438"/>
      <c r="Q14" s="2438"/>
      <c r="AD14" s="1745"/>
    </row>
    <row r="15" spans="1:30">
      <c r="A15" s="320"/>
      <c r="B15" s="2408" t="s">
        <v>2191</v>
      </c>
      <c r="C15" s="2409" t="str">
        <f>IF(A13="出让",IF(C13="","",ROUNDDOWN(MIN((C13-$D$3)/365,C14),2)),C14)</f>
        <v/>
      </c>
      <c r="D15" s="2409">
        <f>IF(A13="出让",IF(D13="","",ROUNDDOWN(MIN((D13-$D$3)/365,D14),2)),D14)</f>
        <v>25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2192</v>
      </c>
      <c r="B16" s="3523"/>
      <c r="C16" s="3524"/>
      <c r="D16" s="3525"/>
      <c r="E16" s="2412" t="s">
        <v>2193</v>
      </c>
      <c r="F16" s="3526" t="str">
        <f>E15</f>
        <v/>
      </c>
      <c r="G16" s="3527"/>
      <c r="H16" s="3527"/>
      <c r="I16" s="3528"/>
      <c r="J16" s="2438"/>
      <c r="K16" s="2616"/>
      <c r="L16" s="2450"/>
      <c r="M16" s="2450"/>
      <c r="N16" s="2508"/>
      <c r="O16" s="2450"/>
      <c r="P16" s="2508"/>
      <c r="Q16" s="2438"/>
      <c r="R16" s="2438"/>
    </row>
    <row r="17" spans="1:28">
      <c r="A17" s="313" t="s">
        <v>2194</v>
      </c>
      <c r="B17" s="302" t="s">
        <v>2195</v>
      </c>
      <c r="C17" s="8">
        <f>'数据-汇总表'!E3</f>
        <v>53.09</v>
      </c>
      <c r="D17" s="2322" t="s">
        <v>2196</v>
      </c>
      <c r="E17" s="3529" t="s">
        <v>2197</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32" t="s">
        <v>2201</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9" t="s">
        <v>2205</v>
      </c>
      <c r="C20" s="3520"/>
      <c r="D20" s="3521" t="s">
        <v>2206</v>
      </c>
      <c r="E20" s="3522"/>
      <c r="F20" s="2646" t="s">
        <v>1056</v>
      </c>
      <c r="G20" s="2663"/>
      <c r="H20" s="2663"/>
      <c r="I20" s="2663"/>
      <c r="J20" s="2438"/>
      <c r="K20" s="351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2213</v>
      </c>
      <c r="B27" s="320" t="s">
        <v>2214</v>
      </c>
      <c r="C27" s="2415" t="s">
        <v>3439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2217</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2218</v>
      </c>
      <c r="B31" s="2421" t="s">
        <v>3385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05" t="s">
        <v>2227</v>
      </c>
      <c r="T34" s="2427" t="str">
        <f>NUMBERSTRING(7-K34,1)&amp;"通"</f>
        <v>七通</v>
      </c>
      <c r="U34" s="2438"/>
      <c r="V34" s="2438"/>
    </row>
    <row r="35" spans="1:30">
      <c r="A35" s="2428"/>
      <c r="B35" s="3512" t="s">
        <v>2228</v>
      </c>
      <c r="C35" s="3512"/>
      <c r="D35" s="3512"/>
      <c r="E35" s="351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2580</v>
      </c>
      <c r="G36" s="2663"/>
      <c r="H36" s="2663"/>
      <c r="I36" s="2663"/>
      <c r="J36" s="2438"/>
      <c r="K36" s="2615"/>
      <c r="L36" s="2612"/>
      <c r="M36" s="2612"/>
      <c r="N36" s="2438"/>
      <c r="O36" s="2449"/>
      <c r="P36" s="2438"/>
      <c r="Q36" s="2438"/>
      <c r="R36" s="2438"/>
      <c r="S36" s="2438"/>
      <c r="T36" s="2438"/>
      <c r="U36" s="2438"/>
      <c r="V36" s="2438"/>
    </row>
    <row r="37" spans="1:30">
      <c r="A37" s="2629" t="s">
        <v>2229</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137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53.09</v>
      </c>
      <c r="H5" s="13">
        <f t="shared" ref="H5:AT5" si="0">SUM(H13:H656)</f>
        <v>53.09</v>
      </c>
      <c r="I5" s="13">
        <f t="shared" si="0"/>
        <v>53.09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53.09</v>
      </c>
      <c r="BA5" s="15">
        <f t="shared" si="1"/>
        <v>53.09</v>
      </c>
      <c r="BB5" s="15">
        <f t="shared" si="1"/>
        <v>53.09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3386</v>
      </c>
      <c r="E13" s="13">
        <f>IF($C$3="是",ROUND($A$3*G13/$B$3,2),ROUND($A$3*(G13-AT13)/$B$3,2))</f>
        <v>0</v>
      </c>
      <c r="F13" s="29"/>
      <c r="G13" s="30">
        <f>H13+AC13+AT13</f>
        <v>53.09</v>
      </c>
      <c r="H13" s="17">
        <f>SUMIF(I$12:AB$12,"总值",I13:AB13)</f>
        <v>53.09</v>
      </c>
      <c r="I13" s="1626">
        <v>53.09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53.09</v>
      </c>
      <c r="BA13" s="13">
        <f>SUM(BB13:BK13)</f>
        <v>53.09</v>
      </c>
      <c r="BB13" s="13">
        <f>IF($D13="是",I13-J13,0)</f>
        <v>53.09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f>368/I13*10000</f>
        <v>69316.25541533246</v>
      </c>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69316.25541533246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8"/>
      <c r="G2" s="2649"/>
      <c r="H2" s="2650"/>
      <c r="I2" s="2325" t="s">
        <v>1132</v>
      </c>
      <c r="J2" s="2658"/>
      <c r="K2" s="2658"/>
      <c r="L2" s="2658"/>
      <c r="M2" s="2658"/>
      <c r="N2" s="2660"/>
      <c r="O2" s="2658"/>
      <c r="P2" s="2658"/>
    </row>
    <row r="3" spans="1:16" ht="15.75" thickBot="1">
      <c r="A3" s="3545" t="s">
        <v>1105</v>
      </c>
      <c r="B3" s="3545"/>
      <c r="C3" s="3545"/>
      <c r="D3" s="43">
        <f>'数据-基础表'!AY6</f>
        <v>0</v>
      </c>
      <c r="E3" s="43">
        <f>'数据-基础表'!AZ5</f>
        <v>53.09</v>
      </c>
      <c r="F3" s="2658"/>
      <c r="G3" s="1145"/>
      <c r="H3" s="1026" t="s">
        <v>1106</v>
      </c>
      <c r="I3" s="855" t="e">
        <f>ROUND('数据-基础表'!B3/'数据-基础表'!A3,2)</f>
        <v>#DIV/0!</v>
      </c>
      <c r="J3" s="2658"/>
      <c r="K3" s="2658"/>
      <c r="L3" s="2658"/>
      <c r="M3" s="2658"/>
      <c r="N3" s="2660"/>
      <c r="O3" s="2658"/>
      <c r="P3" s="2658"/>
    </row>
    <row r="4" spans="1:16" ht="15">
      <c r="A4" s="3546"/>
      <c r="B4" s="3547"/>
      <c r="C4" s="3548"/>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9" t="s">
        <v>1111</v>
      </c>
      <c r="C6" s="3549"/>
      <c r="D6" s="45">
        <f>ROUND($D$3*E6/$E$3,2)</f>
        <v>0</v>
      </c>
      <c r="E6" s="46">
        <f>E3-E5</f>
        <v>53.09</v>
      </c>
      <c r="F6" s="2658"/>
      <c r="G6" s="2652" t="s">
        <v>1112</v>
      </c>
      <c r="H6" s="1146" t="s">
        <v>1113</v>
      </c>
      <c r="I6" s="2653" t="e">
        <f>ROUND(F31/D31,2)</f>
        <v>#DIV/0!</v>
      </c>
      <c r="J6" s="2658"/>
      <c r="K6" s="2658"/>
      <c r="L6" s="2658"/>
      <c r="M6" s="2658"/>
      <c r="N6" s="2658"/>
      <c r="O6" s="2658"/>
      <c r="P6" s="2658"/>
    </row>
    <row r="7" spans="1:16" ht="15.75" thickBot="1">
      <c r="A7" s="3541"/>
      <c r="B7" s="3542"/>
      <c r="C7" s="3543"/>
      <c r="D7" s="1641" t="s">
        <v>1107</v>
      </c>
      <c r="E7" s="1645" t="s">
        <v>1114</v>
      </c>
      <c r="F7" s="2658"/>
      <c r="G7" s="2654" t="s">
        <v>1115</v>
      </c>
      <c r="H7" s="2655"/>
      <c r="I7" s="2656">
        <v>1.5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53.09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v>16000</v>
      </c>
      <c r="M10" s="2658">
        <f>L10*F19/10000</f>
        <v>84.944000000000003</v>
      </c>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v>17000</v>
      </c>
      <c r="M11" s="2658">
        <f>L11*F19/10000</f>
        <v>90.253</v>
      </c>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53.09</v>
      </c>
      <c r="F16" s="2658"/>
      <c r="G16" s="2659"/>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tr">
        <f>'数据-基础表'!I10</f>
        <v>商业</v>
      </c>
      <c r="D19" s="45">
        <f>ROUND($D$3*E19/$E$3,2)</f>
        <v>0</v>
      </c>
      <c r="E19" s="53">
        <f t="shared" ref="E19:E26" si="1">SUM(F19:G19)</f>
        <v>53.09</v>
      </c>
      <c r="F19" s="2794">
        <f>'数据-基础表'!H13</f>
        <v>53.09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53.09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53.09</v>
      </c>
      <c r="F27" s="1140">
        <f>IF(SUM(F19:F26)=E8,SUM(F19:F26),"地上面积有误")</f>
        <v>53.09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53.09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53.09</v>
      </c>
      <c r="F31" s="677">
        <f>F27+F30</f>
        <v>53.09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54686</v>
      </c>
      <c r="F6" s="64">
        <f>SUMIF(项目基本情况!C$12:I$12,C6,项目基本情况!C$15:I$15)</f>
        <v>25</v>
      </c>
      <c r="G6" s="65">
        <f>IF(ISERROR(ROUND(POWER(1+H6,D6-F6)*(POWER(1+H6,F6)-1)/(POWER(1+H6,D6)-1),3)),0,ROUND(POWER(1+H6,D6-F6)*(POWER(1+H6,F6)-1)/(POWER(1+H6,D6)-1),3))</f>
        <v>0.82099999999999995</v>
      </c>
      <c r="H6" s="732">
        <v>0.05</v>
      </c>
      <c r="I6" s="732">
        <v>5.5E-2</v>
      </c>
      <c r="J6" s="66">
        <v>7.0000000000000007E-2</v>
      </c>
      <c r="K6" s="1030">
        <f>SUMIF('数据-汇总表'!C$19:C$33,A6,'数据-汇总表'!E$19:E$33)</f>
        <v>53.09</v>
      </c>
      <c r="L6" s="733">
        <v>4000</v>
      </c>
      <c r="M6" s="67">
        <f t="shared" ref="M6:M14" si="0">ROUND(K6*L6/10000,0)</f>
        <v>21</v>
      </c>
      <c r="N6" s="731">
        <f>N19</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v>
      </c>
      <c r="V6" s="70">
        <v>0.02</v>
      </c>
      <c r="W6" s="3803">
        <v>0.1</v>
      </c>
      <c r="X6" s="1040"/>
      <c r="Y6" s="71">
        <f>N6</f>
        <v>0.78</v>
      </c>
      <c r="Z6" s="72"/>
      <c r="AA6" s="66"/>
      <c r="AB6" s="66"/>
      <c r="AC6" s="1040"/>
      <c r="AD6" s="73"/>
      <c r="AE6" s="1041">
        <f ca="1">IF(AN6="",0,SUMIF(INDIRECT("'"&amp;AN6&amp;"'"&amp;"!E:E"),$AE$5,INDIRECT("'"&amp;AN6&amp;"'"&amp;"!F:F")))</f>
        <v>25</v>
      </c>
      <c r="AF6" s="1348"/>
      <c r="AG6" s="138">
        <f>IF(AF6="",0,AE6-AF6)</f>
        <v>0</v>
      </c>
      <c r="AH6" s="74"/>
      <c r="AI6" s="76">
        <v>365</v>
      </c>
      <c r="AJ6" s="77"/>
      <c r="AK6" s="78">
        <v>5.0000000000000001E-3</v>
      </c>
      <c r="AL6" s="79">
        <v>1E-3</v>
      </c>
      <c r="AM6" s="80">
        <v>0.01</v>
      </c>
      <c r="AN6" s="1715" t="s">
        <v>3389</v>
      </c>
      <c r="AO6" s="52">
        <f ca="1">SUMIF(INDIRECT("'"&amp;AN6&amp;"'"&amp;"!A:A"),"总价",INDIRECT("'"&amp;AN6&amp;"'"&amp;"!B:B"))</f>
        <v>340.33699999999999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0.82099999999999995</v>
      </c>
      <c r="H16" s="90">
        <f>ROUND(SUMPRODUCT(H6:H13,K6:K13)/SUMPRODUCT((H6:H13&gt;0)*(K6:K13)),3)</f>
        <v>0.05</v>
      </c>
      <c r="I16" s="91"/>
      <c r="J16" s="91"/>
      <c r="K16" s="92">
        <f>SUM(K6:K15)</f>
        <v>53.09</v>
      </c>
      <c r="L16" s="93">
        <f>ROUND(M16*10000/SUM(K6:K14),0)</f>
        <v>3956</v>
      </c>
      <c r="M16" s="93">
        <f>SUM(M6:M14)</f>
        <v>21</v>
      </c>
      <c r="N16" s="94">
        <f>ROUND(SUMPRODUCT(M6:M14,N6:N14)/M16,3)</f>
        <v>0.78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3391</v>
      </c>
      <c r="N18" s="2670">
        <v>2011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f>ROUND(1-(1-0)*(2024-N18)/60,2)</f>
        <v>0.78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49"/>
      <c r="N20" s="2670">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ROUND((N19+N20)/2,2)</f>
        <v>0.82</v>
      </c>
      <c r="O21" s="2670"/>
      <c r="P21" s="2670"/>
      <c r="Q21" s="2670"/>
      <c r="R21" s="2670"/>
      <c r="S21" s="2670"/>
      <c r="T21" s="2670"/>
      <c r="U21" s="2670"/>
      <c r="V21" s="3449" t="s">
        <v>3463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v>53.09</v>
      </c>
      <c r="V22" s="2670">
        <v>350000</v>
      </c>
      <c r="W22" s="2670">
        <f>V22/U22/365</f>
        <v>18.061859287795084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ROUND(K6*B28,0)</f>
        <v>10618</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2294</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0" t="s">
        <v>2285</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53.09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45561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372</v>
      </c>
      <c r="C5" s="2511">
        <f ca="1">IF(B5=D14,结果表!H102,ROUND(B5*10000/$B$1,0))</f>
        <v>70148</v>
      </c>
      <c r="D5" s="2511" t="e">
        <f ca="1">ROUND(B5*10000/$B$2,0)</f>
        <v>#DIV/0!</v>
      </c>
      <c r="E5" s="2685"/>
      <c r="F5" s="2686"/>
      <c r="G5" s="2686"/>
      <c r="H5" s="2687"/>
      <c r="I5" s="2687"/>
      <c r="J5" s="2687"/>
      <c r="K5" s="2687"/>
    </row>
    <row r="6" spans="1:11" ht="16.5">
      <c r="A6" s="2511" t="s">
        <v>656</v>
      </c>
      <c r="B6" s="2511">
        <f ca="1">SUM(G14:G23)</f>
        <v>372</v>
      </c>
      <c r="C6" s="2511">
        <f ca="1">IF(B6=G14,结果表!H108,ROUND(B6*10000/$B$1,0))</f>
        <v>70148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53.09</v>
      </c>
      <c r="C14" s="2517"/>
      <c r="D14" s="2517">
        <f ca="1">结果表!H101</f>
        <v>372</v>
      </c>
      <c r="E14" s="2517">
        <f ca="1">结果表!H102</f>
        <v>70148</v>
      </c>
      <c r="F14" s="2517" t="e">
        <f ca="1">ROUND(D14*10000/C14,0)</f>
        <v>#DIV/0!</v>
      </c>
      <c r="G14" s="2517">
        <f ca="1">D14</f>
        <v>372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3385</v>
      </c>
      <c r="H1" s="1750" t="str">
        <f>IF(G1="现房","——","估价对象范围")</f>
        <v>——</v>
      </c>
      <c r="I1" s="1751"/>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3461</v>
      </c>
      <c r="D4" s="1756" t="s">
        <v>3389</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v>5</v>
      </c>
      <c r="D14" s="3589">
        <v>5</v>
      </c>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6" t="s">
        <v>2130</v>
      </c>
      <c r="F18" s="3577"/>
      <c r="G18" s="3577"/>
      <c r="H18" s="3577"/>
      <c r="I18" s="3577"/>
      <c r="K18" s="302" t="s">
        <v>1289</v>
      </c>
      <c r="L18" s="302">
        <f>IF(C1="",'数据-汇总表'!E3,SUMIF(项目类型,C1,'数据-汇总表'!E17:E26)+SUMIF(项目类型,C1,'数据-汇总表'!I17:I26))</f>
        <v>53.09</v>
      </c>
      <c r="M18" s="302">
        <f>IF(C1="",'数据-汇总表'!E3,SUMIF(项目类型,C1,'数据-汇总表'!E17:E26))</f>
        <v>53.09</v>
      </c>
    </row>
    <row r="19" spans="1:36" ht="15">
      <c r="A19" s="1761" t="s">
        <v>1290</v>
      </c>
      <c r="B19" s="1762" t="s">
        <v>1291</v>
      </c>
      <c r="C19" s="134">
        <f ca="1">SUMIF(INDIRECT("'"&amp;C4&amp;"'"&amp;"!A:A"),结果表!B19,INDIRECT("'"&amp;C4&amp;"'"&amp;"!B:B"))</f>
        <v>404.49270000000001</v>
      </c>
      <c r="D19" s="135">
        <f ca="1">SUMIF(INDIRECT("'"&amp;D4&amp;"'"&amp;"!A:A"),结果表!B19,INDIRECT("'"&amp;D4&amp;"'"&amp;"!B:B"))</f>
        <v>340.33699999999999</v>
      </c>
      <c r="E19" s="1761" t="s">
        <v>1292</v>
      </c>
      <c r="F19" s="1762" t="s">
        <v>1291</v>
      </c>
      <c r="G19" s="136">
        <f ca="1">ROUND(C19*$C$18+D19*$D$18,0)</f>
        <v>372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76190</v>
      </c>
      <c r="D20" s="138">
        <f ca="1">SUMIF(INDIRECT("'"&amp;D4&amp;"'"&amp;"!A:A"),结果表!B20,INDIRECT("'"&amp;D4&amp;"'"&amp;"!B:B"))</f>
        <v>64106</v>
      </c>
      <c r="E20" s="1764"/>
      <c r="F20" s="1026" t="s">
        <v>1295</v>
      </c>
      <c r="G20" s="139">
        <f ca="1">ROUND(C20*$C$18+D20*$D$18,0)</f>
        <v>70148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1" t="s">
        <v>3415</v>
      </c>
      <c r="K21" s="725">
        <v>25000</v>
      </c>
      <c r="L21" s="725">
        <f>K21*B118</f>
        <v>1327250</v>
      </c>
    </row>
    <row r="22" spans="1:36" ht="15" thickBot="1">
      <c r="A22" s="1688" t="s">
        <v>1298</v>
      </c>
      <c r="B22" s="1767"/>
      <c r="C22" s="1768"/>
      <c r="D22" s="721">
        <f ca="1">IF(C19&lt;D19,D19/C19-1,C19/D19-1)</f>
        <v>0.18850639219361986</v>
      </c>
      <c r="E22" s="129"/>
      <c r="F22" s="129"/>
      <c r="G22" s="129"/>
      <c r="H22" s="129"/>
      <c r="I22" s="129"/>
      <c r="K22" s="725">
        <v>27000</v>
      </c>
      <c r="L22" s="725">
        <f>K22*B118</f>
        <v>1433430</v>
      </c>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c r="J24" s="725" t="s">
        <v>3437</v>
      </c>
      <c r="K24" s="3451" t="s">
        <v>3438</v>
      </c>
    </row>
    <row r="25" spans="1:36" ht="14.25">
      <c r="A25" s="3561"/>
      <c r="B25" s="1026" t="s">
        <v>1295</v>
      </c>
      <c r="C25" s="141">
        <f>IF(B30=0,0,C30)</f>
        <v>0</v>
      </c>
      <c r="D25" s="1770"/>
      <c r="E25" s="129"/>
      <c r="F25" s="3462" t="s">
        <v>3458</v>
      </c>
      <c r="G25" s="129"/>
      <c r="H25" s="129"/>
      <c r="I25" s="129"/>
      <c r="J25" s="725">
        <v>5309</v>
      </c>
      <c r="K25" s="725">
        <v>24099</v>
      </c>
    </row>
    <row r="26" spans="1:36" ht="13.5" customHeight="1">
      <c r="A26" s="1771" t="s">
        <v>1300</v>
      </c>
      <c r="B26" s="142" t="s">
        <v>1301</v>
      </c>
      <c r="C26" s="142" t="s">
        <v>1302</v>
      </c>
      <c r="D26" s="143" t="s">
        <v>1303</v>
      </c>
      <c r="E26" s="129"/>
      <c r="F26" s="3462" t="s">
        <v>3435</v>
      </c>
      <c r="G26" s="2543">
        <v>368</v>
      </c>
      <c r="H26" s="3461" t="s">
        <v>3459</v>
      </c>
      <c r="I26" s="129"/>
    </row>
    <row r="27" spans="1:36" ht="14.25">
      <c r="A27" s="1771"/>
      <c r="B27" s="142">
        <v>0</v>
      </c>
      <c r="C27" s="142">
        <v>0</v>
      </c>
      <c r="D27" s="143">
        <f>ROUND(C27*B27/10000,0)</f>
        <v>0</v>
      </c>
      <c r="E27" s="129"/>
      <c r="F27" s="3462" t="s">
        <v>3457</v>
      </c>
      <c r="G27" s="2543">
        <f>ROUND(368/'数据-汇总表'!F19*10000,0)</f>
        <v>69316</v>
      </c>
      <c r="H27" s="2543" t="s">
        <v>3353</v>
      </c>
      <c r="I27" s="129"/>
    </row>
    <row r="28" spans="1:36" ht="14.25">
      <c r="A28" s="1771"/>
      <c r="B28" s="142"/>
      <c r="C28" s="142"/>
      <c r="D28" s="143"/>
      <c r="E28" s="129"/>
      <c r="F28" s="3460"/>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70148</v>
      </c>
      <c r="D32" s="1775" t="s">
        <v>3412</v>
      </c>
      <c r="E32" s="129"/>
      <c r="F32" s="129"/>
      <c r="G32" s="129"/>
      <c r="H32" s="129"/>
      <c r="I32" s="129"/>
    </row>
    <row r="33" spans="1:15" ht="15">
      <c r="A33" s="786" t="s">
        <v>1306</v>
      </c>
      <c r="B33" s="1776"/>
      <c r="C33" s="1777" t="s">
        <v>3413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f ca="1">ROUND(H101*F45,0)</f>
        <v>372</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2">
        <v>1</v>
      </c>
      <c r="K46" s="3616" t="s">
        <v>1331</v>
      </c>
      <c r="L46" s="3616"/>
      <c r="M46" s="3636"/>
      <c r="N46" s="3636"/>
      <c r="O46" s="3636"/>
    </row>
    <row r="47" spans="1:15" ht="12" customHeight="1">
      <c r="A47" s="160" t="s">
        <v>1332</v>
      </c>
      <c r="B47" s="161"/>
      <c r="C47" s="162"/>
      <c r="D47" s="1087" t="s">
        <v>1333</v>
      </c>
      <c r="E47" s="302" t="s">
        <v>1334</v>
      </c>
      <c r="F47" s="163" t="s">
        <v>1335</v>
      </c>
      <c r="G47" s="2545" t="s">
        <v>1336</v>
      </c>
      <c r="H47" s="2546"/>
      <c r="I47" s="159"/>
      <c r="J47" s="2522">
        <v>2</v>
      </c>
      <c r="K47" s="3616" t="s">
        <v>1337</v>
      </c>
      <c r="L47" s="3616"/>
      <c r="M47" s="3637">
        <f>'数据-取费表'!B2</f>
        <v>45561</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16" t="s">
        <v>1340</v>
      </c>
      <c r="L48" s="3616"/>
      <c r="M48" s="3638">
        <f ca="1">H101</f>
        <v>372</v>
      </c>
      <c r="N48" s="3638"/>
      <c r="O48" s="3638"/>
    </row>
    <row r="49" spans="1:35" ht="25.5" customHeight="1">
      <c r="A49" s="2333" t="s">
        <v>1341</v>
      </c>
      <c r="B49" s="3552" t="s">
        <v>1342</v>
      </c>
      <c r="C49" s="3552"/>
      <c r="D49" s="1590">
        <v>0</v>
      </c>
      <c r="E49" s="324" t="s">
        <v>1343</v>
      </c>
      <c r="F49" s="2423" t="s">
        <v>28</v>
      </c>
      <c r="G49" s="3622"/>
      <c r="H49" s="2310" t="s">
        <v>2133</v>
      </c>
      <c r="I49" s="2311"/>
      <c r="J49" s="2522">
        <v>4</v>
      </c>
      <c r="K49" s="3616" t="str">
        <f>IF(项目基本情况!E8="房地产抵押价值","房地产抵押价值","抵押担保权已注销时的房地产抵押价值")</f>
        <v>房地产抵押价值</v>
      </c>
      <c r="L49" s="3616"/>
      <c r="M49" s="3638">
        <f ca="1">IF(项目基本情况!E8="房地产抵押价值",H107,H109)</f>
        <v>372</v>
      </c>
      <c r="N49" s="3638"/>
      <c r="O49" s="3638"/>
    </row>
    <row r="50" spans="1:35" ht="25.5" customHeight="1">
      <c r="A50" s="2550"/>
      <c r="B50" s="3552" t="s">
        <v>1344</v>
      </c>
      <c r="C50" s="3552"/>
      <c r="D50" s="2551"/>
      <c r="E50" s="332"/>
      <c r="F50" s="2423"/>
      <c r="G50" s="3623"/>
      <c r="H50" s="2312" t="s">
        <v>2134</v>
      </c>
      <c r="I50" s="2311"/>
      <c r="J50" s="3635" t="s">
        <v>1345</v>
      </c>
      <c r="K50" s="3635"/>
      <c r="L50" s="3635"/>
      <c r="M50" s="3635"/>
      <c r="N50" s="3635"/>
      <c r="O50" s="3635"/>
    </row>
    <row r="51" spans="1:35" ht="20.45" customHeight="1">
      <c r="A51" s="2552"/>
      <c r="B51" s="3552" t="s">
        <v>1346</v>
      </c>
      <c r="C51" s="3552"/>
      <c r="D51" s="1087"/>
      <c r="E51" s="327"/>
      <c r="F51" s="2423"/>
      <c r="G51" s="3624"/>
      <c r="H51" s="2312" t="s">
        <v>2135</v>
      </c>
      <c r="I51" s="2311"/>
      <c r="J51" s="2523" t="s">
        <v>1347</v>
      </c>
      <c r="K51" s="3616" t="s">
        <v>1348</v>
      </c>
      <c r="L51" s="3616"/>
      <c r="M51" s="2523" t="s">
        <v>1349</v>
      </c>
      <c r="N51" s="2523" t="s">
        <v>1350</v>
      </c>
      <c r="O51" s="2523" t="s">
        <v>1351</v>
      </c>
    </row>
    <row r="52" spans="1:35" ht="24" customHeight="1">
      <c r="A52" s="2335" t="s">
        <v>1352</v>
      </c>
      <c r="B52" s="3552" t="s">
        <v>1353</v>
      </c>
      <c r="C52" s="3552"/>
      <c r="D52" s="1087">
        <f ca="1">ROUND(D45*'数据-取费表'!B41/(1+'数据-取费表'!C42),0)</f>
        <v>20</v>
      </c>
      <c r="E52" s="2334" t="s">
        <v>1354</v>
      </c>
      <c r="F52" s="2553">
        <f>'数据-取费表'!B41</f>
        <v>5.6000000000000001E-2</v>
      </c>
      <c r="G52" s="2554"/>
      <c r="H52" s="2543"/>
      <c r="I52" s="1807"/>
      <c r="J52" s="2522">
        <v>1</v>
      </c>
      <c r="K52" s="3617" t="s">
        <v>1355</v>
      </c>
      <c r="L52" s="3617"/>
      <c r="M52" s="2524" t="b">
        <f>D48</f>
        <v>0</v>
      </c>
      <c r="N52" s="2522" t="str">
        <f>E48</f>
        <v>销售额×税（费）率</v>
      </c>
      <c r="O52" s="2525">
        <f>F48</f>
        <v>5.6000000000000001E-2</v>
      </c>
    </row>
    <row r="53" spans="1:35" ht="12" customHeight="1">
      <c r="A53" s="2335" t="s">
        <v>1356</v>
      </c>
      <c r="B53" s="3578" t="s">
        <v>2290</v>
      </c>
      <c r="C53" s="3579"/>
      <c r="D53" s="1087">
        <f ca="1">ROUND(D45*'数据-取费表'!B41/(1+'数据-取费表'!C42),0)</f>
        <v>20</v>
      </c>
      <c r="E53" s="2334" t="s">
        <v>1354</v>
      </c>
      <c r="F53" s="2553">
        <f>'数据-取费表'!B41</f>
        <v>5.6000000000000001E-2</v>
      </c>
      <c r="G53" s="2554"/>
      <c r="H53" s="2543"/>
      <c r="I53" s="1807"/>
      <c r="J53" s="2522">
        <v>2</v>
      </c>
      <c r="K53" s="3617" t="s">
        <v>1357</v>
      </c>
      <c r="L53" s="3617"/>
      <c r="M53" s="2524">
        <f t="shared" ref="M53:O54" ca="1" si="0">D55</f>
        <v>0</v>
      </c>
      <c r="N53" s="2522" t="str">
        <f t="shared" si="0"/>
        <v>销售额×税（费）率</v>
      </c>
      <c r="O53" s="2525" t="str">
        <f t="shared" si="0"/>
        <v>免征</v>
      </c>
    </row>
    <row r="54" spans="1:35" ht="12" customHeight="1">
      <c r="A54" s="2335" t="s">
        <v>1358</v>
      </c>
      <c r="B54" s="3578" t="s">
        <v>2291</v>
      </c>
      <c r="C54" s="3579"/>
      <c r="D54" s="1087">
        <f ca="1">C68</f>
        <v>20</v>
      </c>
      <c r="E54" s="327" t="s">
        <v>1359</v>
      </c>
      <c r="F54" s="2553">
        <f>'数据-取费表'!B41</f>
        <v>5.6000000000000001E-2</v>
      </c>
      <c r="G54" s="2554"/>
      <c r="H54" s="2555"/>
      <c r="I54" s="1807"/>
      <c r="J54" s="2522">
        <v>3</v>
      </c>
      <c r="K54" s="3617" t="s">
        <v>1360</v>
      </c>
      <c r="L54" s="3617"/>
      <c r="M54" s="2524">
        <f t="shared" ca="1" si="0"/>
        <v>211</v>
      </c>
      <c r="N54" s="2522" t="str">
        <f t="shared" si="0"/>
        <v>增值额×税（费）率</v>
      </c>
      <c r="O54" s="2526" t="str">
        <f t="shared" si="0"/>
        <v>免征</v>
      </c>
    </row>
    <row r="55" spans="1:35" ht="24" customHeight="1">
      <c r="A55" s="3567" t="s">
        <v>1361</v>
      </c>
      <c r="B55" s="3568"/>
      <c r="C55" s="3568"/>
      <c r="D55" s="2324">
        <f ca="1">IF(H55="个人住宅",0,ROUND(D45*I55,0))</f>
        <v>0</v>
      </c>
      <c r="E55" s="2334"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4</v>
      </c>
      <c r="N55" s="2040" t="str">
        <f>E59</f>
        <v>差额计税</v>
      </c>
      <c r="O55" s="2528">
        <f>F59</f>
        <v>0.01</v>
      </c>
    </row>
    <row r="56" spans="1:35" ht="24.75">
      <c r="A56" s="3567" t="s">
        <v>1363</v>
      </c>
      <c r="B56" s="3568"/>
      <c r="C56" s="3568"/>
      <c r="D56" s="2324">
        <f ca="1">IF(H56="个人住宅",D57,D58)</f>
        <v>211</v>
      </c>
      <c r="E56" s="2334" t="s">
        <v>1364</v>
      </c>
      <c r="F56" s="2553" t="str">
        <f>IF(H56="正常",F58,"免征")</f>
        <v>免征</v>
      </c>
      <c r="G56" s="2556" t="s">
        <v>1365</v>
      </c>
      <c r="H56" s="2557"/>
      <c r="I56" s="1808"/>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215</v>
      </c>
      <c r="O57" s="2532"/>
      <c r="P57" s="2689">
        <f ca="1">N57/M49</f>
        <v>0.57795698924731187</v>
      </c>
    </row>
    <row r="58" spans="1:35" ht="24.75">
      <c r="A58" s="2335" t="s">
        <v>1352</v>
      </c>
      <c r="B58" s="3578" t="s">
        <v>1369</v>
      </c>
      <c r="C58" s="3552"/>
      <c r="D58" s="2324">
        <f ca="1">IF(H58="转让取得",C81,C97)</f>
        <v>211</v>
      </c>
      <c r="E58" s="2334" t="s">
        <v>1364</v>
      </c>
      <c r="F58" s="302" t="s">
        <v>28</v>
      </c>
      <c r="G58" s="2554"/>
      <c r="H58" s="2557"/>
      <c r="I58" s="1808"/>
      <c r="J58" s="3617"/>
      <c r="K58" s="3617"/>
      <c r="L58" s="2529" t="s">
        <v>1370</v>
      </c>
      <c r="M58" s="2533"/>
      <c r="N58" s="2534" t="str">
        <f ca="1">NUMBERSTRING(INT(N57*10000),2)&amp;"元整"</f>
        <v>贰佰壹拾伍万元整</v>
      </c>
      <c r="O58" s="2535"/>
    </row>
    <row r="59" spans="1:35" ht="24.75" thickBot="1">
      <c r="A59" s="3620" t="s">
        <v>1371</v>
      </c>
      <c r="B59" s="3621"/>
      <c r="C59" s="3621"/>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18">
        <f>J57+1</f>
        <v>6</v>
      </c>
      <c r="K59" s="3617" t="s">
        <v>1372</v>
      </c>
      <c r="L59" s="2522" t="s">
        <v>1368</v>
      </c>
      <c r="M59" s="2536"/>
      <c r="N59" s="2537">
        <f ca="1">M49-N57</f>
        <v>157</v>
      </c>
      <c r="O59" s="2538"/>
    </row>
    <row r="60" spans="1:35" ht="12" customHeight="1">
      <c r="A60" s="1809"/>
      <c r="B60" s="1747"/>
      <c r="C60" s="1747"/>
      <c r="D60" s="1747"/>
      <c r="E60" s="1578"/>
      <c r="F60" s="1808"/>
      <c r="G60" s="1808"/>
      <c r="H60" s="1810"/>
      <c r="I60" s="129"/>
      <c r="J60" s="3619"/>
      <c r="K60" s="3617"/>
      <c r="L60" s="2529" t="s">
        <v>1370</v>
      </c>
      <c r="M60" s="2533"/>
      <c r="N60" s="2534" t="str">
        <f ca="1">NUMBERSTRING(INT(N59*10000),2)&amp;"元整"</f>
        <v>壹佰伍拾柒万元整</v>
      </c>
      <c r="O60" s="2535"/>
    </row>
    <row r="61" spans="1:35" ht="13.5" thickBot="1">
      <c r="A61" s="3565" t="s">
        <v>1373</v>
      </c>
      <c r="B61" s="3565"/>
      <c r="C61" s="3565"/>
      <c r="D61" s="3565"/>
      <c r="E61" s="3565"/>
      <c r="F61" s="1808"/>
      <c r="G61" s="1808"/>
      <c r="H61" s="1810"/>
      <c r="I61" s="129"/>
      <c r="J61" s="2522">
        <f>J59+1</f>
        <v>7</v>
      </c>
      <c r="K61" s="3617" t="s">
        <v>1374</v>
      </c>
      <c r="L61" s="3617"/>
      <c r="M61" s="2539"/>
      <c r="N61" s="2540">
        <f ca="1">ROUND(N59*10000/'数据-汇总表'!E3,0)</f>
        <v>29572</v>
      </c>
      <c r="O61" s="2541"/>
    </row>
    <row r="62" spans="1:35" ht="12.75">
      <c r="A62" s="3583" t="s">
        <v>1375</v>
      </c>
      <c r="B62" s="3584"/>
      <c r="C62" s="2021"/>
      <c r="D62" s="2021" t="s">
        <v>1376</v>
      </c>
      <c r="E62" s="166" t="s">
        <v>1377</v>
      </c>
      <c r="F62" s="1808"/>
      <c r="G62" s="1808"/>
      <c r="H62" s="1810"/>
      <c r="I62" s="129"/>
    </row>
    <row r="63" spans="1:35" ht="12.75">
      <c r="A63" s="173" t="s">
        <v>330</v>
      </c>
      <c r="B63" s="167" t="s">
        <v>1378</v>
      </c>
      <c r="C63" s="2563">
        <f ca="1">ROUND((C64+C65)/(1+'数据-取费表'!C42),0)</f>
        <v>354</v>
      </c>
      <c r="D63" s="167"/>
      <c r="E63" s="168"/>
      <c r="F63" s="1808"/>
      <c r="G63" s="1808"/>
      <c r="H63" s="1810"/>
      <c r="I63" s="129"/>
      <c r="J63" s="3642" t="s">
        <v>1379</v>
      </c>
      <c r="K63" s="1332" t="s">
        <v>1380</v>
      </c>
      <c r="L63" s="1332">
        <f ca="1">IF(M49&gt;10000,M49*0.5%,IF(AND(M49&gt;1000,M49&lt;=10000),M49*1%,IF(AND(M49&gt;100,M49&lt;=1000),M49*3%,IF(AND(M49&gt;10,M49&lt;=100),M49*5%,M49*8%))))</f>
        <v>11.16</v>
      </c>
      <c r="M63" s="302">
        <f ca="1">ROUND(L63,1)</f>
        <v>11.2</v>
      </c>
      <c r="N63" s="2542"/>
      <c r="Z63" s="1752"/>
      <c r="AI63" s="1753"/>
    </row>
    <row r="64" spans="1:35" ht="14.25" customHeight="1">
      <c r="A64" s="169" t="s">
        <v>325</v>
      </c>
      <c r="B64" s="170" t="s">
        <v>1381</v>
      </c>
      <c r="C64" s="2564">
        <f ca="1">D45</f>
        <v>372</v>
      </c>
      <c r="D64" s="170" t="s">
        <v>26</v>
      </c>
      <c r="E64" s="172"/>
      <c r="F64" s="1808"/>
      <c r="G64" s="1808"/>
      <c r="H64" s="1810"/>
      <c r="I64" s="129"/>
      <c r="J64" s="3642"/>
      <c r="K64" s="1332" t="s">
        <v>1382</v>
      </c>
      <c r="L64" s="1332">
        <f ca="1">IF(M49&gt;2000,M49*0.5%,IF(AND(M49&gt;1000,M49&lt;=2000),M49*0.6%,IF(AND(M49&gt;500,M49&lt;=1000),M49*0.7%,IF(AND(M49&gt;200,M49&lt;=500),M49*0.8%,IF(AND(M49&gt;100,M49&lt;=200),M49*0.9%,IF(AND(M49&gt;50,M49&lt;=100),M49*1%,IF(AND(M49&gt;20,M49&lt;=50),M49*1.5%,IF(AND(M49&gt;10,M49&lt;=20),M49*2%,IF(AND(M49&gt;1,M49&lt;=10),M49*2.5%)))))))))</f>
        <v>2.976</v>
      </c>
      <c r="M64" s="302">
        <f t="shared" ref="M64:M65" ca="1" si="1">ROUND(L64,1)</f>
        <v>3</v>
      </c>
      <c r="N64" s="2543" t="s">
        <v>1383</v>
      </c>
      <c r="Z64" s="1752"/>
      <c r="AI64" s="1753"/>
    </row>
    <row r="65" spans="1:35" ht="14.25" customHeight="1">
      <c r="A65" s="169" t="s">
        <v>326</v>
      </c>
      <c r="B65" s="170" t="s">
        <v>1384</v>
      </c>
      <c r="C65" s="2565"/>
      <c r="D65" s="170"/>
      <c r="E65" s="172"/>
      <c r="F65" s="1808"/>
      <c r="G65" s="1808"/>
      <c r="H65" s="1810"/>
      <c r="I65" s="129"/>
      <c r="J65" s="3642"/>
      <c r="K65" s="1332" t="s">
        <v>1385</v>
      </c>
      <c r="L65" s="1332">
        <f ca="1">IF(M49&gt;1000,M49*0.1%,IF(AND(M49&gt;500,M49&lt;=1000),M49*0.5%,IF(AND(M49&gt;50,M49&lt;=500),M49*1%,IF(AND(M49&gt;1,M49&lt;=50),M49*1.5%))))</f>
        <v>3.72</v>
      </c>
      <c r="M65" s="302">
        <f t="shared" ca="1" si="1"/>
        <v>3.7</v>
      </c>
      <c r="N65" s="2543" t="s">
        <v>1383</v>
      </c>
      <c r="Z65" s="1752"/>
      <c r="AI65" s="1753"/>
    </row>
    <row r="66" spans="1:35" ht="14.25" customHeight="1">
      <c r="A66" s="173" t="s">
        <v>327</v>
      </c>
      <c r="B66" s="174" t="s">
        <v>1386</v>
      </c>
      <c r="C66" s="2566"/>
      <c r="D66" s="174" t="s">
        <v>26</v>
      </c>
      <c r="E66" s="1338" t="s">
        <v>671</v>
      </c>
      <c r="F66" s="1808"/>
      <c r="G66" s="1808"/>
      <c r="H66" s="1810"/>
      <c r="I66" s="129"/>
      <c r="J66" s="3642"/>
      <c r="K66" s="1332" t="s">
        <v>1387</v>
      </c>
      <c r="L66" s="1332">
        <f ca="1">M49*0.5%</f>
        <v>1.86</v>
      </c>
      <c r="M66" s="302">
        <f ca="1">IF(L66&gt;0.5,0.5,ROUND(L66,0))</f>
        <v>0.5</v>
      </c>
      <c r="N66" s="2543" t="s">
        <v>1388</v>
      </c>
      <c r="Z66" s="1752"/>
      <c r="AI66" s="1753"/>
    </row>
    <row r="67" spans="1:35" ht="14.25" customHeight="1">
      <c r="A67" s="173" t="s">
        <v>328</v>
      </c>
      <c r="B67" s="174" t="s">
        <v>1389</v>
      </c>
      <c r="C67" s="2567">
        <f ca="1">C63-C66</f>
        <v>354</v>
      </c>
      <c r="D67" s="170" t="s">
        <v>26</v>
      </c>
      <c r="E67" s="172"/>
      <c r="F67" s="1808"/>
      <c r="G67" s="1808"/>
      <c r="H67" s="1810"/>
      <c r="I67" s="129"/>
      <c r="J67" s="3642"/>
      <c r="K67" s="1332" t="s">
        <v>1390</v>
      </c>
      <c r="L67" s="1332">
        <f ca="1">IF(M49&gt;=10000,(8.25+(M49-10000)*0.01%),IF(AND(M49&gt;=8000,M49&lt;10000),(7.85+(M49-8000)*0.02%),IF(AND(M49&gt;=5000,M49&lt;8000),(6.65+(M49-5000)*0.04%),IF(AND(M49&gt;=2000,M49&lt;5000),(4.25+(PM49-2000)*0.08%),IF(AND(M49&gt;=1000,M49&lt;2000),(2.75+(M49-1000)*0.15%),IF(AND(M49&gt;=100,M49&lt;1000),(0.5+(M49-100)*0.25%),IF(AND(M49&gt;0,M49&lt;100),M49*0.5%)))))))</f>
        <v>1.1800000000000002</v>
      </c>
      <c r="M67" s="302">
        <f ca="1">ROUND(L67*0.9,1)</f>
        <v>1.1000000000000001</v>
      </c>
      <c r="N67" s="2542"/>
      <c r="Z67" s="1752"/>
      <c r="AI67" s="1753"/>
    </row>
    <row r="68" spans="1:35" ht="14.25" customHeight="1" thickBot="1">
      <c r="A68" s="176" t="s">
        <v>329</v>
      </c>
      <c r="B68" s="177" t="s">
        <v>1391</v>
      </c>
      <c r="C68" s="2568">
        <f ca="1">IF(C67&lt;=0,0,ROUND(C67*D68,0))</f>
        <v>20</v>
      </c>
      <c r="D68" s="2569">
        <f>'数据-取费表'!B41</f>
        <v>5.6000000000000001E-2</v>
      </c>
      <c r="E68" s="178"/>
      <c r="F68" s="1808"/>
      <c r="G68" s="1808"/>
      <c r="H68" s="1810"/>
      <c r="I68" s="129"/>
      <c r="J68" s="3642"/>
      <c r="K68" s="1332" t="s">
        <v>1392</v>
      </c>
      <c r="L68" s="1332">
        <f ca="1">IF(M49&gt;10000,M49*0.5%,IF(AND(M49&gt;5000,M49&lt;=10000),M49*1%,IF(AND(M49&gt;1000,M49&lt;=5000),M49*2%,IF(AND(M49&gt;200,M49&lt;=1000),M49*3%,M49*5%))))</f>
        <v>11.16</v>
      </c>
      <c r="M68" s="302">
        <f ca="1">ROUND(L68,1)</f>
        <v>11.2</v>
      </c>
      <c r="N68" s="2542"/>
      <c r="Z68" s="1752"/>
      <c r="AI68" s="1753"/>
    </row>
    <row r="69" spans="1:35" s="1772" customFormat="1" ht="16.5" customHeight="1">
      <c r="A69" s="1811"/>
      <c r="B69" s="1812"/>
      <c r="C69" s="1813"/>
      <c r="D69" s="1814"/>
      <c r="E69" s="1815"/>
      <c r="F69" s="1578"/>
      <c r="G69" s="1578"/>
      <c r="H69" s="1577"/>
      <c r="I69" s="1747"/>
      <c r="J69" s="3642"/>
      <c r="K69" s="1332" t="s">
        <v>1393</v>
      </c>
      <c r="L69" s="1332"/>
      <c r="M69" s="302">
        <f ca="1">ROUND(SUM(M63:M68),0)</f>
        <v>31</v>
      </c>
      <c r="N69" s="2544">
        <f ca="1">M69/M49</f>
        <v>8.3333333333333329E-2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354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v>
      </c>
      <c r="D78" s="2576">
        <f>'数据-取费表'!B43</f>
        <v>6.000000000000001E-3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211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354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4" t="s">
        <v>2128</v>
      </c>
      <c r="H90" s="3645"/>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2" t="s">
        <v>1422</v>
      </c>
      <c r="F92" s="3563"/>
      <c r="G92" s="3563"/>
      <c r="H92" s="3572"/>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v>
      </c>
      <c r="D93" s="2576">
        <f>'数据-取费表'!B43</f>
        <v>6.000000000000001E-3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211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比较法-办公</v>
      </c>
      <c r="D101" s="2585" t="str">
        <f>D4</f>
        <v>收益法 (元)</v>
      </c>
      <c r="E101" s="3639" t="s">
        <v>1431</v>
      </c>
      <c r="F101" s="3596"/>
      <c r="G101" s="1827" t="s">
        <v>1432</v>
      </c>
      <c r="H101" s="2594">
        <f ca="1">H118</f>
        <v>372</v>
      </c>
      <c r="I101" s="129"/>
    </row>
    <row r="102" spans="1:35" ht="18.75" customHeight="1">
      <c r="A102" s="3598" t="s">
        <v>1433</v>
      </c>
      <c r="B102" s="2583" t="s">
        <v>1432</v>
      </c>
      <c r="C102" s="2584">
        <f ca="1">IF(D32="楼面单价",ROUND(C19,0),C19)</f>
        <v>404</v>
      </c>
      <c r="D102" s="2585">
        <f ca="1">IF(D32="楼面单价",ROUND(D19,0),D19)</f>
        <v>340</v>
      </c>
      <c r="E102" s="3639"/>
      <c r="F102" s="3596"/>
      <c r="G102" s="1827" t="s">
        <v>1434</v>
      </c>
      <c r="H102" s="2554">
        <f ca="1">I118</f>
        <v>70148</v>
      </c>
      <c r="I102" s="129"/>
    </row>
    <row r="103" spans="1:35" ht="42.75" customHeight="1">
      <c r="A103" s="3598"/>
      <c r="B103" s="2583" t="s">
        <v>1434</v>
      </c>
      <c r="C103" s="2586">
        <f ca="1">C20</f>
        <v>76190</v>
      </c>
      <c r="D103" s="2587">
        <f ca="1">D20</f>
        <v>64106</v>
      </c>
      <c r="E103" s="3633" t="s">
        <v>1435</v>
      </c>
      <c r="F103" s="3634"/>
      <c r="G103" s="1828" t="s">
        <v>1436</v>
      </c>
      <c r="H103" s="2594">
        <f>IF(D36="正常操作",H104+H105+H106,H105+H106)</f>
        <v>0</v>
      </c>
      <c r="I103" s="129"/>
    </row>
    <row r="104" spans="1:35" ht="18.75" customHeight="1">
      <c r="A104" s="3598" t="s">
        <v>1437</v>
      </c>
      <c r="B104" s="2588" t="s">
        <v>1432</v>
      </c>
      <c r="C104" s="2589">
        <f ca="1">H118</f>
        <v>372</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70148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5" t="str">
        <f>IF(项目基本情况!E8="已注销","——","3.房地产抵押价值")</f>
        <v>3.房地产抵押价值</v>
      </c>
      <c r="F107" s="3596"/>
      <c r="G107" s="1827" t="s">
        <v>1432</v>
      </c>
      <c r="H107" s="2594">
        <f ca="1">IF(E107="——","——",H101-H103)</f>
        <v>372</v>
      </c>
      <c r="I107" s="129" t="s">
        <v>3435</v>
      </c>
      <c r="J107" s="725">
        <v>5309</v>
      </c>
    </row>
    <row r="108" spans="1:35" ht="18.75" customHeight="1">
      <c r="A108" s="129"/>
      <c r="B108" s="129"/>
      <c r="C108" s="129"/>
      <c r="D108" s="129">
        <f ca="1">ROUND(C105*B118,0)</f>
        <v>3724157</v>
      </c>
      <c r="E108" s="3595"/>
      <c r="F108" s="3596"/>
      <c r="G108" s="1827" t="s">
        <v>1434</v>
      </c>
      <c r="H108" s="2554">
        <f ca="1">IF(H107=H101,H102,ROUND(H107*10000/'数据-汇总表'!E3,0))</f>
        <v>70148</v>
      </c>
      <c r="I108" s="129" t="s">
        <v>3436</v>
      </c>
      <c r="J108" s="725">
        <v>24099</v>
      </c>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7" t="str">
        <f>IF(E109="——","——",H101-H105-H106)</f>
        <v>——</v>
      </c>
      <c r="I109" s="3457">
        <f ca="1">(J108-H108)/J108</f>
        <v>-1.9108261753599733</v>
      </c>
    </row>
    <row r="110" spans="1:35" ht="18.75" customHeight="1">
      <c r="A110" s="129"/>
      <c r="B110" s="129"/>
      <c r="C110" s="129"/>
      <c r="D110" s="129"/>
      <c r="E110" s="3595"/>
      <c r="F110" s="3596"/>
      <c r="G110" s="1827"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4" t="str">
        <f>IF(E111="——","——",N59)</f>
        <v>——</v>
      </c>
      <c r="I111" s="129"/>
    </row>
    <row r="112" spans="1:35" ht="18.75" customHeight="1" thickBot="1">
      <c r="A112" s="129"/>
      <c r="B112" s="129"/>
      <c r="C112" s="129"/>
      <c r="D112" s="129"/>
      <c r="E112" s="3628"/>
      <c r="F112" s="3629"/>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53.09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372</v>
      </c>
      <c r="I118" s="2329">
        <f ca="1">ROUND(IF(D32="楼面单价",C32,H118*10000/B118),0)</f>
        <v>70148</v>
      </c>
    </row>
    <row r="119" spans="1:27" ht="18.75" customHeight="1">
      <c r="A119" s="3566" t="s">
        <v>1452</v>
      </c>
      <c r="B119" s="3566"/>
      <c r="C119" s="3566"/>
      <c r="D119" s="3606" t="str">
        <f>NUMBERSTRING(INT(D118*10000),2)&amp;"元整"</f>
        <v>零元整</v>
      </c>
      <c r="E119" s="3608"/>
      <c r="F119" s="3606" t="str">
        <f>NUMBERSTRING(INT(F118*10000),2)&amp;"元整"</f>
        <v>零元整</v>
      </c>
      <c r="G119" s="3608"/>
      <c r="H119" s="3606" t="str">
        <f ca="1">NUMBERSTRING(INT(H118*10000),2)&amp;"元整"</f>
        <v>叁佰柒拾贰万元整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房地产抵押价值</v>
      </c>
      <c r="B122" s="3597"/>
      <c r="C122" s="3597"/>
      <c r="D122" s="3630">
        <f ca="1">H107</f>
        <v>372</v>
      </c>
      <c r="E122" s="3631"/>
      <c r="F122" s="3631"/>
      <c r="G122" s="3631"/>
      <c r="H122" s="3631"/>
      <c r="I122" s="3632"/>
      <c r="AA122" s="725"/>
    </row>
    <row r="123" spans="1:27" ht="18.75" customHeight="1">
      <c r="A123" s="3566" t="s">
        <v>1452</v>
      </c>
      <c r="B123" s="3566"/>
      <c r="C123" s="3566"/>
      <c r="D123" s="3606" t="str">
        <f ca="1">NUMBERSTRING(INT(D122*10000),2)&amp;"元整"</f>
        <v>叁佰柒拾贰万元整</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14912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2808815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10618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10618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53.09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53.09</v>
      </c>
      <c r="E19" s="211">
        <f>'数据-取费表'!B31</f>
        <v>200</v>
      </c>
      <c r="F19" s="231"/>
      <c r="G19" s="1856"/>
    </row>
    <row r="20" spans="1:7" s="214" customFormat="1" ht="13.5" customHeight="1">
      <c r="A20" s="255" t="s">
        <v>1493</v>
      </c>
      <c r="B20" s="210" t="s">
        <v>1494</v>
      </c>
      <c r="C20" s="232">
        <f ca="1">ROUND((C5+C19)*F20,0)</f>
        <v>212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730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2166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2166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53.09</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24</v>
      </c>
      <c r="D51" s="232"/>
      <c r="E51" s="232"/>
      <c r="F51" s="264"/>
      <c r="G51" s="234" t="s">
        <v>1560</v>
      </c>
    </row>
    <row r="52" spans="1:7" s="208" customFormat="1" ht="16.5" thickBot="1">
      <c r="A52" s="265" t="s">
        <v>1561</v>
      </c>
      <c r="B52" s="266"/>
      <c r="C52" s="267">
        <f ca="1">C31+C51</f>
        <v>14912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北京市房地产抵押价值预评估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4" sqref="G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2" t="s">
        <v>2084</v>
      </c>
      <c r="D1" s="3653"/>
      <c r="E1" s="3653"/>
      <c r="F1" s="3653"/>
      <c r="G1" s="3653"/>
      <c r="H1" s="3653"/>
      <c r="I1" s="3653"/>
      <c r="J1" s="3653"/>
      <c r="K1" s="3653"/>
      <c r="L1" s="3653"/>
      <c r="M1" s="3653"/>
      <c r="N1" s="3653"/>
      <c r="O1" s="3653"/>
      <c r="P1" s="3653"/>
      <c r="Q1" s="3653"/>
      <c r="R1" s="3653"/>
      <c r="S1" s="3654"/>
      <c r="T1" s="983" t="s">
        <v>2085</v>
      </c>
    </row>
    <row r="2" spans="1:45" s="655" customFormat="1" ht="38.25">
      <c r="A2" s="984"/>
      <c r="B2" s="651" t="s">
        <v>2086</v>
      </c>
      <c r="C2" s="652" t="str">
        <f t="shared" ref="C2:L2" si="0">C3&amp;"(含)"&amp;"-"&amp;D3</f>
        <v>0(含)-50</v>
      </c>
      <c r="D2" s="653" t="str">
        <f t="shared" si="0"/>
        <v>50(含)-100</v>
      </c>
      <c r="E2" s="653" t="str">
        <f t="shared" si="0"/>
        <v>100(含)-150</v>
      </c>
      <c r="F2" s="653" t="str">
        <f t="shared" si="0"/>
        <v>150(含)-200</v>
      </c>
      <c r="G2" s="653" t="str">
        <f t="shared" si="0"/>
        <v>200(含)-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5">
        <v>150</v>
      </c>
      <c r="G3" s="1305">
        <v>200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H4" si="7">D4-1</f>
        <v>98</v>
      </c>
      <c r="F4" s="990">
        <f t="shared" si="7"/>
        <v>97</v>
      </c>
      <c r="G4" s="990">
        <f t="shared" si="7"/>
        <v>96</v>
      </c>
      <c r="H4" s="990">
        <f t="shared" si="7"/>
        <v>95</v>
      </c>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649" t="s">
        <v>27</v>
      </c>
      <c r="D22" s="3650"/>
      <c r="E22" s="3650"/>
      <c r="F22" s="3650"/>
      <c r="G22" s="3650"/>
      <c r="H22" s="3650"/>
      <c r="I22" s="3650"/>
      <c r="J22" s="3650"/>
      <c r="K22" s="3650"/>
      <c r="L22" s="3650"/>
      <c r="M22" s="3650"/>
      <c r="N22" s="3650"/>
      <c r="O22" s="3650"/>
      <c r="P22" s="3650"/>
      <c r="Q22" s="3651"/>
      <c r="R22" s="663"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9" t="s">
        <v>3443</v>
      </c>
      <c r="B24" s="665">
        <f>Sheet1!C2</f>
        <v>0</v>
      </c>
      <c r="C24" s="2809">
        <v>1</v>
      </c>
      <c r="D24" s="2810"/>
      <c r="E24" s="2809">
        <v>1</v>
      </c>
      <c r="F24" s="2810"/>
      <c r="G24" s="2809">
        <v>1</v>
      </c>
      <c r="H24" s="2810"/>
      <c r="I24" s="2809">
        <v>1</v>
      </c>
      <c r="J24" s="2810"/>
      <c r="K24" s="2809">
        <v>1</v>
      </c>
      <c r="L24" s="2810"/>
      <c r="M24" s="2809">
        <v>1</v>
      </c>
      <c r="N24" s="2810"/>
      <c r="O24" s="2809">
        <v>1</v>
      </c>
      <c r="P24" s="2810"/>
      <c r="Q24" s="2809">
        <v>1</v>
      </c>
      <c r="R24" s="668">
        <f ca="1">结果表!C32</f>
        <v>70148</v>
      </c>
      <c r="S24" s="666">
        <f t="shared" ref="S24:S54" ca="1" si="12">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54" t="s">
        <v>3444</v>
      </c>
      <c r="B25" s="54">
        <f>Sheet1!C3</f>
        <v>0</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70148</v>
      </c>
      <c r="S25" s="316">
        <f t="shared" ca="1" si="12"/>
        <v>0</v>
      </c>
    </row>
    <row r="26" spans="1:45">
      <c r="A26" s="54" t="s">
        <v>3445</v>
      </c>
      <c r="B26" s="54">
        <f>Sheet1!C4</f>
        <v>0</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70148</v>
      </c>
      <c r="S26" s="316">
        <f t="shared" ca="1" si="12"/>
        <v>0</v>
      </c>
    </row>
    <row r="27" spans="1:45">
      <c r="A27" s="54" t="s">
        <v>3446</v>
      </c>
      <c r="B27" s="54">
        <f>Sheet1!C5</f>
        <v>0</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70148</v>
      </c>
      <c r="S27" s="316">
        <f t="shared" ca="1" si="12"/>
        <v>0</v>
      </c>
    </row>
    <row r="28" spans="1:45">
      <c r="A28" s="54" t="s">
        <v>3447</v>
      </c>
      <c r="B28" s="54">
        <f>Sheet1!C6</f>
        <v>0</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70148</v>
      </c>
      <c r="S28" s="316">
        <f t="shared" ca="1" si="12"/>
        <v>0</v>
      </c>
    </row>
    <row r="29" spans="1:45">
      <c r="A29" s="54" t="s">
        <v>3448</v>
      </c>
      <c r="B29" s="54">
        <f>Sheet1!C7</f>
        <v>0</v>
      </c>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ca="1" si="21"/>
        <v>70148</v>
      </c>
      <c r="S29" s="316">
        <f t="shared" ca="1" si="12"/>
        <v>0</v>
      </c>
    </row>
    <row r="30" spans="1:45">
      <c r="A30" s="54" t="s">
        <v>3449</v>
      </c>
      <c r="B30" s="54">
        <f>Sheet1!C8</f>
        <v>0</v>
      </c>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ca="1" si="21"/>
        <v>70148</v>
      </c>
      <c r="S30" s="316">
        <f t="shared" ca="1" si="12"/>
        <v>0</v>
      </c>
    </row>
    <row r="31" spans="1:45">
      <c r="A31" s="54" t="s">
        <v>3450</v>
      </c>
      <c r="B31" s="54">
        <f>Sheet1!C9</f>
        <v>0</v>
      </c>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ca="1" si="21"/>
        <v>70148</v>
      </c>
      <c r="S31" s="316">
        <f t="shared" ca="1" si="12"/>
        <v>0</v>
      </c>
    </row>
    <row r="32" spans="1:45">
      <c r="A32" s="54" t="s">
        <v>3451</v>
      </c>
      <c r="B32" s="54">
        <f>Sheet1!C10</f>
        <v>0</v>
      </c>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ca="1" si="21"/>
        <v>70148</v>
      </c>
      <c r="S32" s="316">
        <f t="shared" ca="1" si="12"/>
        <v>0</v>
      </c>
    </row>
    <row r="33" spans="1:19">
      <c r="A33" s="54" t="s">
        <v>3452</v>
      </c>
      <c r="B33" s="54">
        <f>Sheet1!C11</f>
        <v>0</v>
      </c>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ca="1" si="21"/>
        <v>70148</v>
      </c>
      <c r="S33" s="316">
        <f t="shared" ca="1" si="12"/>
        <v>0</v>
      </c>
    </row>
    <row r="34" spans="1:19">
      <c r="A34" s="54" t="s">
        <v>3453</v>
      </c>
      <c r="B34" s="54">
        <f>Sheet1!C12</f>
        <v>0</v>
      </c>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ca="1" si="21"/>
        <v>70148</v>
      </c>
      <c r="S34" s="316">
        <f t="shared" ca="1" si="12"/>
        <v>0</v>
      </c>
    </row>
    <row r="35" spans="1:19">
      <c r="A35" s="54" t="s">
        <v>3454</v>
      </c>
      <c r="B35" s="54">
        <f>Sheet1!C13</f>
        <v>0</v>
      </c>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ca="1" si="21"/>
        <v>70148</v>
      </c>
      <c r="S35" s="316">
        <f t="shared" ca="1" si="12"/>
        <v>0</v>
      </c>
    </row>
    <row r="36" spans="1:19">
      <c r="A36" s="54" t="s">
        <v>3455</v>
      </c>
      <c r="B36" s="54">
        <f>Sheet1!C14</f>
        <v>0</v>
      </c>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ca="1" si="21"/>
        <v>70148</v>
      </c>
      <c r="S36" s="316">
        <f t="shared" ca="1" si="12"/>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2"/>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2"/>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2"/>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2"/>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2"/>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2"/>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2"/>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2"/>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2"/>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2"/>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2"/>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2"/>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2"/>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2"/>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2"/>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2"/>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2"/>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2"/>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85" zoomScaleNormal="70" zoomScaleSheetLayoutView="85" workbookViewId="0">
      <selection activeCell="K40" sqref="K4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397.92619999999999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74953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2660624.42</v>
      </c>
      <c r="D5" s="211" t="s">
        <v>1469</v>
      </c>
      <c r="E5" s="212" t="s">
        <v>1470</v>
      </c>
      <c r="F5" s="212" t="s">
        <v>1471</v>
      </c>
      <c r="G5" s="213"/>
    </row>
    <row r="6" spans="1:8" s="214" customFormat="1" ht="13.5" customHeight="1">
      <c r="A6" s="778" t="s">
        <v>1472</v>
      </c>
      <c r="B6" s="215" t="s">
        <v>1473</v>
      </c>
      <c r="C6" s="216">
        <f>ROUND(基准地价修正!C33*基准地价修正!D33,2)</f>
        <v>2571573.42</v>
      </c>
      <c r="D6" s="217"/>
      <c r="E6" s="218"/>
      <c r="F6" s="218"/>
      <c r="G6" s="219"/>
    </row>
    <row r="7" spans="1:8" s="214" customFormat="1" ht="13.5" customHeight="1">
      <c r="A7" s="778" t="s">
        <v>1474</v>
      </c>
      <c r="B7" s="215" t="s">
        <v>1475</v>
      </c>
      <c r="C7" s="220">
        <f>ROUND(C6*F7,0)</f>
        <v>78433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10618</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10618</v>
      </c>
      <c r="D10" s="845">
        <f ca="1">IF(B1="",'数据-汇总表'!E6,IF(INDIRECT("'数据-取费表'!c"&amp;$G$1)="住宅",INDIRECT("'数据-取费表'!s"&amp;$G$1),INDIRECT("'数据-取费表'!k"&amp;$G$1)+INDIRECT("'数据-取费表'!s"&amp;$G$1)))</f>
        <v>53.09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53.09</v>
      </c>
      <c r="E19" s="211">
        <f>'数据-取费表'!B31</f>
        <v>200</v>
      </c>
      <c r="F19" s="231"/>
      <c r="G19" s="1856" t="s">
        <v>3397</v>
      </c>
    </row>
    <row r="20" spans="1:7" s="214" customFormat="1" ht="13.5" customHeight="1">
      <c r="A20" s="255" t="s">
        <v>1574</v>
      </c>
      <c r="B20" s="210" t="s">
        <v>1575</v>
      </c>
      <c r="C20" s="232">
        <f ca="1">ROUND((C5+C19)*F20,0)</f>
        <v>53212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183031</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181248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1783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542767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542767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3730623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233596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212360</v>
      </c>
      <c r="D34" s="217"/>
      <c r="E34" s="220"/>
      <c r="F34" s="257"/>
      <c r="G34" s="219"/>
    </row>
    <row r="35" spans="1:7" ht="13.5" customHeight="1">
      <c r="A35" s="780" t="s">
        <v>351</v>
      </c>
      <c r="B35" s="215" t="s">
        <v>1527</v>
      </c>
      <c r="C35" s="220">
        <f ca="1">ROUND(C34*F35,0)</f>
        <v>6371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10618</v>
      </c>
      <c r="D37" s="217">
        <f ca="1">D19</f>
        <v>53.09</v>
      </c>
      <c r="E37" s="249">
        <f>'数据-取费表'!B35</f>
        <v>200</v>
      </c>
      <c r="F37" s="259"/>
      <c r="G37" s="261"/>
    </row>
    <row r="38" spans="1:7" ht="13.5" customHeight="1">
      <c r="A38" s="780" t="s">
        <v>354</v>
      </c>
      <c r="B38" s="215" t="s">
        <v>1533</v>
      </c>
      <c r="C38" s="220">
        <f ca="1">ROUND(C34*F38,0)</f>
        <v>4247</v>
      </c>
      <c r="D38" s="220"/>
      <c r="E38" s="220"/>
      <c r="F38" s="259">
        <f>'数据-取费表'!B36</f>
        <v>0.02</v>
      </c>
      <c r="G38" s="219" t="s">
        <v>1528</v>
      </c>
    </row>
    <row r="39" spans="1:7" s="214" customFormat="1" ht="13.5" customHeight="1">
      <c r="A39" s="255" t="s">
        <v>1534</v>
      </c>
      <c r="B39" s="210" t="s">
        <v>1535</v>
      </c>
      <c r="C39" s="232">
        <f ca="1">ROUND(C33*F20,0)</f>
        <v>4672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7982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7825</v>
      </c>
      <c r="D42" s="238"/>
      <c r="E42" s="238"/>
      <c r="F42" s="239"/>
      <c r="G42" s="3646" t="s">
        <v>1591</v>
      </c>
    </row>
    <row r="43" spans="1:7" ht="13.5" customHeight="1">
      <c r="A43" s="780" t="s">
        <v>347</v>
      </c>
      <c r="B43" s="215" t="s">
        <v>1545</v>
      </c>
      <c r="C43" s="238">
        <f ca="1">ROUND(IF('数据-取费表'!B22&lt;=1,C39*F22*'数据-取费表'!B20/2,C39*(POWER((1+F22),'数据-取费表'!B20/2)-1)),0)</f>
        <v>157</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47654</v>
      </c>
      <c r="D45" s="235">
        <f ca="1">C47</f>
        <v>4.0000000000000001E-3</v>
      </c>
      <c r="E45" s="236" t="s">
        <v>1539</v>
      </c>
      <c r="F45" s="246">
        <f ca="1">F27</f>
        <v>0.2</v>
      </c>
      <c r="G45" s="247" t="s">
        <v>1548</v>
      </c>
    </row>
    <row r="46" spans="1:7" s="214" customFormat="1" ht="13.5" customHeight="1">
      <c r="A46" s="780" t="s">
        <v>346</v>
      </c>
      <c r="B46" s="248" t="s">
        <v>1549</v>
      </c>
      <c r="C46" s="249">
        <f ca="1">ROUND((C33+C39)*F27,0)</f>
        <v>47654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318768</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248639</v>
      </c>
      <c r="D51" s="232"/>
      <c r="E51" s="232"/>
      <c r="F51" s="264"/>
      <c r="G51" s="234" t="s">
        <v>1560</v>
      </c>
    </row>
    <row r="52" spans="1:7" s="208" customFormat="1" ht="16.5" thickBot="1">
      <c r="A52" s="265" t="s">
        <v>1561</v>
      </c>
      <c r="B52" s="266"/>
      <c r="C52" s="267">
        <f ca="1">C31+C51</f>
        <v>3979262</v>
      </c>
      <c r="D52" s="266"/>
      <c r="E52" s="266"/>
      <c r="F52" s="266"/>
      <c r="G52" s="268"/>
    </row>
    <row r="55" spans="1:7" ht="15">
      <c r="B55" s="270" t="s">
        <v>1562</v>
      </c>
      <c r="C55" s="271"/>
    </row>
    <row r="56" spans="1:7">
      <c r="B56" s="273" t="s">
        <v>802</v>
      </c>
      <c r="C56" s="275">
        <f ca="1">1-C57</f>
        <v>0.93799999999999994</v>
      </c>
    </row>
    <row r="57" spans="1:7">
      <c r="B57" s="273" t="s">
        <v>803</v>
      </c>
      <c r="C57" s="274">
        <f ca="1">ROUND(C51/C52,3)</f>
        <v>6.2E-2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12629</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2378791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53.09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53.09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-10617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53.09</v>
      </c>
      <c r="E20" s="21">
        <f>'数据-取费表'!B28</f>
        <v>200</v>
      </c>
      <c r="F20" s="804"/>
      <c r="G20" s="12"/>
      <c r="H20" s="809"/>
      <c r="I20" s="809"/>
      <c r="J20" s="809"/>
      <c r="K20" s="810"/>
    </row>
    <row r="21" spans="1:33" s="803" customFormat="1" ht="13.5" customHeight="1">
      <c r="A21" s="790" t="s">
        <v>357</v>
      </c>
      <c r="B21" s="813" t="s">
        <v>1628</v>
      </c>
      <c r="C21" s="814">
        <f ca="1">C16+C17+C18</f>
        <v>-10617</v>
      </c>
      <c r="D21" s="815"/>
      <c r="E21" s="281"/>
      <c r="F21" s="281"/>
      <c r="G21" s="131" t="s">
        <v>1629</v>
      </c>
      <c r="H21" s="807"/>
      <c r="I21" s="807"/>
      <c r="J21" s="807"/>
      <c r="K21" s="808"/>
    </row>
    <row r="22" spans="1:33" s="803" customFormat="1" ht="13.5" customHeight="1">
      <c r="A22" s="790" t="s">
        <v>1601</v>
      </c>
      <c r="B22" s="813" t="s">
        <v>1630</v>
      </c>
      <c r="C22" s="814">
        <f ca="1">ROUND(C21*F22,0)</f>
        <v>-212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-2166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-2166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12629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2108</v>
      </c>
      <c r="E6" s="302" t="s">
        <v>696</v>
      </c>
      <c r="F6" s="303">
        <f ca="1">INDIRECT("'数据-取费表'!u"&amp;$G$1)</f>
        <v>0</v>
      </c>
      <c r="G6" s="1384"/>
      <c r="H6" s="1069" t="s">
        <v>398</v>
      </c>
      <c r="I6" s="3657" t="s">
        <v>694</v>
      </c>
      <c r="J6" s="301">
        <f ca="1">ROUND(M6*M8*M7*(1-M9)/10000,0)</f>
        <v>0</v>
      </c>
      <c r="K6" s="15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M47" sqref="M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673</v>
      </c>
      <c r="E1" s="3432" t="s">
        <v>3462</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404.49270000000001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76190</v>
      </c>
      <c r="C3" s="354" t="s">
        <v>1768</v>
      </c>
      <c r="D3" s="353">
        <f>IF(D1="",'数据-汇总表'!E3,SUMIF('数据-汇总表'!$C19:$C33,D1,'数据-汇总表'!$E19:$E33))</f>
        <v>53.09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88" t="s">
        <v>1771</v>
      </c>
      <c r="S4" s="3689"/>
      <c r="T4" s="3688" t="s">
        <v>1772</v>
      </c>
      <c r="U4" s="3689"/>
      <c r="V4" s="3694" t="s">
        <v>1773</v>
      </c>
      <c r="W4" s="3694"/>
      <c r="X4" s="1958"/>
      <c r="Y4" s="3688" t="s">
        <v>1775</v>
      </c>
      <c r="Z4" s="3689"/>
      <c r="AA4" s="3706" t="s">
        <v>1771</v>
      </c>
      <c r="AB4" s="3706" t="s">
        <v>1772</v>
      </c>
      <c r="AC4" s="3675" t="s">
        <v>1773</v>
      </c>
    </row>
    <row r="5" spans="1:29" ht="15">
      <c r="A5" s="358"/>
      <c r="B5" s="359"/>
      <c r="C5" s="3698" t="s">
        <v>1673</v>
      </c>
      <c r="D5" s="3699"/>
      <c r="E5" s="3709"/>
      <c r="F5" s="3710"/>
      <c r="G5" s="3698"/>
      <c r="H5" s="3699"/>
      <c r="I5" s="3698"/>
      <c r="J5" s="3699"/>
      <c r="K5" s="559"/>
      <c r="L5" s="2714"/>
      <c r="M5" s="2715"/>
      <c r="N5" s="2715"/>
      <c r="O5" s="2715"/>
      <c r="P5" s="3684"/>
      <c r="Q5" s="3685"/>
      <c r="R5" s="3690"/>
      <c r="S5" s="3691"/>
      <c r="T5" s="3690"/>
      <c r="U5" s="3691"/>
      <c r="V5" s="3695"/>
      <c r="W5" s="3695"/>
      <c r="X5" s="1355"/>
      <c r="Y5" s="3690"/>
      <c r="Z5" s="3691"/>
      <c r="AA5" s="3707"/>
      <c r="AB5" s="3707"/>
      <c r="AC5" s="3676"/>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686"/>
      <c r="Q6" s="3687"/>
      <c r="R6" s="3690"/>
      <c r="S6" s="3691"/>
      <c r="T6" s="3692"/>
      <c r="U6" s="3693"/>
      <c r="V6" s="3695"/>
      <c r="W6" s="3695"/>
      <c r="X6" s="1355"/>
      <c r="Y6" s="3692"/>
      <c r="Z6" s="3693"/>
      <c r="AA6" s="3708"/>
      <c r="AB6" s="3708"/>
      <c r="AC6" s="3677"/>
    </row>
    <row r="7" spans="1:29" s="108" customFormat="1" ht="15.75" thickBot="1">
      <c r="A7" s="362" t="s">
        <v>1679</v>
      </c>
      <c r="B7" s="363"/>
      <c r="C7" s="364">
        <f>'数据-取费表'!B2</f>
        <v>45561</v>
      </c>
      <c r="D7" s="365">
        <v>100</v>
      </c>
      <c r="E7" s="366">
        <v>45536</v>
      </c>
      <c r="F7" s="367">
        <f>SUMIF(59:59,YEAR(E7)&amp;"-"&amp;MONTH(E7),60:60)</f>
        <v>100</v>
      </c>
      <c r="G7" s="366">
        <v>45536</v>
      </c>
      <c r="H7" s="365">
        <f>SUMIF(59:59,YEAR(G7)&amp;"-"&amp;MONTH(G7),60:60)</f>
        <v>100</v>
      </c>
      <c r="I7" s="366">
        <v>45536</v>
      </c>
      <c r="J7" s="365">
        <f>SUMIF(59:59,YEAR(I7)&amp;"-"&amp;MONTH(I7),60:60)</f>
        <v>100</v>
      </c>
      <c r="K7" s="560"/>
      <c r="L7" s="2716"/>
      <c r="M7" s="2717"/>
      <c r="N7" s="2717"/>
      <c r="O7" s="2717"/>
      <c r="P7" s="3700" t="s">
        <v>1680</v>
      </c>
      <c r="Q7" s="3703"/>
      <c r="R7" s="701" t="s">
        <v>14</v>
      </c>
      <c r="S7" s="702">
        <f t="shared" ref="S7:S15" si="0">F7</f>
        <v>100</v>
      </c>
      <c r="T7" s="701" t="s">
        <v>14</v>
      </c>
      <c r="U7" s="702">
        <f t="shared" ref="U7:U15" si="1">H7</f>
        <v>100</v>
      </c>
      <c r="V7" s="701" t="s">
        <v>14</v>
      </c>
      <c r="W7" s="702">
        <f t="shared" ref="W7:W15" si="2">J7</f>
        <v>100</v>
      </c>
      <c r="X7" s="703"/>
      <c r="Y7" s="3702" t="s">
        <v>1680</v>
      </c>
      <c r="Z7" s="3701"/>
      <c r="AA7" s="704">
        <f>D7/F7</f>
        <v>1</v>
      </c>
      <c r="AB7" s="704">
        <f>D7/H7</f>
        <v>1</v>
      </c>
      <c r="AC7" s="1959">
        <f>D7/J7</f>
        <v>1</v>
      </c>
    </row>
    <row r="8" spans="1:29" s="108" customFormat="1" ht="15.75" thickBot="1">
      <c r="A8" s="362" t="s">
        <v>1681</v>
      </c>
      <c r="B8" s="363"/>
      <c r="C8" s="368" t="s">
        <v>3414</v>
      </c>
      <c r="D8" s="365">
        <v>100</v>
      </c>
      <c r="E8" s="368" t="s">
        <v>3433</v>
      </c>
      <c r="F8" s="367">
        <f>SUMIF(62:62,E8,63:63)-SUMIF(62:62,C8,63:63)+100</f>
        <v>105</v>
      </c>
      <c r="G8" s="368" t="s">
        <v>3433</v>
      </c>
      <c r="H8" s="365">
        <f>SUMIF(62:62,G8,63:63)-SUMIF(62:62,C8,63:63)+100</f>
        <v>105</v>
      </c>
      <c r="I8" s="368" t="s">
        <v>3433</v>
      </c>
      <c r="J8" s="365">
        <f>SUMIF(62:62,I8,63:63)-SUMIF(62:62,C8,63:63)+100</f>
        <v>105</v>
      </c>
      <c r="K8" s="560"/>
      <c r="L8" s="2716"/>
      <c r="M8" s="2717"/>
      <c r="N8" s="2717"/>
      <c r="O8" s="2717"/>
      <c r="P8" s="3700" t="s">
        <v>1683</v>
      </c>
      <c r="Q8" s="3701"/>
      <c r="R8" s="701" t="s">
        <v>14</v>
      </c>
      <c r="S8" s="702">
        <f t="shared" si="0"/>
        <v>105</v>
      </c>
      <c r="T8" s="701" t="s">
        <v>14</v>
      </c>
      <c r="U8" s="702">
        <f t="shared" si="1"/>
        <v>105</v>
      </c>
      <c r="V8" s="701" t="s">
        <v>14</v>
      </c>
      <c r="W8" s="702">
        <f t="shared" si="2"/>
        <v>105</v>
      </c>
      <c r="X8" s="703"/>
      <c r="Y8" s="3702" t="s">
        <v>1683</v>
      </c>
      <c r="Z8" s="3701"/>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0" t="s">
        <v>3460</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66"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t="s">
        <v>3407</v>
      </c>
      <c r="D16" s="399"/>
      <c r="E16" s="1904" t="s">
        <v>3407</v>
      </c>
      <c r="F16" s="399"/>
      <c r="G16" s="1904" t="s">
        <v>3407</v>
      </c>
      <c r="H16" s="401"/>
      <c r="I16" s="1904" t="s">
        <v>3407</v>
      </c>
      <c r="J16" s="399"/>
      <c r="K16" s="564"/>
      <c r="L16" s="2721"/>
      <c r="M16" s="2715"/>
      <c r="N16" s="2715"/>
      <c r="O16" s="2715"/>
      <c r="P16" s="3667"/>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t="s">
        <v>3407</v>
      </c>
      <c r="D18" s="401"/>
      <c r="E18" s="1964" t="s">
        <v>3407</v>
      </c>
      <c r="F18" s="401"/>
      <c r="G18" s="1964" t="s">
        <v>3407</v>
      </c>
      <c r="H18" s="399"/>
      <c r="I18" s="1964" t="s">
        <v>3407</v>
      </c>
      <c r="J18" s="399"/>
      <c r="K18" s="564"/>
      <c r="L18" s="2721"/>
      <c r="M18" s="2715"/>
      <c r="N18" s="2715"/>
      <c r="O18" s="2715"/>
      <c r="P18" s="3667"/>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64" t="s">
        <v>3407</v>
      </c>
      <c r="D20" s="399"/>
      <c r="E20" s="1964" t="s">
        <v>3407</v>
      </c>
      <c r="F20" s="399"/>
      <c r="G20" s="1964" t="s">
        <v>3407</v>
      </c>
      <c r="H20" s="399"/>
      <c r="I20" s="1964" t="s">
        <v>3407</v>
      </c>
      <c r="J20" s="399"/>
      <c r="K20" s="564"/>
      <c r="L20" s="2721"/>
      <c r="M20" s="2715"/>
      <c r="N20" s="2715"/>
      <c r="O20" s="2715"/>
      <c r="P20" s="3667"/>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t="s">
        <v>3424</v>
      </c>
      <c r="D22" s="399"/>
      <c r="E22" s="1964" t="s">
        <v>3424</v>
      </c>
      <c r="F22" s="399"/>
      <c r="G22" s="1964" t="s">
        <v>3424</v>
      </c>
      <c r="H22" s="399"/>
      <c r="I22" s="1964" t="s">
        <v>3424</v>
      </c>
      <c r="J22" s="399"/>
      <c r="K22" s="1130"/>
      <c r="L22" s="2721"/>
      <c r="M22" s="2715"/>
      <c r="N22" s="2715"/>
      <c r="O22" s="2715"/>
      <c r="P22" s="3667"/>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67"/>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64" t="s">
        <v>3407</v>
      </c>
      <c r="D24" s="399"/>
      <c r="E24" s="1964" t="s">
        <v>3407</v>
      </c>
      <c r="F24" s="399"/>
      <c r="G24" s="1964" t="s">
        <v>3407</v>
      </c>
      <c r="H24" s="399"/>
      <c r="I24" s="1964" t="s">
        <v>3407</v>
      </c>
      <c r="J24" s="399"/>
      <c r="K24" s="564"/>
      <c r="L24" s="2721"/>
      <c r="M24" s="2715"/>
      <c r="N24" s="2715"/>
      <c r="O24" s="2715"/>
      <c r="P24" s="3667"/>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1"/>
      <c r="M25" s="2715"/>
      <c r="N25" s="2715"/>
      <c r="O25" s="2715"/>
      <c r="P25" s="3667"/>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67"/>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82"/>
      <c r="F27" s="386">
        <f>SUMIF(89:89,E27,90:90)-SUMIF(89:89,C27,90:90)+100</f>
        <v>100</v>
      </c>
      <c r="G27" s="582"/>
      <c r="H27" s="386">
        <f>SUMIF(89:89,G27,90:90)-SUMIF(89:89,C27,90:90)+100</f>
        <v>100</v>
      </c>
      <c r="I27" s="582"/>
      <c r="J27" s="386">
        <f>SUMIF(89:89,I27,90:90)-SUMIF(89:89,C27,90:90)+100</f>
        <v>100</v>
      </c>
      <c r="K27" s="561">
        <v>2</v>
      </c>
      <c r="L27" s="2721"/>
      <c r="M27" s="2715"/>
      <c r="N27" s="2715"/>
      <c r="O27" s="2715"/>
      <c r="P27" s="3667"/>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67"/>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67"/>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67"/>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t="s">
        <v>3432</v>
      </c>
      <c r="D33" s="418">
        <v>100</v>
      </c>
      <c r="E33" s="1967" t="s">
        <v>3432</v>
      </c>
      <c r="F33" s="412">
        <f>SUMIF(101:101,E33,102:102)-SUMIF(101:101,C33,102:102)+100</f>
        <v>100</v>
      </c>
      <c r="G33" s="1967" t="s">
        <v>3432</v>
      </c>
      <c r="H33" s="386">
        <f>SUMIF(101:101,G33,102:102)-SUMIF(101:101,C33,102:102)+100</f>
        <v>100</v>
      </c>
      <c r="I33" s="1967" t="s">
        <v>3432</v>
      </c>
      <c r="J33" s="418">
        <f>SUMIF(101:101,I33,102:102)-SUMIF(101:101,C33,102:102)+100</f>
        <v>100</v>
      </c>
      <c r="K33" s="561">
        <v>2</v>
      </c>
      <c r="L33" s="2721"/>
      <c r="M33" s="2715"/>
      <c r="N33" s="2715"/>
      <c r="O33" s="2715"/>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53.09</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71"/>
      <c r="Q34" s="707" t="str">
        <f t="shared" si="11"/>
        <v>项目建筑规模</v>
      </c>
      <c r="R34" s="708" t="s">
        <v>14</v>
      </c>
      <c r="S34" s="709">
        <f t="shared" si="12"/>
        <v>100</v>
      </c>
      <c r="T34" s="708" t="s">
        <v>14</v>
      </c>
      <c r="U34" s="709">
        <f t="shared" si="13"/>
        <v>100</v>
      </c>
      <c r="V34" s="708" t="s">
        <v>14</v>
      </c>
      <c r="W34" s="709">
        <f t="shared" si="14"/>
        <v>100</v>
      </c>
      <c r="X34" s="710"/>
      <c r="Y34" s="3673"/>
      <c r="Z34" s="711" t="str">
        <f t="shared" si="15"/>
        <v>项目建筑规模</v>
      </c>
      <c r="AA34" s="1353">
        <f t="shared" si="3"/>
        <v>1</v>
      </c>
      <c r="AB34" s="1353">
        <f t="shared" si="4"/>
        <v>1</v>
      </c>
      <c r="AC34" s="1962">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2</v>
      </c>
      <c r="L35" s="2721"/>
      <c r="M35" s="2715"/>
      <c r="N35" s="2715"/>
      <c r="O35" s="2715"/>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t="s">
        <v>3419</v>
      </c>
      <c r="D36" s="386">
        <v>100</v>
      </c>
      <c r="E36" s="411" t="s">
        <v>3419</v>
      </c>
      <c r="F36" s="412">
        <f>SUMIF(108:108,E36,109:109)-SUMIF(108:108,C36,109:109)+100</f>
        <v>100</v>
      </c>
      <c r="G36" s="411" t="s">
        <v>3419</v>
      </c>
      <c r="H36" s="386">
        <f>SUMIF(108:108,G36,109:109)-SUMIF(108:108,C36,109:109)+100</f>
        <v>100</v>
      </c>
      <c r="I36" s="411" t="s">
        <v>3419</v>
      </c>
      <c r="J36" s="386">
        <f>SUMIF(108:108,I36,109:109)-SUMIF(108:108,C36,109:109)+100</f>
        <v>100</v>
      </c>
      <c r="K36" s="561">
        <v>2</v>
      </c>
      <c r="L36" s="2721"/>
      <c r="M36" s="2715"/>
      <c r="N36" s="2715"/>
      <c r="O36" s="2715"/>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f>'数据-取费表'!N6</f>
        <v>0.78</v>
      </c>
      <c r="D37" s="386">
        <v>100</v>
      </c>
      <c r="E37" s="425">
        <f>C37</f>
        <v>0.78</v>
      </c>
      <c r="F37" s="412">
        <f>LOOKUP(E37,111:111,112:112)-LOOKUP(C37,111:111,112:112)+100</f>
        <v>100</v>
      </c>
      <c r="G37" s="425">
        <f>C37</f>
        <v>0.78</v>
      </c>
      <c r="H37" s="412">
        <f>LOOKUP(G37,111:111,112:112)-LOOKUP(C37,111:111,112:112)+100</f>
        <v>100</v>
      </c>
      <c r="I37" s="425">
        <f>C37</f>
        <v>0.78</v>
      </c>
      <c r="J37" s="386">
        <f>LOOKUP(I37,111:111,112:112)-LOOKUP(C37,111:111,112:112)+100</f>
        <v>100</v>
      </c>
      <c r="K37" s="561">
        <v>2</v>
      </c>
      <c r="L37" s="2721"/>
      <c r="M37" s="2715"/>
      <c r="N37" s="2715"/>
      <c r="O37" s="2715"/>
      <c r="P37" s="3671"/>
      <c r="Q37" s="1352" t="str">
        <f t="shared" si="11"/>
        <v>成新度</v>
      </c>
      <c r="R37" s="705" t="s">
        <v>14</v>
      </c>
      <c r="S37" s="706">
        <f t="shared" si="12"/>
        <v>100</v>
      </c>
      <c r="T37" s="705" t="s">
        <v>14</v>
      </c>
      <c r="U37" s="706">
        <f t="shared" si="13"/>
        <v>100</v>
      </c>
      <c r="V37" s="705" t="s">
        <v>14</v>
      </c>
      <c r="W37" s="706">
        <f t="shared" si="14"/>
        <v>100</v>
      </c>
      <c r="X37" s="1355"/>
      <c r="Y37" s="367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2</v>
      </c>
      <c r="L38" s="2716"/>
      <c r="M38" s="2717"/>
      <c r="N38" s="2717"/>
      <c r="O38" s="2717"/>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2</v>
      </c>
      <c r="L39" s="2721"/>
      <c r="M39" s="2715"/>
      <c r="N39" s="2715"/>
      <c r="O39" s="2715"/>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c r="L40" s="2721"/>
      <c r="M40" s="2715"/>
      <c r="N40" s="2715"/>
      <c r="O40" s="2715"/>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t="s">
        <v>3419</v>
      </c>
      <c r="D43" s="386">
        <v>100</v>
      </c>
      <c r="E43" s="411" t="s">
        <v>3419</v>
      </c>
      <c r="F43" s="412">
        <f>SUMIF(123:123,E43,124:124)-SUMIF(123:123,C43,124:124)+100</f>
        <v>100</v>
      </c>
      <c r="G43" s="411" t="s">
        <v>3419</v>
      </c>
      <c r="H43" s="386">
        <f>SUMIF(123:123,G43,124:124)-SUMIF(123:123,C43,124:124)+100</f>
        <v>100</v>
      </c>
      <c r="I43" s="411" t="s">
        <v>3419</v>
      </c>
      <c r="J43" s="386">
        <f>SUMIF(123:123,I43,124:124)-SUMIF(123:123,C43,124:124)+100</f>
        <v>100</v>
      </c>
      <c r="K43" s="561">
        <v>2</v>
      </c>
      <c r="L43" s="2721"/>
      <c r="M43" s="2715"/>
      <c r="N43" s="2715"/>
      <c r="O43" s="2715"/>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t="s">
        <v>3407</v>
      </c>
      <c r="D44" s="386">
        <v>100</v>
      </c>
      <c r="E44" s="411" t="s">
        <v>3407</v>
      </c>
      <c r="F44" s="412">
        <f>SUMIF(125:125,E44,126:126)-SUMIF(125:125,C44,126:126)+100</f>
        <v>100</v>
      </c>
      <c r="G44" s="411" t="s">
        <v>3407</v>
      </c>
      <c r="H44" s="386">
        <f>SUMIF(125:125,G44,126:126)-SUMIF(125:125,C44,126:126)+100</f>
        <v>100</v>
      </c>
      <c r="I44" s="411" t="s">
        <v>3407</v>
      </c>
      <c r="J44" s="386">
        <f>SUMIF(125:125,I44,126:126)-SUMIF(125:125,C44,126:126)+100</f>
        <v>100</v>
      </c>
      <c r="K44" s="561">
        <v>2</v>
      </c>
      <c r="L44" s="2721"/>
      <c r="M44" s="2715"/>
      <c r="N44" s="2715"/>
      <c r="O44" s="2715"/>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v>80000</v>
      </c>
      <c r="F48" s="1157"/>
      <c r="G48" s="1158">
        <v>80000</v>
      </c>
      <c r="H48" s="1159"/>
      <c r="I48" s="1156">
        <v>80000</v>
      </c>
      <c r="J48" s="436"/>
      <c r="K48" s="714"/>
      <c r="L48" s="2723"/>
      <c r="M48" s="2715"/>
      <c r="N48" s="2715"/>
      <c r="O48" s="2715"/>
      <c r="P48" s="3660" t="str">
        <f>A48</f>
        <v>成交单价（元/平方米）</v>
      </c>
      <c r="Q48" s="3661"/>
      <c r="R48" s="3662">
        <f>E48</f>
        <v>80000</v>
      </c>
      <c r="S48" s="3662"/>
      <c r="T48" s="3662">
        <f>G48</f>
        <v>80000</v>
      </c>
      <c r="U48" s="3662"/>
      <c r="V48" s="3662">
        <f>I48</f>
        <v>80000</v>
      </c>
      <c r="W48" s="3662"/>
      <c r="X48" s="397"/>
      <c r="Y48" s="712"/>
      <c r="Z48" s="397"/>
      <c r="AA48" s="397"/>
      <c r="AB48" s="397"/>
      <c r="AC48" s="578"/>
    </row>
    <row r="49" spans="1:29" ht="15.75" thickBot="1">
      <c r="A49" s="437" t="s">
        <v>1793</v>
      </c>
      <c r="B49" s="438"/>
      <c r="C49" s="1160">
        <f>R50</f>
        <v>76190</v>
      </c>
      <c r="D49" s="2317" t="s">
        <v>2137</v>
      </c>
      <c r="E49" s="1161">
        <f>R49</f>
        <v>76190</v>
      </c>
      <c r="F49" s="2318"/>
      <c r="G49" s="1160">
        <f>T49</f>
        <v>76190</v>
      </c>
      <c r="H49" s="2318"/>
      <c r="I49" s="1161">
        <f>V49</f>
        <v>76190</v>
      </c>
      <c r="J49" s="2318"/>
      <c r="K49" s="2320">
        <f>F49+H49+J49</f>
        <v>0</v>
      </c>
      <c r="L49" s="2723"/>
      <c r="M49" s="2715"/>
      <c r="N49" s="2715"/>
      <c r="O49" s="2715"/>
      <c r="P49" s="3660" t="str">
        <f>A49</f>
        <v>比较价值（元/平方米）</v>
      </c>
      <c r="Q49" s="3661"/>
      <c r="R49" s="3662">
        <f>IF(F1="售价",ROUND(PRODUCT(R48,AA7:AA47),0),ROUND(PRODUCT(R48,AA7:AA47),1))</f>
        <v>76190</v>
      </c>
      <c r="S49" s="3662"/>
      <c r="T49" s="3662">
        <f>IF(F1="售价",ROUND(PRODUCT(T48,AB7:AB47),0),ROUND(PRODUCT(T48,AB7:AB47),1))</f>
        <v>76190</v>
      </c>
      <c r="U49" s="3662"/>
      <c r="V49" s="3662">
        <f>IF(F1="售价",ROUND(PRODUCT(V48,AC7:AC47),0),ROUND(PRODUCT(V48,AC7:AC47),1))</f>
        <v>76190</v>
      </c>
      <c r="W49" s="3662"/>
      <c r="X49" s="397"/>
      <c r="Y49" s="397"/>
      <c r="Z49" s="397"/>
      <c r="AA49" s="397"/>
      <c r="AB49" s="397"/>
      <c r="AC49" s="578"/>
    </row>
    <row r="50" spans="1:29" ht="15.75" thickBot="1">
      <c r="A50" s="441" t="s">
        <v>1794</v>
      </c>
      <c r="B50" s="442"/>
      <c r="C50" s="1163">
        <f>R50</f>
        <v>76190</v>
      </c>
      <c r="D50" s="1163"/>
      <c r="E50" s="1163"/>
      <c r="F50" s="1163"/>
      <c r="G50" s="1163"/>
      <c r="H50" s="1163"/>
      <c r="I50" s="1163"/>
      <c r="J50" s="443"/>
      <c r="K50" s="715"/>
      <c r="L50" s="2723"/>
      <c r="M50" s="2715"/>
      <c r="N50" s="2715"/>
      <c r="O50" s="2715"/>
      <c r="P50" s="3663" t="str">
        <f>A50</f>
        <v>估价对象XX用房的比较价值（楼面单价，元/平方米）</v>
      </c>
      <c r="Q50" s="3664"/>
      <c r="R50" s="3665">
        <f>IF(F1="售价",ROUND(IF(D49="简单平均",AVERAGE(R49:V49),R49*F49+T49*H49+V49*J49),0),ROUND(IF(D49="简单平均",AVERAGE(R49:V49),R49*F49+T49*H49+V49*J49),1))</f>
        <v>76190</v>
      </c>
      <c r="S50" s="3665"/>
      <c r="T50" s="3665"/>
      <c r="U50" s="3665"/>
      <c r="V50" s="3665"/>
      <c r="W50" s="366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5.0006562541015986E-2</v>
      </c>
      <c r="F53" s="449" t="str">
        <f>IF(OR(E53&gt;=0.3,E53&lt;=-0.3),"超过30%","")</f>
        <v/>
      </c>
      <c r="G53" s="448">
        <f>IF(G48&lt;G49,G49/G48-1,G48/G49-1)</f>
        <v>5.0006562541015986E-2</v>
      </c>
      <c r="H53" s="449" t="str">
        <f>IF(OR(G53&gt;=0.3,G53&lt;=-0.3),"超过30%","")</f>
        <v/>
      </c>
      <c r="I53" s="448">
        <f>IF(I48&lt;I49,I49/I48-1,I48/I49-1)</f>
        <v>5.0006562541015986E-2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f t="shared" ref="N60:O60" si="17">M60-M61</f>
        <v>100</v>
      </c>
      <c r="O60" s="461">
        <f t="shared" si="17"/>
        <v>100</v>
      </c>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v>0.2</v>
      </c>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3434</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98</v>
      </c>
      <c r="E88" s="493">
        <f t="shared" si="20"/>
        <v>96</v>
      </c>
      <c r="F88" s="493">
        <f t="shared" si="20"/>
        <v>94</v>
      </c>
      <c r="G88" s="493">
        <f t="shared" si="20"/>
        <v>92</v>
      </c>
      <c r="H88" s="493">
        <f t="shared" si="20"/>
        <v>90</v>
      </c>
      <c r="I88" s="493">
        <f t="shared" si="20"/>
        <v>88</v>
      </c>
      <c r="J88" s="493">
        <f t="shared" si="20"/>
        <v>86</v>
      </c>
      <c r="K88" s="493">
        <f t="shared" si="20"/>
        <v>84</v>
      </c>
      <c r="L88" s="493">
        <f t="shared" si="20"/>
        <v>82</v>
      </c>
      <c r="M88" s="493">
        <f t="shared" si="20"/>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2"/>
      <c r="D89" s="3452"/>
      <c r="E89" s="3452"/>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3" t="s">
        <v>3416</v>
      </c>
      <c r="D101" s="3453" t="s">
        <v>3417</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0(含)-1000</v>
      </c>
      <c r="D103" s="527" t="str">
        <f t="shared" ref="D103:L103" si="24">D104&amp;"(含)"&amp;"-"&amp;E104</f>
        <v>1000(含)-2000</v>
      </c>
      <c r="E103" s="527" t="str">
        <f t="shared" si="24"/>
        <v>2000(含)-3000</v>
      </c>
      <c r="F103" s="527" t="str">
        <f t="shared" si="24"/>
        <v>3000(含)-5000</v>
      </c>
      <c r="G103" s="527" t="str">
        <f t="shared" si="24"/>
        <v>5000(含)-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v>1000</v>
      </c>
      <c r="E104" s="6">
        <v>2000</v>
      </c>
      <c r="F104" s="6">
        <v>3000</v>
      </c>
      <c r="G104" s="544">
        <v>5000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55">
        <v>100</v>
      </c>
      <c r="D105" s="3456">
        <f>C105-2</f>
        <v>98</v>
      </c>
      <c r="E105" s="3456">
        <f t="shared" ref="E105" si="25">D105-2</f>
        <v>96</v>
      </c>
      <c r="F105" s="3456">
        <f>E105-2</f>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2"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2" t="s">
        <v>3420</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8">D112+$K37</f>
        <v>104</v>
      </c>
      <c r="F112" s="493">
        <f t="shared" si="28"/>
        <v>106</v>
      </c>
      <c r="G112" s="493">
        <f t="shared" si="28"/>
        <v>108</v>
      </c>
      <c r="H112" s="493">
        <f t="shared" si="28"/>
        <v>110</v>
      </c>
      <c r="I112" s="493">
        <f t="shared" si="28"/>
        <v>112</v>
      </c>
      <c r="J112" s="493">
        <f t="shared" si="28"/>
        <v>114</v>
      </c>
      <c r="K112" s="493">
        <f t="shared" si="28"/>
        <v>116</v>
      </c>
      <c r="L112" s="493">
        <f t="shared" si="28"/>
        <v>118</v>
      </c>
      <c r="M112" s="493">
        <f t="shared" si="28"/>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2" t="s">
        <v>3421</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9">D114-$K38</f>
        <v>96</v>
      </c>
      <c r="F114" s="493">
        <f t="shared" si="29"/>
        <v>94</v>
      </c>
      <c r="G114" s="493">
        <f t="shared" si="29"/>
        <v>92</v>
      </c>
      <c r="H114" s="493">
        <f t="shared" si="29"/>
        <v>90</v>
      </c>
      <c r="I114" s="493">
        <f t="shared" si="29"/>
        <v>88</v>
      </c>
      <c r="J114" s="493">
        <f t="shared" si="29"/>
        <v>86</v>
      </c>
      <c r="K114" s="493">
        <f t="shared" si="29"/>
        <v>84</v>
      </c>
      <c r="L114" s="493">
        <f t="shared" si="29"/>
        <v>82</v>
      </c>
      <c r="M114" s="493">
        <f t="shared" si="29"/>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2" t="s">
        <v>3423</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3424</v>
      </c>
      <c r="D117" s="503" t="s">
        <v>3425</v>
      </c>
      <c r="E117" s="503" t="s">
        <v>3426</v>
      </c>
      <c r="F117" s="503" t="s">
        <v>3427</v>
      </c>
      <c r="G117" s="503" t="s">
        <v>3428</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1">D120-$K41</f>
        <v>100</v>
      </c>
      <c r="F120" s="493">
        <f t="shared" si="31"/>
        <v>100</v>
      </c>
      <c r="G120" s="493">
        <f t="shared" si="31"/>
        <v>100</v>
      </c>
      <c r="H120" s="493">
        <f t="shared" si="31"/>
        <v>100</v>
      </c>
      <c r="I120" s="493">
        <f t="shared" si="31"/>
        <v>100</v>
      </c>
      <c r="J120" s="493">
        <f t="shared" si="31"/>
        <v>100</v>
      </c>
      <c r="K120" s="493">
        <f t="shared" si="31"/>
        <v>100</v>
      </c>
      <c r="L120" s="493">
        <f t="shared" si="31"/>
        <v>100</v>
      </c>
      <c r="M120" s="493">
        <f t="shared" si="31"/>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2" t="s">
        <v>3420</v>
      </c>
      <c r="D123" s="3452" t="s">
        <v>3429</v>
      </c>
      <c r="E123" s="3452" t="s">
        <v>3430</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340.33699999999999</v>
      </c>
      <c r="C2" s="1387" t="s">
        <v>879</v>
      </c>
      <c r="D2" s="1471">
        <f ca="1">C40+J29+L46</f>
        <v>3403370</v>
      </c>
      <c r="E2" s="1388" t="s">
        <v>880</v>
      </c>
      <c r="F2" s="1389"/>
      <c r="G2" s="2705"/>
      <c r="H2" s="2694"/>
      <c r="I2" s="2694"/>
      <c r="J2" s="2694"/>
      <c r="K2" s="2695"/>
      <c r="L2" s="2694"/>
      <c r="M2" s="2694"/>
    </row>
    <row r="3" spans="1:37" ht="18" customHeight="1" thickBot="1">
      <c r="A3" s="1390" t="s">
        <v>881</v>
      </c>
      <c r="B3" s="1391">
        <f ca="1">IF(ISERROR(D2/F43),0,ROUND(D2/F43,0))</f>
        <v>64106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227004</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226721</v>
      </c>
      <c r="D6" s="155" t="s">
        <v>2105</v>
      </c>
      <c r="E6" s="302" t="s">
        <v>696</v>
      </c>
      <c r="F6" s="303">
        <f ca="1">INDIRECT("'数据-取费表'!u"&amp;$G$1)</f>
        <v>13</v>
      </c>
      <c r="G6" s="1384"/>
      <c r="H6" s="1069" t="s">
        <v>398</v>
      </c>
      <c r="I6" s="3657" t="s">
        <v>694</v>
      </c>
      <c r="J6" s="301">
        <f ca="1">ROUND(M6*M8*M7*(1-M9),0)</f>
        <v>0</v>
      </c>
      <c r="K6" s="1376" t="s">
        <v>2106</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53.09</v>
      </c>
      <c r="G7" s="1384"/>
      <c r="H7" s="304"/>
      <c r="I7" s="3658"/>
      <c r="J7" s="306"/>
      <c r="K7" s="307"/>
      <c r="L7" s="302" t="s">
        <v>697</v>
      </c>
      <c r="M7" s="303">
        <f ca="1">F7</f>
        <v>53.09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283</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248639</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212360</v>
      </c>
      <c r="D14" s="1345" t="s">
        <v>708</v>
      </c>
      <c r="E14" s="1342"/>
      <c r="F14" s="319"/>
      <c r="G14" s="1384"/>
      <c r="H14" s="982" t="s">
        <v>398</v>
      </c>
      <c r="I14" s="302" t="s">
        <v>709</v>
      </c>
      <c r="J14" s="21">
        <f ca="1">C29</f>
        <v>318768</v>
      </c>
      <c r="K14" s="12"/>
      <c r="L14" s="807"/>
      <c r="M14" s="808"/>
    </row>
    <row r="15" spans="1:37" s="1397" customFormat="1" ht="18" customHeight="1" thickBot="1">
      <c r="A15" s="982" t="s">
        <v>399</v>
      </c>
      <c r="B15" s="302" t="s">
        <v>710</v>
      </c>
      <c r="C15" s="21">
        <f ca="1">ROUND(C14*F15,0)</f>
        <v>6371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1594</v>
      </c>
      <c r="K16" s="1087" t="s">
        <v>715</v>
      </c>
      <c r="L16" s="1088"/>
      <c r="M16" s="1072"/>
    </row>
    <row r="17" spans="1:37" s="1397" customFormat="1" ht="18" customHeight="1">
      <c r="A17" s="982" t="s">
        <v>681</v>
      </c>
      <c r="B17" s="302" t="s">
        <v>716</v>
      </c>
      <c r="C17" s="21">
        <f ca="1">ROUND(F17*(F43+INDIRECT("'数据-取费表'!S"&amp;$G$1)),0)</f>
        <v>10618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4247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233596</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4672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7982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-1594</v>
      </c>
      <c r="K25" s="1095" t="s">
        <v>753</v>
      </c>
      <c r="L25" s="1096"/>
      <c r="M25" s="1097"/>
    </row>
    <row r="26" spans="1:37" ht="18" customHeight="1">
      <c r="A26" s="982" t="s">
        <v>397</v>
      </c>
      <c r="B26" s="302" t="s">
        <v>754</v>
      </c>
      <c r="C26" s="21">
        <f ca="1">ROUND((C19+C20)*F26,0)</f>
        <v>47654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318768</v>
      </c>
      <c r="D29" s="1092"/>
      <c r="E29" s="1090"/>
      <c r="F29" s="1093"/>
      <c r="G29" s="1396"/>
      <c r="H29" s="334" t="s">
        <v>396</v>
      </c>
      <c r="I29" s="335" t="s">
        <v>768</v>
      </c>
      <c r="J29" s="336">
        <f ca="1">ROUND(J26/(1+F40)^F41,0)</f>
        <v>0</v>
      </c>
      <c r="K29" s="337" t="s">
        <v>769</v>
      </c>
      <c r="L29" s="338"/>
      <c r="M29" s="339">
        <f ca="1">INDIRECT("'数据-取费表'!k"&amp;$G$1)</f>
        <v>53.09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19228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15115</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1594</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249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2270</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207776</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3382462</v>
      </c>
      <c r="D40" s="324" t="s">
        <v>758</v>
      </c>
      <c r="E40" s="302" t="s">
        <v>759</v>
      </c>
      <c r="F40" s="312">
        <f ca="1">INDIRECT("'数据-取费表'!I"&amp;$G$1)</f>
        <v>5.5E-2</v>
      </c>
      <c r="G40" s="1384"/>
      <c r="H40" s="1461">
        <f ca="1">C39/C5</f>
        <v>0.91529664675512323</v>
      </c>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63712</v>
      </c>
      <c r="D43" s="337" t="s">
        <v>777</v>
      </c>
      <c r="E43" s="338" t="s">
        <v>778</v>
      </c>
      <c r="F43" s="339">
        <f ca="1">INDIRECT("'数据-取费表'!k"&amp;$G$1)</f>
        <v>53.09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-340.71839999999997</v>
      </c>
      <c r="D45" s="3431" t="s">
        <v>3352</v>
      </c>
      <c r="E45" s="1400"/>
      <c r="F45" s="1400"/>
      <c r="O45" s="1403" t="s">
        <v>808</v>
      </c>
      <c r="P45" s="1461"/>
      <c r="Q45" s="1461"/>
      <c r="R45" s="1461"/>
    </row>
    <row r="46" spans="1:18" s="1384" customFormat="1" ht="13.5" thickBot="1">
      <c r="A46" s="1404" t="s">
        <v>809</v>
      </c>
      <c r="C46" s="1405">
        <f ca="1">ROUND(C45,0)</f>
        <v>-341</v>
      </c>
      <c r="D46" s="1406" t="str">
        <f>C2</f>
        <v>万元</v>
      </c>
      <c r="I46" s="1407" t="s">
        <v>810</v>
      </c>
      <c r="J46" s="1408"/>
      <c r="K46" s="1409"/>
      <c r="L46" s="1410">
        <f ca="1">IF(M47="住宅",0,IF(L48&gt;J51,L60,J60))</f>
        <v>20908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3382462</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25</v>
      </c>
      <c r="O48" s="1418" t="s">
        <v>404</v>
      </c>
      <c r="P48" s="1419" t="s">
        <v>821</v>
      </c>
      <c r="Q48" s="1420">
        <f ca="1">J60</f>
        <v>20908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2011</v>
      </c>
      <c r="K49" s="1423" t="s">
        <v>824</v>
      </c>
      <c r="L49" s="1427"/>
      <c r="O49" s="1428" t="s">
        <v>405</v>
      </c>
      <c r="P49" s="1419" t="s">
        <v>825</v>
      </c>
      <c r="Q49" s="1420">
        <f ca="1">C29</f>
        <v>318768</v>
      </c>
      <c r="R49" s="1420" t="s">
        <v>818</v>
      </c>
    </row>
    <row r="50" spans="1:18" s="1384" customFormat="1" ht="13.5" thickBot="1">
      <c r="A50" s="976"/>
      <c r="B50" s="979"/>
      <c r="C50" s="980"/>
      <c r="D50" s="953"/>
      <c r="E50" s="1056" t="s">
        <v>697</v>
      </c>
      <c r="F50" s="1057">
        <f ca="1">F7</f>
        <v>53.09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3423069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25</v>
      </c>
      <c r="K53" s="3655" t="s">
        <v>837</v>
      </c>
      <c r="L53" s="3656"/>
      <c r="O53" s="1418" t="s">
        <v>409</v>
      </c>
      <c r="P53" s="1419" t="s">
        <v>838</v>
      </c>
      <c r="Q53" s="1420">
        <f ca="1">Q47+Q48</f>
        <v>3403370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248639</v>
      </c>
      <c r="D56" s="1447"/>
      <c r="E56" s="1448"/>
      <c r="F56" s="1440"/>
      <c r="I56" s="1449" t="s">
        <v>842</v>
      </c>
      <c r="J56" s="1450" t="s">
        <v>3395</v>
      </c>
      <c r="K56" s="1421" t="s">
        <v>843</v>
      </c>
      <c r="L56" s="1424" t="str">
        <f ca="1">IF(L48&lt;J51,"——",L48-J51)</f>
        <v>——</v>
      </c>
      <c r="O56" s="1418" t="s">
        <v>403</v>
      </c>
      <c r="P56" s="1419" t="s">
        <v>817</v>
      </c>
      <c r="Q56" s="1420">
        <f ca="1">C40+J29</f>
        <v>3382462</v>
      </c>
      <c r="R56" s="1420" t="s">
        <v>818</v>
      </c>
    </row>
    <row r="57" spans="1:18" s="1384" customFormat="1" ht="24.75" thickBot="1">
      <c r="A57" s="1451"/>
      <c r="B57" s="950" t="s">
        <v>767</v>
      </c>
      <c r="C57" s="238">
        <f ca="1">C29</f>
        <v>318768</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1843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127507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20908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3382462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249</v>
      </c>
      <c r="D65" s="964" t="s">
        <v>743</v>
      </c>
      <c r="E65" s="950" t="s">
        <v>744</v>
      </c>
      <c r="F65" s="330">
        <f t="shared" ca="1" si="0"/>
        <v>1E-3</v>
      </c>
      <c r="I65" s="1462" t="s">
        <v>867</v>
      </c>
      <c r="J65" s="1463">
        <v>40</v>
      </c>
      <c r="K65" s="1463">
        <v>30</v>
      </c>
      <c r="L65" s="1463">
        <v>50</v>
      </c>
      <c r="M65" s="1465">
        <v>0.02</v>
      </c>
      <c r="O65" s="1418" t="s">
        <v>403</v>
      </c>
      <c r="P65" s="1419" t="s">
        <v>868</v>
      </c>
      <c r="Q65" s="1420">
        <f ca="1">C40+J29</f>
        <v>3382462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-1843</v>
      </c>
      <c r="D67" s="963" t="s">
        <v>753</v>
      </c>
      <c r="E67" s="968"/>
      <c r="F67" s="969"/>
      <c r="O67" s="1428" t="s">
        <v>405</v>
      </c>
      <c r="P67" s="1419" t="s">
        <v>850</v>
      </c>
      <c r="Q67" s="1466">
        <f ca="1">L51</f>
        <v>3423069</v>
      </c>
      <c r="R67" s="1420" t="s">
        <v>870</v>
      </c>
    </row>
    <row r="68" spans="1:18" s="1384" customFormat="1" ht="16.5" thickBot="1">
      <c r="A68" s="947" t="s">
        <v>395</v>
      </c>
      <c r="B68" s="948" t="s">
        <v>774</v>
      </c>
      <c r="C68" s="301">
        <f ca="1">ROUND(C67*(1-((1+F70)/(1+F68))^F69)/(F68-F70),0)</f>
        <v>-24722</v>
      </c>
      <c r="D68" s="965" t="s">
        <v>758</v>
      </c>
      <c r="E68" s="950" t="s">
        <v>759</v>
      </c>
      <c r="F68" s="312">
        <f ca="1">F40</f>
        <v>5.5E-2</v>
      </c>
      <c r="O68" s="1428" t="s">
        <v>406</v>
      </c>
      <c r="P68" s="1467" t="s">
        <v>871</v>
      </c>
      <c r="Q68" s="1420">
        <f ca="1">ROUND(Q69-Q70*Q71,0)</f>
        <v>190371</v>
      </c>
      <c r="R68" s="1420" t="s">
        <v>414</v>
      </c>
    </row>
    <row r="69" spans="1:18" s="1384" customFormat="1" ht="13.5" thickBot="1">
      <c r="A69" s="951"/>
      <c r="B69" s="952"/>
      <c r="C69" s="306"/>
      <c r="D69" s="970" t="s">
        <v>762</v>
      </c>
      <c r="E69" s="950" t="s">
        <v>763</v>
      </c>
      <c r="F69" s="333">
        <f ca="1">F41</f>
        <v>25</v>
      </c>
      <c r="O69" s="1428" t="s">
        <v>411</v>
      </c>
      <c r="P69" s="1467" t="s">
        <v>872</v>
      </c>
      <c r="Q69" s="1420">
        <f ca="1">C39</f>
        <v>207776</v>
      </c>
      <c r="R69" s="1420" t="s">
        <v>818</v>
      </c>
    </row>
    <row r="70" spans="1:18" s="1384" customFormat="1" ht="13.5" thickBot="1">
      <c r="A70" s="954"/>
      <c r="B70" s="955"/>
      <c r="C70" s="310"/>
      <c r="D70" s="966"/>
      <c r="E70" s="950" t="s">
        <v>766</v>
      </c>
      <c r="F70" s="1054"/>
      <c r="O70" s="1428" t="s">
        <v>412</v>
      </c>
      <c r="P70" s="1467" t="s">
        <v>873</v>
      </c>
      <c r="Q70" s="1420">
        <f ca="1">C13</f>
        <v>248639</v>
      </c>
      <c r="R70" s="1420" t="s">
        <v>818</v>
      </c>
    </row>
    <row r="71" spans="1:18" s="1384" customFormat="1" ht="13.5" thickBot="1">
      <c r="A71" s="971" t="s">
        <v>396</v>
      </c>
      <c r="B71" s="972" t="s">
        <v>776</v>
      </c>
      <c r="C71" s="336">
        <f ca="1">ROUND(C68/F71,0)</f>
        <v>-466</v>
      </c>
      <c r="D71" s="973" t="s">
        <v>777</v>
      </c>
      <c r="E71" s="974" t="s">
        <v>778</v>
      </c>
      <c r="F71" s="339">
        <f ca="1">F43</f>
        <v>53.09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17405</v>
      </c>
      <c r="D75" s="1384"/>
      <c r="E75" s="1384"/>
      <c r="F75" s="1384"/>
      <c r="K75" s="1402"/>
      <c r="L75" s="1384"/>
      <c r="O75" s="1418" t="s">
        <v>409</v>
      </c>
      <c r="P75" s="1419" t="s">
        <v>838</v>
      </c>
      <c r="Q75" s="1420">
        <f ca="1">Q65+Q66</f>
        <v>3382462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0.91600000000000004</v>
      </c>
    </row>
    <row r="80" spans="1:18">
      <c r="B80" s="340" t="s">
        <v>800</v>
      </c>
      <c r="C80" s="274">
        <f ca="1">ROUND(C75/C39,3)</f>
        <v>8.4000000000000005E-2</v>
      </c>
    </row>
    <row r="81" spans="2:3">
      <c r="B81" s="270" t="s">
        <v>801</v>
      </c>
      <c r="C81" s="238"/>
    </row>
    <row r="82" spans="2:3">
      <c r="B82" s="273" t="s">
        <v>802</v>
      </c>
      <c r="C82" s="275">
        <f ca="1">1-C83</f>
        <v>0.92600000000000005</v>
      </c>
    </row>
    <row r="83" spans="2:3">
      <c r="B83" s="273" t="s">
        <v>803</v>
      </c>
      <c r="C83" s="274">
        <f ca="1">ROUND(C13/C40,3)</f>
        <v>7.3999999999999996E-2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3358</v>
      </c>
      <c r="E2" s="3443"/>
      <c r="F2" s="2845"/>
      <c r="G2" s="2846"/>
      <c r="H2" s="2847"/>
      <c r="I2" s="2848"/>
      <c r="J2" s="3717" t="s">
        <v>2318</v>
      </c>
      <c r="K2" s="3718"/>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9" t="s">
        <v>2328</v>
      </c>
      <c r="K3" s="3720"/>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9" t="s">
        <v>2330</v>
      </c>
      <c r="K4" s="3720"/>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25" t="s">
        <v>2334</v>
      </c>
      <c r="B6" s="3726"/>
      <c r="C6" s="3727"/>
      <c r="D6" s="2869"/>
      <c r="E6" s="2870"/>
      <c r="F6" s="2871"/>
      <c r="G6" s="2872"/>
      <c r="H6" s="2847"/>
      <c r="I6" s="2848"/>
      <c r="J6" s="3711">
        <v>1</v>
      </c>
      <c r="K6" s="3712"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1"/>
      <c r="K7" s="3713"/>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28" t="s">
        <v>2348</v>
      </c>
      <c r="C8" s="3729"/>
      <c r="D8" s="2888" t="s">
        <v>2349</v>
      </c>
      <c r="E8" s="2889" t="s">
        <v>2350</v>
      </c>
      <c r="F8" s="2890" t="s">
        <v>2351</v>
      </c>
      <c r="G8" s="2891"/>
      <c r="H8" s="2847"/>
      <c r="I8" s="2848"/>
      <c r="J8" s="3711"/>
      <c r="K8" s="3713"/>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28" t="s">
        <v>2354</v>
      </c>
      <c r="C9" s="3729"/>
      <c r="D9" s="2888">
        <f>ROUND(D6*E9,0)</f>
        <v>0</v>
      </c>
      <c r="E9" s="2892"/>
      <c r="F9" s="2893" t="s">
        <v>2355</v>
      </c>
      <c r="G9" s="2872"/>
      <c r="H9" s="2847"/>
      <c r="I9" s="2848"/>
      <c r="J9" s="3711"/>
      <c r="K9" s="3713"/>
      <c r="L9" s="2882" t="s">
        <v>2356</v>
      </c>
      <c r="M9" s="2883"/>
      <c r="N9" s="2859"/>
      <c r="O9" s="2884"/>
      <c r="P9" s="2884"/>
      <c r="Q9" s="2885">
        <v>365</v>
      </c>
      <c r="R9" s="2886">
        <f t="shared" si="0"/>
        <v>0</v>
      </c>
      <c r="S9" s="2840"/>
      <c r="T9" s="2840"/>
      <c r="U9" s="2840"/>
      <c r="V9" s="2848"/>
    </row>
    <row r="10" spans="1:22" s="2852" customFormat="1" ht="13.15" customHeight="1">
      <c r="A10" s="2887">
        <v>2</v>
      </c>
      <c r="B10" s="3728" t="s">
        <v>2357</v>
      </c>
      <c r="C10" s="3729"/>
      <c r="D10" s="2888">
        <f>ROUND(D6*E10,0)</f>
        <v>0</v>
      </c>
      <c r="E10" s="2892"/>
      <c r="F10" s="2893" t="s">
        <v>2358</v>
      </c>
      <c r="G10" s="2872"/>
      <c r="H10" s="2847"/>
      <c r="I10" s="2848"/>
      <c r="J10" s="3711"/>
      <c r="K10" s="3713"/>
      <c r="L10" s="2882" t="s">
        <v>2359</v>
      </c>
      <c r="M10" s="2883"/>
      <c r="N10" s="2859"/>
      <c r="O10" s="2884"/>
      <c r="P10" s="2884"/>
      <c r="Q10" s="2885">
        <v>365</v>
      </c>
      <c r="R10" s="2886">
        <f t="shared" si="0"/>
        <v>0</v>
      </c>
      <c r="S10" s="2840"/>
      <c r="T10" s="2840"/>
      <c r="U10" s="2840"/>
      <c r="V10" s="2848"/>
    </row>
    <row r="11" spans="1:22" s="2852" customFormat="1" ht="13.15" customHeight="1">
      <c r="A11" s="2887">
        <v>3</v>
      </c>
      <c r="B11" s="3728" t="s">
        <v>2360</v>
      </c>
      <c r="C11" s="3729"/>
      <c r="D11" s="2888">
        <f>D12+D14+D15+D16</f>
        <v>0</v>
      </c>
      <c r="E11" s="2894" t="e">
        <f>D11/D6</f>
        <v>#DIV/0!</v>
      </c>
      <c r="F11" s="2890"/>
      <c r="G11" s="2891"/>
      <c r="H11" s="2847"/>
      <c r="I11" s="2848"/>
      <c r="J11" s="3711"/>
      <c r="K11" s="3713"/>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1" t="s">
        <v>2363</v>
      </c>
      <c r="C12" s="3722"/>
      <c r="D12" s="2896">
        <f>ROUND(D13*1.2%*(1-30%),0)</f>
        <v>0</v>
      </c>
      <c r="E12" s="2897">
        <v>1.2E-2</v>
      </c>
      <c r="F12" s="2890" t="s">
        <v>2364</v>
      </c>
      <c r="G12" s="2891"/>
      <c r="H12" s="2847"/>
      <c r="I12" s="2848"/>
      <c r="J12" s="3711"/>
      <c r="K12" s="3713"/>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1"/>
      <c r="K13" s="3713"/>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1" t="s">
        <v>2369</v>
      </c>
      <c r="C14" s="3722"/>
      <c r="D14" s="2896">
        <f>ROUND(E14*B5/10000,0)</f>
        <v>0</v>
      </c>
      <c r="E14" s="2885"/>
      <c r="F14" s="2890" t="s">
        <v>2370</v>
      </c>
      <c r="G14" s="2891"/>
      <c r="H14" s="2847"/>
      <c r="I14" s="2848"/>
      <c r="J14" s="3711"/>
      <c r="K14" s="3714"/>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1" t="s">
        <v>2373</v>
      </c>
      <c r="C15" s="3722"/>
      <c r="D15" s="2896">
        <f>ROUND(D6*E15,0)</f>
        <v>0</v>
      </c>
      <c r="E15" s="2897">
        <v>5.5E-2</v>
      </c>
      <c r="F15" s="2890" t="s">
        <v>2374</v>
      </c>
      <c r="G15" s="2872"/>
      <c r="H15" s="2847"/>
      <c r="I15" s="2848"/>
      <c r="J15" s="3711">
        <v>2</v>
      </c>
      <c r="K15" s="3712"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1" t="s">
        <v>2382</v>
      </c>
      <c r="C16" s="3722"/>
      <c r="D16" s="2907">
        <f>D6*E16</f>
        <v>0</v>
      </c>
      <c r="E16" s="2908"/>
      <c r="F16" s="2893" t="s">
        <v>2383</v>
      </c>
      <c r="G16" s="2872"/>
      <c r="H16" s="2847"/>
      <c r="I16" s="2848"/>
      <c r="J16" s="3711"/>
      <c r="K16" s="3713"/>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3" t="s">
        <v>2385</v>
      </c>
      <c r="C17" s="3724"/>
      <c r="D17" s="2910">
        <f>ROUND(D6*E17,0)</f>
        <v>0</v>
      </c>
      <c r="E17" s="2911"/>
      <c r="F17" s="2912" t="s">
        <v>2386</v>
      </c>
      <c r="G17" s="2872"/>
      <c r="H17" s="2847"/>
      <c r="I17" s="2848"/>
      <c r="J17" s="3711"/>
      <c r="K17" s="3713"/>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1"/>
      <c r="K18" s="3713"/>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1"/>
      <c r="K19" s="3714"/>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1">
        <v>3</v>
      </c>
      <c r="K20" s="3712"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1"/>
      <c r="K21" s="3713"/>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1"/>
      <c r="K22" s="3713"/>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1"/>
      <c r="K23" s="3713"/>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1"/>
      <c r="K24" s="3714"/>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15">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7" t="s">
        <v>2318</v>
      </c>
      <c r="K32" s="3718"/>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9" t="s">
        <v>2328</v>
      </c>
      <c r="K33" s="3720"/>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9" t="s">
        <v>2330</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1">
        <v>1</v>
      </c>
      <c r="K36" s="3712"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1"/>
      <c r="K37" s="3713"/>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1"/>
      <c r="K38" s="3713"/>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1"/>
      <c r="K39" s="3713"/>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1"/>
      <c r="K40" s="3714"/>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340.33699999999999</v>
      </c>
      <c r="C2" s="1872" t="s">
        <v>1651</v>
      </c>
      <c r="D2" s="1873" t="s">
        <v>1652</v>
      </c>
      <c r="E2" s="2606">
        <f>SUM(E6:E13)</f>
        <v>53.09</v>
      </c>
      <c r="F2" s="2706"/>
      <c r="G2" s="1489"/>
      <c r="H2" s="1489"/>
      <c r="I2" s="1489"/>
      <c r="J2" s="1489"/>
      <c r="K2" s="1489"/>
      <c r="L2" s="1489"/>
      <c r="M2" s="1489"/>
      <c r="N2" s="1489"/>
      <c r="O2" s="1489"/>
      <c r="P2" s="1489"/>
      <c r="Q2" s="1489"/>
      <c r="R2" s="1489"/>
      <c r="S2" s="1489"/>
    </row>
    <row r="3" spans="1:22" ht="15.75">
      <c r="A3" s="1870" t="s">
        <v>686</v>
      </c>
      <c r="B3" s="2600">
        <f ca="1">ROUND(B2*10000/E2,0)</f>
        <v>64106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0" t="s">
        <v>1654</v>
      </c>
      <c r="C5" s="373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340.33699999999999</v>
      </c>
      <c r="C6" s="1872" t="s">
        <v>1651</v>
      </c>
      <c r="D6" s="2708"/>
      <c r="E6" s="2605">
        <f>IF(OR(A6=0,F6="否"),0,'数据-取费表'!K6+'数据-取费表'!S6)</f>
        <v>53.09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53.09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4"/>
      <c r="M4" s="2715"/>
      <c r="N4" s="2715"/>
      <c r="O4" s="2715"/>
      <c r="P4" s="3736" t="s">
        <v>1672</v>
      </c>
      <c r="Q4" s="3737"/>
      <c r="R4" s="3740" t="s">
        <v>1668</v>
      </c>
      <c r="S4" s="3741"/>
      <c r="T4" s="3740" t="s">
        <v>1669</v>
      </c>
      <c r="U4" s="3741"/>
      <c r="V4" s="3695" t="s">
        <v>1670</v>
      </c>
      <c r="W4" s="3695"/>
      <c r="X4" s="1355"/>
      <c r="Y4" s="3740" t="s">
        <v>1672</v>
      </c>
      <c r="Z4" s="3741"/>
      <c r="AA4" s="3735" t="s">
        <v>1668</v>
      </c>
      <c r="AB4" s="3735" t="s">
        <v>1669</v>
      </c>
      <c r="AC4" s="3735" t="s">
        <v>1670</v>
      </c>
    </row>
    <row r="5" spans="1:29" ht="15">
      <c r="A5" s="358"/>
      <c r="B5" s="359"/>
      <c r="C5" s="3698" t="s">
        <v>1673</v>
      </c>
      <c r="D5" s="3699"/>
      <c r="E5" s="3742" t="s">
        <v>1674</v>
      </c>
      <c r="F5" s="3710"/>
      <c r="G5" s="3698" t="s">
        <v>1675</v>
      </c>
      <c r="H5" s="3699"/>
      <c r="I5" s="3698" t="s">
        <v>1676</v>
      </c>
      <c r="J5" s="3699"/>
      <c r="K5" s="1890"/>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1890"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45561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2" t="s">
        <v>1680</v>
      </c>
      <c r="Q7" s="3703"/>
      <c r="R7" s="701" t="s">
        <v>20</v>
      </c>
      <c r="S7" s="702">
        <f t="shared" ref="S7:S15" si="0">F7</f>
        <v>0</v>
      </c>
      <c r="T7" s="701" t="s">
        <v>20</v>
      </c>
      <c r="U7" s="702">
        <f t="shared" ref="U7:U15" si="1">H7</f>
        <v>0</v>
      </c>
      <c r="V7" s="701" t="s">
        <v>20</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2" t="s">
        <v>1683</v>
      </c>
      <c r="Q8" s="3701"/>
      <c r="R8" s="701" t="s">
        <v>20</v>
      </c>
      <c r="S8" s="702">
        <f t="shared" si="0"/>
        <v>100</v>
      </c>
      <c r="T8" s="701" t="s">
        <v>20</v>
      </c>
      <c r="U8" s="702">
        <f t="shared" si="1"/>
        <v>100</v>
      </c>
      <c r="V8" s="701" t="s">
        <v>20</v>
      </c>
      <c r="W8" s="702">
        <f t="shared" si="2"/>
        <v>100</v>
      </c>
      <c r="X8" s="703"/>
      <c r="Y8" s="3702"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0"/>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0"/>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0"/>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0"/>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6"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67"/>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7"/>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67"/>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7"/>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67"/>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67"/>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7"/>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67"/>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67"/>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67"/>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67"/>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67"/>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67"/>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67"/>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53.09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695"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695"/>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695"/>
      <c r="AC6" s="3708"/>
    </row>
    <row r="7" spans="1:29" s="108" customFormat="1" ht="15.75" thickBot="1">
      <c r="A7" s="362" t="s">
        <v>1679</v>
      </c>
      <c r="B7" s="363"/>
      <c r="C7" s="364">
        <f>'数据-取费表'!B2</f>
        <v>45561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0"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0"/>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0"/>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0"/>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0"/>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0"/>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6"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67"/>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7"/>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67"/>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7"/>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67"/>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7"/>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67"/>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7"/>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67"/>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7"/>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7"/>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67"/>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7"/>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7"/>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7"/>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1" t="str">
        <f>A47</f>
        <v>成交单价（元/平方米）</v>
      </c>
      <c r="Q47" s="3661"/>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估价对象为北京市房地产,属开发建设的商业项目，该项目尚在开发建设中。根据《国有土地使用证》[]，估价对象（分摊）出让国有建设用地使用权面积为0平方米，规划建筑面积为53.09平方米。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53.09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913"/>
      <c r="M5" s="914"/>
      <c r="N5" s="914"/>
      <c r="O5" s="914"/>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913"/>
      <c r="M6" s="914"/>
      <c r="N6" s="914"/>
      <c r="O6" s="914"/>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45561</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1"/>
      <c r="R8" s="701" t="s">
        <v>14</v>
      </c>
      <c r="S8" s="702">
        <f t="shared" si="0"/>
        <v>100</v>
      </c>
      <c r="T8" s="701" t="s">
        <v>14</v>
      </c>
      <c r="U8" s="702">
        <f t="shared" si="1"/>
        <v>100</v>
      </c>
      <c r="V8" s="701" t="s">
        <v>14</v>
      </c>
      <c r="W8" s="702">
        <f t="shared" si="2"/>
        <v>100</v>
      </c>
      <c r="X8" s="703"/>
      <c r="Y8" s="3702"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45561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1"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1"/>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3"/>
      <c r="M37" s="2724"/>
      <c r="N37" s="2715"/>
      <c r="O37" s="2724"/>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45561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2" t="s">
        <v>1680</v>
      </c>
      <c r="Q7" s="3703"/>
      <c r="R7" s="701" t="s">
        <v>14</v>
      </c>
      <c r="S7" s="702">
        <f t="shared" ref="S7:S14" si="0">F7</f>
        <v>0</v>
      </c>
      <c r="T7" s="701" t="s">
        <v>14</v>
      </c>
      <c r="U7" s="702">
        <f t="shared" ref="U7:U14" si="1">H7</f>
        <v>0</v>
      </c>
      <c r="V7" s="701" t="s">
        <v>14</v>
      </c>
      <c r="W7" s="702">
        <f t="shared" ref="W7:W14" si="2">J7</f>
        <v>0</v>
      </c>
      <c r="X7" s="703"/>
      <c r="Y7" s="3702"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1"/>
      <c r="R8" s="701" t="s">
        <v>14</v>
      </c>
      <c r="S8" s="702">
        <f t="shared" si="0"/>
        <v>100</v>
      </c>
      <c r="T8" s="701" t="s">
        <v>14</v>
      </c>
      <c r="U8" s="702">
        <f t="shared" si="1"/>
        <v>100</v>
      </c>
      <c r="V8" s="701" t="s">
        <v>14</v>
      </c>
      <c r="W8" s="702">
        <f t="shared" si="2"/>
        <v>100</v>
      </c>
      <c r="X8" s="703"/>
      <c r="Y8" s="3702"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1"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1"/>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30"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30" ht="15.75" thickBot="1">
      <c r="A6" s="360"/>
      <c r="B6" s="361"/>
      <c r="C6" s="3696" t="s">
        <v>1677</v>
      </c>
      <c r="D6" s="3697"/>
      <c r="E6" s="3704" t="s">
        <v>1677</v>
      </c>
      <c r="F6" s="3705"/>
      <c r="G6" s="3696" t="s">
        <v>1677</v>
      </c>
      <c r="H6" s="3697"/>
      <c r="I6" s="3696" t="s">
        <v>1677</v>
      </c>
      <c r="J6" s="3697"/>
      <c r="K6" s="559" t="s">
        <v>1678</v>
      </c>
      <c r="L6" s="2714"/>
      <c r="M6" s="2715"/>
      <c r="N6" s="2715"/>
      <c r="O6" s="2715"/>
      <c r="P6" s="3739"/>
      <c r="Q6" s="3687"/>
      <c r="R6" s="3690"/>
      <c r="S6" s="3691"/>
      <c r="T6" s="3692"/>
      <c r="U6" s="3693"/>
      <c r="V6" s="3695"/>
      <c r="W6" s="3695"/>
      <c r="X6" s="1355"/>
      <c r="Y6" s="3692"/>
      <c r="Z6" s="3693"/>
      <c r="AA6" s="3708"/>
      <c r="AB6" s="3708"/>
      <c r="AC6" s="3708"/>
    </row>
    <row r="7" spans="1:30" s="108" customFormat="1" ht="15.75" thickBot="1">
      <c r="A7" s="362" t="s">
        <v>1679</v>
      </c>
      <c r="B7" s="363"/>
      <c r="C7" s="364">
        <f>'数据-取费表'!B2</f>
        <v>45561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1"/>
      <c r="R8" s="701" t="s">
        <v>14</v>
      </c>
      <c r="S8" s="702">
        <f t="shared" si="0"/>
        <v>0</v>
      </c>
      <c r="T8" s="701" t="s">
        <v>14</v>
      </c>
      <c r="U8" s="702">
        <f t="shared" si="1"/>
        <v>0</v>
      </c>
      <c r="V8" s="701" t="s">
        <v>14</v>
      </c>
      <c r="W8" s="702">
        <f t="shared" si="2"/>
        <v>0</v>
      </c>
      <c r="X8" s="703"/>
      <c r="Y8" s="3702"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8"/>
      <c r="M10" s="2719"/>
      <c r="N10" s="2719"/>
      <c r="O10" s="2772"/>
      <c r="P10" s="3661"/>
      <c r="Q10" s="1343" t="str">
        <f t="shared" si="6"/>
        <v>土地使用年限（年）</v>
      </c>
      <c r="R10" s="701" t="s">
        <v>14</v>
      </c>
      <c r="S10" s="702">
        <f t="shared" si="0"/>
        <v>122</v>
      </c>
      <c r="T10" s="701" t="s">
        <v>14</v>
      </c>
      <c r="U10" s="702">
        <f t="shared" si="1"/>
        <v>122</v>
      </c>
      <c r="V10" s="701" t="s">
        <v>14</v>
      </c>
      <c r="W10" s="702">
        <f t="shared" si="2"/>
        <v>122</v>
      </c>
      <c r="X10" s="703"/>
      <c r="Y10" s="3553"/>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1"/>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1"/>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1"/>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1" t="str">
        <f>A46</f>
        <v>成交单价</v>
      </c>
      <c r="Q46" s="3661"/>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61" t="str">
        <f>A47</f>
        <v>比较价值（元/平方米）</v>
      </c>
      <c r="Q47" s="366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8"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53.09</v>
      </c>
      <c r="F56" s="886" t="e">
        <f t="shared" ref="F56:F64" si="15">ROUND(B56*E56/10000,0)</f>
        <v>#DIV/0!</v>
      </c>
      <c r="G56" s="3660"/>
      <c r="H56" s="366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5">
        <v>0.25</v>
      </c>
      <c r="E57" s="642"/>
      <c r="F57" s="886" t="e">
        <f t="shared" si="15"/>
        <v>#DIV/0!</v>
      </c>
      <c r="G57" s="3005" t="s">
        <v>1892</v>
      </c>
      <c r="H57" s="887" t="str">
        <f>项目基本情况!B37</f>
        <v>一级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5">
        <v>0.25</v>
      </c>
      <c r="E58" s="642"/>
      <c r="F58" s="886" t="e">
        <f t="shared" si="15"/>
        <v>#DIV/0!</v>
      </c>
      <c r="G58" s="3006"/>
      <c r="H58" s="887" t="str">
        <f>项目基本情况!B37</f>
        <v>一级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5">
        <v>0.25</v>
      </c>
      <c r="E59" s="642"/>
      <c r="F59" s="886" t="e">
        <f t="shared" si="15"/>
        <v>#DIV/0!</v>
      </c>
      <c r="G59" s="3006"/>
      <c r="H59" s="887" t="str">
        <f>项目基本情况!B37</f>
        <v>一级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53.09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36" t="s">
        <v>1775</v>
      </c>
      <c r="Q4" s="3737"/>
      <c r="R4" s="3740" t="s">
        <v>1771</v>
      </c>
      <c r="S4" s="3741"/>
      <c r="T4" s="3740" t="s">
        <v>1772</v>
      </c>
      <c r="U4" s="3741"/>
      <c r="V4" s="3695" t="s">
        <v>1773</v>
      </c>
      <c r="W4" s="3695"/>
      <c r="X4" s="1355"/>
      <c r="Y4" s="3740" t="s">
        <v>1775</v>
      </c>
      <c r="Z4" s="3741"/>
      <c r="AA4" s="3735" t="s">
        <v>1771</v>
      </c>
      <c r="AB4" s="3707" t="s">
        <v>1772</v>
      </c>
      <c r="AC4" s="3735" t="s">
        <v>1773</v>
      </c>
    </row>
    <row r="5" spans="1:29" ht="15">
      <c r="A5" s="358"/>
      <c r="B5" s="359"/>
      <c r="C5" s="3698" t="s">
        <v>1673</v>
      </c>
      <c r="D5" s="3699"/>
      <c r="E5" s="3742" t="s">
        <v>1674</v>
      </c>
      <c r="F5" s="3710"/>
      <c r="G5" s="3698" t="s">
        <v>1675</v>
      </c>
      <c r="H5" s="3699"/>
      <c r="I5" s="3698" t="s">
        <v>1676</v>
      </c>
      <c r="J5" s="3699"/>
      <c r="K5" s="559"/>
      <c r="L5" s="2714"/>
      <c r="M5" s="2715"/>
      <c r="N5" s="2715"/>
      <c r="O5" s="2715"/>
      <c r="P5" s="3738"/>
      <c r="Q5" s="3685"/>
      <c r="R5" s="3690"/>
      <c r="S5" s="3691"/>
      <c r="T5" s="3690"/>
      <c r="U5" s="3691"/>
      <c r="V5" s="3695"/>
      <c r="W5" s="3695"/>
      <c r="X5" s="1355"/>
      <c r="Y5" s="3690"/>
      <c r="Z5" s="3691"/>
      <c r="AA5" s="3707"/>
      <c r="AB5" s="3707"/>
      <c r="AC5" s="3707"/>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39"/>
      <c r="Q6" s="3687"/>
      <c r="R6" s="3690"/>
      <c r="S6" s="3691"/>
      <c r="T6" s="3692"/>
      <c r="U6" s="3693"/>
      <c r="V6" s="3695"/>
      <c r="W6" s="3695"/>
      <c r="X6" s="1355"/>
      <c r="Y6" s="3692"/>
      <c r="Z6" s="3693"/>
      <c r="AA6" s="3708"/>
      <c r="AB6" s="3708"/>
      <c r="AC6" s="3708"/>
    </row>
    <row r="7" spans="1:29" s="108" customFormat="1" ht="15.75" thickBot="1">
      <c r="A7" s="362" t="s">
        <v>1679</v>
      </c>
      <c r="B7" s="363"/>
      <c r="C7" s="364">
        <f>'数据-取费表'!B2</f>
        <v>45561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2" t="s">
        <v>1680</v>
      </c>
      <c r="Q7" s="3703"/>
      <c r="R7" s="701" t="s">
        <v>14</v>
      </c>
      <c r="S7" s="702">
        <f t="shared" ref="S7:S15" si="0">F7</f>
        <v>0</v>
      </c>
      <c r="T7" s="701" t="s">
        <v>14</v>
      </c>
      <c r="U7" s="702">
        <f t="shared" ref="U7:U15" si="1">H7</f>
        <v>0</v>
      </c>
      <c r="V7" s="701" t="s">
        <v>14</v>
      </c>
      <c r="W7" s="702">
        <f t="shared" ref="W7:W15" si="2">J7</f>
        <v>0</v>
      </c>
      <c r="X7" s="703"/>
      <c r="Y7" s="3702"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1"/>
      <c r="R8" s="701" t="s">
        <v>14</v>
      </c>
      <c r="S8" s="702">
        <f t="shared" si="0"/>
        <v>0</v>
      </c>
      <c r="T8" s="701" t="s">
        <v>14</v>
      </c>
      <c r="U8" s="702">
        <f t="shared" si="1"/>
        <v>0</v>
      </c>
      <c r="V8" s="701" t="s">
        <v>14</v>
      </c>
      <c r="W8" s="702">
        <f t="shared" si="2"/>
        <v>0</v>
      </c>
      <c r="X8" s="703"/>
      <c r="Y8" s="3702"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8"/>
      <c r="M10" s="2719"/>
      <c r="N10" s="2719"/>
      <c r="O10" s="2772"/>
      <c r="P10" s="3661"/>
      <c r="Q10" s="1343" t="str">
        <f t="shared" si="6"/>
        <v>土地使用年限（年）</v>
      </c>
      <c r="R10" s="701" t="s">
        <v>14</v>
      </c>
      <c r="S10" s="702">
        <f t="shared" si="0"/>
        <v>122</v>
      </c>
      <c r="T10" s="701" t="s">
        <v>14</v>
      </c>
      <c r="U10" s="702">
        <f t="shared" si="1"/>
        <v>122</v>
      </c>
      <c r="V10" s="701" t="s">
        <v>14</v>
      </c>
      <c r="W10" s="702">
        <f t="shared" si="2"/>
        <v>122</v>
      </c>
      <c r="X10" s="703"/>
      <c r="Y10" s="3553"/>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1"/>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1"/>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1" t="str">
        <f>A41</f>
        <v>成交单价</v>
      </c>
      <c r="Q41" s="3661"/>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61" t="str">
        <f>A42</f>
        <v>比较价值（元/平方米）</v>
      </c>
      <c r="Q42" s="366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2" t="str">
        <f>A43</f>
        <v>估价对象XX用房的比较价值（楼面单价，元/平方米）</v>
      </c>
      <c r="Q43" s="3733"/>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8"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53.09</v>
      </c>
      <c r="F51" s="639" t="e">
        <f t="shared" ref="F51:F60" si="15">ROUND(B51*E51/10000,0)</f>
        <v>#DIV/0!</v>
      </c>
      <c r="G51" s="3660"/>
      <c r="H51" s="366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5">
        <v>0.25</v>
      </c>
      <c r="E52" s="642"/>
      <c r="F52" s="639" t="e">
        <f t="shared" si="15"/>
        <v>#DIV/0!</v>
      </c>
      <c r="G52" s="3005" t="s">
        <v>1892</v>
      </c>
      <c r="H52" s="887" t="str">
        <f>项目基本情况!B37</f>
        <v>一级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5">
        <v>0.25</v>
      </c>
      <c r="E53" s="642"/>
      <c r="F53" s="639" t="e">
        <f t="shared" si="15"/>
        <v>#DIV/0!</v>
      </c>
      <c r="G53" s="3006"/>
      <c r="H53" s="887" t="str">
        <f>项目基本情况!B37</f>
        <v>一级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5">
        <v>0.25</v>
      </c>
      <c r="E54" s="642"/>
      <c r="F54" s="639" t="e">
        <f t="shared" si="15"/>
        <v>#DIV/0!</v>
      </c>
      <c r="G54" s="3006"/>
      <c r="H54" s="887" t="str">
        <f>项目基本情况!B37</f>
        <v>一级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0</v>
      </c>
      <c r="C2" s="2145" t="s">
        <v>2074</v>
      </c>
      <c r="D2" s="2145" t="s">
        <v>2075</v>
      </c>
      <c r="E2" s="2611">
        <f ca="1">SUMIF(E6:E13,"&lt;&gt;#ref!",E6:E13)</f>
        <v>53.09</v>
      </c>
      <c r="F2" s="2792"/>
      <c r="G2" s="2792"/>
      <c r="H2" s="2792"/>
      <c r="I2" s="2792"/>
      <c r="J2" s="2792"/>
      <c r="K2" s="2792"/>
      <c r="L2" s="2792"/>
      <c r="M2" s="2792"/>
      <c r="N2" s="2792"/>
      <c r="O2" s="2792"/>
      <c r="P2" s="2792"/>
    </row>
    <row r="3" spans="1:16" ht="15.75">
      <c r="A3" s="2145" t="s">
        <v>2076</v>
      </c>
      <c r="B3" s="2601">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5" t="s">
        <v>2074</v>
      </c>
      <c r="D6" s="2792"/>
      <c r="E6" s="2611">
        <f ca="1">SUMIF(INDIRECT("'"&amp;A6&amp;"'"&amp;"!C:C"),"建筑面积",INDIRECT("'"&amp;A6&amp;"'"&amp;"!D:D"))</f>
        <v>53.09</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A2" zoomScale="85" zoomScaleNormal="80" zoomScaleSheetLayoutView="85" workbookViewId="0">
      <selection activeCell="F32" sqref="F3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53.09</v>
      </c>
      <c r="E1" s="1995"/>
      <c r="F1" s="1995"/>
      <c r="G1" s="1995"/>
      <c r="H1" s="1995"/>
      <c r="I1" s="1995"/>
      <c r="J1" s="1995"/>
      <c r="K1" s="1119"/>
      <c r="L1" s="1996" t="s">
        <v>1928</v>
      </c>
      <c r="M1" s="863">
        <f>SUMPRODUCT((区片价!B5:B9=I2)*(区片价!C3:G3=E2)*(区片价!C5:G9))</f>
        <v>34850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48438</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2440</v>
      </c>
      <c r="F3" s="2004" t="s">
        <v>3398</v>
      </c>
      <c r="G3" s="752">
        <f>IF(F3="宗地容积率",'数据-汇总表'!I4,IF(F3="估价对象容积率",'数据-汇总表'!I6,'数据-汇总表'!I7))</f>
        <v>1.5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38454</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33227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34836</v>
      </c>
      <c r="D5" s="1339">
        <f>ROUND(C6*C17+C20,0)</f>
        <v>34836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30067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28656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1.5</v>
      </c>
      <c r="AA7" s="1216"/>
      <c r="AB7" s="1216"/>
      <c r="AC7" s="1217"/>
      <c r="AD7" s="1218"/>
      <c r="AE7" s="1218"/>
      <c r="AF7" s="1218"/>
      <c r="AG7" s="1218"/>
      <c r="AH7" s="1218"/>
      <c r="AI7" s="1218"/>
      <c r="AJ7" s="1219"/>
    </row>
    <row r="8" spans="1:36" ht="25.5">
      <c r="A8" s="3298"/>
      <c r="B8" s="170" t="s">
        <v>1957</v>
      </c>
      <c r="C8" s="2026" t="s">
        <v>3440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3255</v>
      </c>
      <c r="B20" s="167" t="s">
        <v>1994</v>
      </c>
      <c r="C20" s="3324">
        <f>ROUND(IF(F21="与级别开发程度一致",0,(G21-E21)/C21),0)</f>
        <v>-14</v>
      </c>
      <c r="D20" s="3340" t="s">
        <v>1998</v>
      </c>
      <c r="E20" s="3341"/>
      <c r="F20" s="3769" t="s">
        <v>1995</v>
      </c>
      <c r="G20" s="3770"/>
      <c r="H20" s="3325" t="s">
        <v>3400</v>
      </c>
      <c r="I20" s="3325" t="s">
        <v>3401</v>
      </c>
      <c r="J20" s="3326" t="s">
        <v>3402</v>
      </c>
      <c r="K20" s="2047" t="s">
        <v>3403</v>
      </c>
      <c r="L20" s="2047" t="s">
        <v>3404</v>
      </c>
      <c r="M20" s="2047" t="s">
        <v>3405</v>
      </c>
      <c r="N20" s="2047" t="s">
        <v>3406</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20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45561</v>
      </c>
      <c r="H23" s="3342" t="s">
        <v>3256</v>
      </c>
      <c r="I23" s="3343" t="str">
        <f>IF(H23="季度增幅（自定义）",SUMIF(N25:N28,E2,O25:O28),"")</f>
        <v/>
      </c>
      <c r="J23" s="3445" t="s">
        <v>3441</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0.83599999999999997</v>
      </c>
      <c r="D24" s="2060" t="s">
        <v>2007</v>
      </c>
      <c r="E24" s="1335">
        <f>存贷款利率!E26/100</f>
        <v>4.3499999999999997E-2</v>
      </c>
      <c r="F24" s="2060" t="s">
        <v>1999</v>
      </c>
      <c r="G24" s="768">
        <f>SUMIF(M30:Q30,E2,M33:Q33)</f>
        <v>5.5E-2</v>
      </c>
      <c r="H24" s="2060" t="s">
        <v>2008</v>
      </c>
      <c r="I24" s="769">
        <f>SUMIF('数据-取费表'!C6:C15,E2,'数据-取费表'!F6:F15)/COUNTIF('数据-取费表'!C6:C15,E2)</f>
        <v>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3442</v>
      </c>
      <c r="C25" s="771">
        <f>IF(B25="容积率修正",IF(G3&lt;10,D26,J26),C27)</f>
        <v>1.5206</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1.1453</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1.1453</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1.0419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48438</v>
      </c>
      <c r="D33" s="2098">
        <f>'数据-汇总表'!E19</f>
        <v>53.09</v>
      </c>
      <c r="E33" s="773">
        <f>ROUND(C33*D33/10000,0)</f>
        <v>257</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22298</v>
      </c>
      <c r="D37" s="2098"/>
      <c r="E37" s="171">
        <f>ROUND(C37*D37/10000,0)</f>
        <v>0</v>
      </c>
      <c r="F37" s="171">
        <f>SUMIF(修正!A57:A68,G2,修正!B57:B68)</f>
        <v>0.7</v>
      </c>
      <c r="G37" s="171">
        <f>ROUND(IF(E2="工业",C37*$M$42,C37*$M$41),0)</f>
        <v>5575</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12742</v>
      </c>
      <c r="D38" s="2098"/>
      <c r="E38" s="171">
        <f t="shared" ref="E38:E42" si="4">ROUND(C38*D38/10000,0)</f>
        <v>0</v>
      </c>
      <c r="F38" s="171">
        <f>SUMIF(修正!A57:A68,G2,修正!C57:C68)</f>
        <v>0.4</v>
      </c>
      <c r="G38" s="171">
        <f>ROUND(IF(E2="工业",C38*$M$42,C38*$M$41),0)</f>
        <v>3186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3259</v>
      </c>
      <c r="C39" s="175">
        <f>ROUND(D5*C22*C23*C24*C28*F39,0)</f>
        <v>9556</v>
      </c>
      <c r="D39" s="2098"/>
      <c r="E39" s="171">
        <f t="shared" si="4"/>
        <v>0</v>
      </c>
      <c r="F39" s="171">
        <f>SUMIF(修正!A57:A68,G2,修正!D57:D68)</f>
        <v>0.3</v>
      </c>
      <c r="G39" s="171">
        <f>ROUND(IF(E2="工业",C39*$M$42,C39*$M$41),0)</f>
        <v>2389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9556</v>
      </c>
      <c r="D40" s="2098"/>
      <c r="E40" s="171">
        <f t="shared" si="4"/>
        <v>0</v>
      </c>
      <c r="F40" s="175">
        <f>SUMIF(修正!A57:A68,G2,修正!E57:E68)</f>
        <v>0.3</v>
      </c>
      <c r="G40" s="171">
        <f>ROUND(IF(E2="工业",C40*$M$42,C40*$M$41),0)</f>
        <v>2389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1.0419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3407</v>
      </c>
      <c r="D50" s="1065">
        <f t="shared" ref="D50:D58" si="7">SUMIF($J$49:$N$49,C50,J50:N50)</f>
        <v>1.4500000000000001E-2</v>
      </c>
      <c r="E50" s="744">
        <f>ROUND(SUM(D50:D58),4)</f>
        <v>4.19E-2</v>
      </c>
      <c r="F50" s="1814">
        <f>IF(E2="商业",SUMIF(L1:L12,G2,N1:N12),"——")</f>
        <v>9.7000000000000003E-2</v>
      </c>
      <c r="G50" s="1063">
        <f>H50</f>
        <v>1.4500000000000001E-2</v>
      </c>
      <c r="H50" s="1066">
        <f t="shared" ref="H50:H58" si="8">IFERROR(ROUNDDOWN($F$50*I50/2,4),"——")</f>
        <v>1.4500000000000001E-2</v>
      </c>
      <c r="I50" s="3366">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3407</v>
      </c>
      <c r="D51" s="1065">
        <f t="shared" si="7"/>
        <v>1.06E-2</v>
      </c>
      <c r="E51" s="745"/>
      <c r="F51" s="1814"/>
      <c r="G51" s="1063">
        <f t="shared" ref="G51:G58" si="12">H51</f>
        <v>1.06E-2</v>
      </c>
      <c r="H51" s="1066">
        <f t="shared" si="8"/>
        <v>1.06E-2</v>
      </c>
      <c r="I51" s="3366">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t="s">
        <v>3407</v>
      </c>
      <c r="D52" s="1065">
        <f t="shared" si="7"/>
        <v>5.7999999999999996E-3</v>
      </c>
      <c r="E52" s="745"/>
      <c r="F52" s="1814"/>
      <c r="G52" s="1063">
        <f t="shared" si="12"/>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3409</v>
      </c>
      <c r="D53" s="1065">
        <f t="shared" si="7"/>
        <v>0</v>
      </c>
      <c r="E53" s="745"/>
      <c r="F53" s="1814"/>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3408</v>
      </c>
      <c r="D54" s="1065">
        <f t="shared" si="7"/>
        <v>-3.8E-3</v>
      </c>
      <c r="E54" s="745"/>
      <c r="F54" s="1814"/>
      <c r="G54" s="1063">
        <f t="shared" si="12"/>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3407</v>
      </c>
      <c r="D55" s="1065">
        <f t="shared" si="7"/>
        <v>2.3999999999999998E-3</v>
      </c>
      <c r="E55" s="745"/>
      <c r="F55" s="1814"/>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3407</v>
      </c>
      <c r="D56" s="1065">
        <f t="shared" si="7"/>
        <v>2.3999999999999998E-3</v>
      </c>
      <c r="E56" s="745"/>
      <c r="F56" s="1814"/>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7.6E-3</v>
      </c>
      <c r="E57" s="745"/>
      <c r="F57" s="1814"/>
      <c r="G57" s="1063">
        <f t="shared" si="12"/>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2.3999999999999998E-3</v>
      </c>
      <c r="E58" s="746"/>
      <c r="F58" s="1814"/>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1.0116000000000001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3407</v>
      </c>
      <c r="D61" s="1065">
        <f t="shared" ref="D61:D69" si="13">SUMIF($J$60:$N$60,C61,J61:N61)</f>
        <v>1.6199999999999999E-2</v>
      </c>
      <c r="E61" s="744">
        <f>ROUND(SUM(D61:D69),4)</f>
        <v>1.1599999999999999E-2</v>
      </c>
      <c r="F61" s="1814" t="str">
        <f>IF(E2="办公",SUMIF(L1:L12,G2,N1:N12),"——")</f>
        <v>——</v>
      </c>
      <c r="G61" s="1063">
        <v>1.6199999999999999E-2</v>
      </c>
      <c r="H61" s="1066" t="str">
        <f t="shared" ref="H61:H69" si="14">IFERROR(ROUNDDOWN($F$61*I61/2,4),"——")</f>
        <v>——</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3408</v>
      </c>
      <c r="D62" s="1065">
        <f t="shared" si="13"/>
        <v>-1.6899999999999998E-2</v>
      </c>
      <c r="E62" s="745"/>
      <c r="F62" s="1814"/>
      <c r="G62" s="1063">
        <v>1.6899999999999998E-2</v>
      </c>
      <c r="H62" s="1066" t="str">
        <f t="shared" si="14"/>
        <v>——</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t="s">
        <v>3407</v>
      </c>
      <c r="D63" s="1065">
        <f t="shared" si="13"/>
        <v>7.1000000000000004E-3</v>
      </c>
      <c r="E63" s="745"/>
      <c r="F63" s="1814"/>
      <c r="G63" s="1063">
        <v>7.1000000000000004E-3</v>
      </c>
      <c r="H63" s="1066" t="str">
        <f t="shared" si="14"/>
        <v>——</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3409</v>
      </c>
      <c r="D64" s="1065">
        <f t="shared" si="13"/>
        <v>0</v>
      </c>
      <c r="E64" s="745"/>
      <c r="F64" s="1814"/>
      <c r="G64" s="1063">
        <v>3.2000000000000002E-3</v>
      </c>
      <c r="H64" s="1066" t="str">
        <f t="shared" si="14"/>
        <v>——</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3410</v>
      </c>
      <c r="D65" s="1065">
        <f t="shared" si="13"/>
        <v>-6.4000000000000003E-3</v>
      </c>
      <c r="E65" s="745"/>
      <c r="F65" s="1814"/>
      <c r="G65" s="1063">
        <v>3.2000000000000002E-3</v>
      </c>
      <c r="H65" s="1066" t="str">
        <f t="shared" si="14"/>
        <v>——</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3"/>
        <v>3.8999999999999998E-3</v>
      </c>
      <c r="E66" s="745"/>
      <c r="F66" s="1814"/>
      <c r="G66" s="1063">
        <v>3.8999999999999998E-3</v>
      </c>
      <c r="H66" s="1066" t="str">
        <f t="shared" si="14"/>
        <v>——</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3408</v>
      </c>
      <c r="D67" s="1065">
        <f t="shared" si="13"/>
        <v>-3.8999999999999998E-3</v>
      </c>
      <c r="E67" s="745"/>
      <c r="F67" s="1814"/>
      <c r="G67" s="1063">
        <v>3.8999999999999998E-3</v>
      </c>
      <c r="H67" s="1066" t="str">
        <f t="shared" si="14"/>
        <v>——</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v>5.7999999999999996E-3</v>
      </c>
      <c r="H68" s="1066" t="str">
        <f t="shared" si="14"/>
        <v>——</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v>4.4999999999999997E-3</v>
      </c>
      <c r="H69" s="1066" t="str">
        <f t="shared" si="14"/>
        <v>——</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3270</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3294</v>
      </c>
      <c r="B103" s="3765"/>
      <c r="C103" s="3765"/>
      <c r="D103" s="3765"/>
      <c r="E103" s="3765"/>
      <c r="F103" s="3765"/>
      <c r="G103" s="3765"/>
      <c r="H103" s="3765"/>
      <c r="I103" s="3765"/>
      <c r="J103" s="3765"/>
      <c r="K103" s="3389"/>
      <c r="L103" s="3389"/>
      <c r="M103" s="3389"/>
      <c r="N103" s="3389"/>
    </row>
    <row r="104" spans="1:14">
      <c r="A104" s="3766" t="s">
        <v>3295</v>
      </c>
      <c r="B104" s="3766" t="s">
        <v>3296</v>
      </c>
      <c r="C104" s="3390" t="s">
        <v>3297</v>
      </c>
      <c r="D104" s="3391"/>
      <c r="E104" s="3391"/>
      <c r="F104" s="3391"/>
      <c r="G104" s="3391"/>
      <c r="H104" s="3391"/>
      <c r="I104" s="3391"/>
      <c r="J104" s="3392"/>
      <c r="K104" s="3393"/>
      <c r="L104" s="3393"/>
      <c r="M104" s="3393"/>
      <c r="N104" s="3393"/>
    </row>
    <row r="105" spans="1:14">
      <c r="A105" s="3766"/>
      <c r="B105" s="376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4"/>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5" t="s">
        <v>3311</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1.5</v>
      </c>
      <c r="C116" s="3399" t="s">
        <v>3313</v>
      </c>
      <c r="D116" s="3400">
        <f>SUMPRODUCT((A118:A122=F116)*(B117:M117=H116)*B118:M122)</f>
        <v>0.98029999999999995</v>
      </c>
      <c r="E116" s="2000" t="s">
        <v>3314</v>
      </c>
      <c r="F116" s="3401" t="str">
        <f>E2</f>
        <v>商业</v>
      </c>
      <c r="G116" s="2000" t="s">
        <v>3315</v>
      </c>
      <c r="H116" s="3401" t="str">
        <f>G2</f>
        <v>一级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0.98029999999999995</v>
      </c>
      <c r="C118" s="3387">
        <f>B118</f>
        <v>0.98029999999999995</v>
      </c>
      <c r="D118" s="3387">
        <f>ROUND(0.949-0.014*B116,4)</f>
        <v>0.92800000000000005</v>
      </c>
      <c r="E118" s="3387">
        <f>D118</f>
        <v>0.92800000000000005</v>
      </c>
      <c r="F118" s="3387">
        <f>E118</f>
        <v>0.92800000000000005</v>
      </c>
      <c r="G118" s="3387">
        <f>F118</f>
        <v>0.92800000000000005</v>
      </c>
      <c r="H118" s="3387">
        <f>G118</f>
        <v>0.92800000000000005</v>
      </c>
      <c r="I118" s="3387">
        <f>ROUND(0.8486-0.018*B116,4)</f>
        <v>0.8216</v>
      </c>
      <c r="J118" s="3387">
        <f t="shared" ref="J118:M122" si="36">I118</f>
        <v>0.8216</v>
      </c>
      <c r="K118" s="3387">
        <f t="shared" si="36"/>
        <v>0.8216</v>
      </c>
      <c r="L118" s="3387">
        <f t="shared" si="36"/>
        <v>0.8216</v>
      </c>
      <c r="M118" s="3410">
        <f t="shared" si="36"/>
        <v>0.8216</v>
      </c>
      <c r="N118" s="3397"/>
    </row>
    <row r="119" spans="1:14">
      <c r="A119" s="3409" t="s">
        <v>3329</v>
      </c>
      <c r="B119" s="3387">
        <f>ROUND(0.993-0.0112*B116,4)</f>
        <v>0.97619999999999996</v>
      </c>
      <c r="C119" s="3387">
        <f>B119</f>
        <v>0.97619999999999996</v>
      </c>
      <c r="D119" s="3387">
        <f>ROUND(0.9415-0.0142*B116,4)</f>
        <v>0.92020000000000002</v>
      </c>
      <c r="E119" s="3387">
        <f t="shared" ref="E119:H120" si="37">D119</f>
        <v>0.92020000000000002</v>
      </c>
      <c r="F119" s="3387">
        <f t="shared" si="37"/>
        <v>0.92020000000000002</v>
      </c>
      <c r="G119" s="3387">
        <f t="shared" si="37"/>
        <v>0.92020000000000002</v>
      </c>
      <c r="H119" s="3387">
        <f t="shared" si="37"/>
        <v>0.92020000000000002</v>
      </c>
      <c r="I119" s="3387">
        <f>ROUND(0.838-0.0182*B116,4)</f>
        <v>0.81069999999999998</v>
      </c>
      <c r="J119" s="3387">
        <f t="shared" si="36"/>
        <v>0.81069999999999998</v>
      </c>
      <c r="K119" s="3387">
        <f t="shared" si="36"/>
        <v>0.81069999999999998</v>
      </c>
      <c r="L119" s="3387">
        <f t="shared" si="36"/>
        <v>0.81069999999999998</v>
      </c>
      <c r="M119" s="3410">
        <f t="shared" si="36"/>
        <v>0.81069999999999998</v>
      </c>
      <c r="N119" s="3397"/>
    </row>
    <row r="120" spans="1:14">
      <c r="A120" s="3409" t="s">
        <v>3330</v>
      </c>
      <c r="B120" s="3387">
        <f>ROUND(0.9448-0.0115*B116,4)</f>
        <v>0.92759999999999998</v>
      </c>
      <c r="C120" s="3387">
        <f>B120</f>
        <v>0.92759999999999998</v>
      </c>
      <c r="D120" s="3387">
        <f>ROUND(0.937-0.0145*B116,4)</f>
        <v>0.9153</v>
      </c>
      <c r="E120" s="3387">
        <f t="shared" si="37"/>
        <v>0.9153</v>
      </c>
      <c r="F120" s="3387">
        <f t="shared" si="37"/>
        <v>0.9153</v>
      </c>
      <c r="G120" s="3387">
        <f t="shared" si="37"/>
        <v>0.9153</v>
      </c>
      <c r="H120" s="3387">
        <f t="shared" si="37"/>
        <v>0.9153</v>
      </c>
      <c r="I120" s="3387">
        <f>ROUND(0.7965-0.0185*B116,4)</f>
        <v>0.76880000000000004</v>
      </c>
      <c r="J120" s="3387">
        <f t="shared" si="36"/>
        <v>0.76880000000000004</v>
      </c>
      <c r="K120" s="3387">
        <f t="shared" si="36"/>
        <v>0.76880000000000004</v>
      </c>
      <c r="L120" s="3387">
        <f t="shared" si="36"/>
        <v>0.76880000000000004</v>
      </c>
      <c r="M120" s="3410">
        <f t="shared" si="36"/>
        <v>0.76880000000000004</v>
      </c>
      <c r="N120" s="3397"/>
    </row>
    <row r="121" spans="1:14" ht="13.5" thickBot="1">
      <c r="A121" s="3411" t="s">
        <v>3331</v>
      </c>
      <c r="B121" s="3412">
        <f>ROUND(0.7836-0.012*B116,4)</f>
        <v>0.76559999999999995</v>
      </c>
      <c r="C121" s="3412">
        <f>B121</f>
        <v>0.76559999999999995</v>
      </c>
      <c r="D121" s="3412">
        <f>ROUND(0.753-0.015*B116,4)</f>
        <v>0.73050000000000004</v>
      </c>
      <c r="E121" s="3412">
        <f>D121</f>
        <v>0.73050000000000004</v>
      </c>
      <c r="F121" s="3412">
        <f>E121</f>
        <v>0.73050000000000004</v>
      </c>
      <c r="G121" s="3412">
        <f>ROUND(0.6612-0.018*B116,4)</f>
        <v>0.63419999999999999</v>
      </c>
      <c r="H121" s="3412">
        <f>G121</f>
        <v>0.63419999999999999</v>
      </c>
      <c r="I121" s="3412">
        <f>ROUND(0.5905-0.019*B116,4)</f>
        <v>0.56200000000000006</v>
      </c>
      <c r="J121" s="3412">
        <f t="shared" si="36"/>
        <v>0.56200000000000006</v>
      </c>
      <c r="K121" s="3412">
        <f t="shared" si="36"/>
        <v>0.56200000000000006</v>
      </c>
      <c r="L121" s="3412">
        <f t="shared" si="36"/>
        <v>0.56200000000000006</v>
      </c>
      <c r="M121" s="3413">
        <f t="shared" si="36"/>
        <v>0.56200000000000006</v>
      </c>
      <c r="N121" s="3397"/>
    </row>
    <row r="122" spans="1:14">
      <c r="A122" s="3414" t="s">
        <v>2613</v>
      </c>
      <c r="B122" s="3387">
        <f>ROUND(0.9404-0.0106*B116,4)</f>
        <v>0.92449999999999999</v>
      </c>
      <c r="C122" s="3387">
        <f>B122</f>
        <v>0.92449999999999999</v>
      </c>
      <c r="D122" s="3387">
        <f>ROUND(0.8955-0.0135*B116,4)</f>
        <v>0.87529999999999997</v>
      </c>
      <c r="E122" s="3387">
        <f t="shared" ref="E122:H122" si="38">D122</f>
        <v>0.87529999999999997</v>
      </c>
      <c r="F122" s="3387">
        <f t="shared" si="38"/>
        <v>0.87529999999999997</v>
      </c>
      <c r="G122" s="3387">
        <f t="shared" si="38"/>
        <v>0.87529999999999997</v>
      </c>
      <c r="H122" s="3387">
        <f t="shared" si="38"/>
        <v>0.87529999999999997</v>
      </c>
      <c r="I122" s="3387">
        <f>ROUND(0.7632-0.0166*B116,4)</f>
        <v>0.73829999999999996</v>
      </c>
      <c r="J122" s="3387">
        <f t="shared" si="36"/>
        <v>0.73829999999999996</v>
      </c>
      <c r="K122" s="3387">
        <f t="shared" si="36"/>
        <v>0.73829999999999996</v>
      </c>
      <c r="L122" s="3387">
        <f t="shared" si="36"/>
        <v>0.73829999999999996</v>
      </c>
      <c r="M122" s="3410">
        <f t="shared" si="36"/>
        <v>0.73829999999999996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0" t="s">
        <v>2608</v>
      </c>
      <c r="B20" s="3775" t="s">
        <v>2629</v>
      </c>
      <c r="C20" s="3102" t="s">
        <v>2440</v>
      </c>
      <c r="D20" s="3103"/>
      <c r="E20" s="3104">
        <v>1</v>
      </c>
      <c r="F20" s="3105" t="s">
        <v>2441</v>
      </c>
      <c r="G20" s="3105"/>
    </row>
    <row r="21" spans="1:13" ht="19.5" customHeight="1">
      <c r="A21" s="3781"/>
      <c r="B21" s="3774"/>
      <c r="C21" s="3106" t="s">
        <v>2442</v>
      </c>
      <c r="D21" s="3107"/>
      <c r="E21" s="3108">
        <v>1</v>
      </c>
      <c r="F21" s="3105" t="s">
        <v>2443</v>
      </c>
      <c r="G21" s="3105"/>
    </row>
    <row r="22" spans="1:13" ht="19.5" customHeight="1">
      <c r="A22" s="3781"/>
      <c r="B22" s="3774"/>
      <c r="C22" s="3106" t="s">
        <v>2444</v>
      </c>
      <c r="D22" s="3107"/>
      <c r="E22" s="3108">
        <v>0.9</v>
      </c>
      <c r="F22" s="3105" t="s">
        <v>2445</v>
      </c>
      <c r="G22" s="3105"/>
    </row>
    <row r="23" spans="1:13" ht="19.5" customHeight="1">
      <c r="A23" s="3781"/>
      <c r="B23" s="3774"/>
      <c r="C23" s="3106" t="s">
        <v>2446</v>
      </c>
      <c r="D23" s="3107"/>
      <c r="E23" s="3108">
        <v>0.9</v>
      </c>
      <c r="F23" s="3105" t="s">
        <v>2447</v>
      </c>
      <c r="G23" s="3105"/>
    </row>
    <row r="24" spans="1:13" ht="19.5" customHeight="1">
      <c r="A24" s="3781"/>
      <c r="B24" s="3774"/>
      <c r="C24" s="3106" t="s">
        <v>2448</v>
      </c>
      <c r="D24" s="3107"/>
      <c r="E24" s="3108">
        <v>0.8</v>
      </c>
      <c r="F24" s="3105" t="s">
        <v>2449</v>
      </c>
      <c r="G24" s="3105"/>
    </row>
    <row r="25" spans="1:13" ht="19.5" customHeight="1" thickBot="1">
      <c r="A25" s="3782"/>
      <c r="B25" s="3776"/>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7" t="s">
        <v>2632</v>
      </c>
      <c r="B27" s="3775" t="s">
        <v>2613</v>
      </c>
      <c r="C27" s="3102" t="s">
        <v>2453</v>
      </c>
      <c r="D27" s="3103"/>
      <c r="E27" s="3104">
        <v>1</v>
      </c>
      <c r="F27" s="3105" t="s">
        <v>2454</v>
      </c>
      <c r="G27" s="3105"/>
    </row>
    <row r="28" spans="1:13" ht="19.5" customHeight="1">
      <c r="A28" s="3778"/>
      <c r="B28" s="3774"/>
      <c r="C28" s="3106" t="s">
        <v>2455</v>
      </c>
      <c r="D28" s="3107"/>
      <c r="E28" s="3108">
        <v>1</v>
      </c>
      <c r="F28" s="3105" t="s">
        <v>2456</v>
      </c>
      <c r="G28" s="3105"/>
    </row>
    <row r="29" spans="1:13" ht="19.5" customHeight="1">
      <c r="A29" s="3778"/>
      <c r="B29" s="3774"/>
      <c r="C29" s="3106" t="s">
        <v>2457</v>
      </c>
      <c r="D29" s="3107"/>
      <c r="E29" s="3108">
        <v>0.8</v>
      </c>
      <c r="F29" s="3105" t="s">
        <v>2458</v>
      </c>
      <c r="G29" s="3105"/>
    </row>
    <row r="30" spans="1:13" ht="19.5" customHeight="1">
      <c r="A30" s="3778"/>
      <c r="B30" s="3774"/>
      <c r="C30" s="3106" t="s">
        <v>2459</v>
      </c>
      <c r="D30" s="3107"/>
      <c r="E30" s="3108">
        <v>0.8</v>
      </c>
      <c r="F30" s="3105" t="s">
        <v>2460</v>
      </c>
      <c r="G30" s="3105"/>
    </row>
    <row r="31" spans="1:13" ht="19.5" customHeight="1">
      <c r="A31" s="3778"/>
      <c r="B31" s="3774"/>
      <c r="C31" s="3106" t="s">
        <v>2461</v>
      </c>
      <c r="D31" s="3107"/>
      <c r="E31" s="3108">
        <v>0.8</v>
      </c>
      <c r="F31" s="3105" t="s">
        <v>2462</v>
      </c>
      <c r="G31" s="3105"/>
    </row>
    <row r="32" spans="1:13" ht="19.5" customHeight="1">
      <c r="A32" s="3778"/>
      <c r="B32" s="3774"/>
      <c r="C32" s="3106" t="s">
        <v>2463</v>
      </c>
      <c r="D32" s="3107"/>
      <c r="E32" s="3108">
        <v>0.7</v>
      </c>
      <c r="F32" s="3105" t="s">
        <v>2464</v>
      </c>
      <c r="G32" s="3105"/>
    </row>
    <row r="33" spans="1:7" ht="19.5" customHeight="1">
      <c r="A33" s="3778"/>
      <c r="B33" s="3774"/>
      <c r="C33" s="3106" t="s">
        <v>2465</v>
      </c>
      <c r="D33" s="3107"/>
      <c r="E33" s="3108">
        <v>0.8</v>
      </c>
      <c r="F33" s="3105" t="s">
        <v>2466</v>
      </c>
      <c r="G33" s="3105"/>
    </row>
    <row r="34" spans="1:7" ht="19.5" customHeight="1">
      <c r="A34" s="3778"/>
      <c r="B34" s="3774"/>
      <c r="C34" s="3106" t="s">
        <v>2467</v>
      </c>
      <c r="D34" s="3107"/>
      <c r="E34" s="3108">
        <v>0.6</v>
      </c>
      <c r="F34" s="3105" t="s">
        <v>2468</v>
      </c>
      <c r="G34" s="3105"/>
    </row>
    <row r="35" spans="1:7" ht="19.5" customHeight="1">
      <c r="A35" s="3778"/>
      <c r="B35" s="3774"/>
      <c r="C35" s="3106" t="s">
        <v>2469</v>
      </c>
      <c r="D35" s="3107"/>
      <c r="E35" s="3108">
        <v>0.2</v>
      </c>
      <c r="F35" s="3105" t="s">
        <v>2470</v>
      </c>
      <c r="G35" s="3105"/>
    </row>
    <row r="36" spans="1:7" ht="19.5" customHeight="1">
      <c r="A36" s="3778"/>
      <c r="B36" s="3774"/>
      <c r="C36" s="3106" t="s">
        <v>2471</v>
      </c>
      <c r="D36" s="3107"/>
      <c r="E36" s="3108">
        <v>0.2</v>
      </c>
      <c r="F36" s="3105" t="s">
        <v>2472</v>
      </c>
      <c r="G36" s="3105"/>
    </row>
    <row r="37" spans="1:7" ht="19.5" customHeight="1">
      <c r="A37" s="3778"/>
      <c r="B37" s="3772" t="s">
        <v>2633</v>
      </c>
      <c r="C37" s="3106" t="s">
        <v>2473</v>
      </c>
      <c r="D37" s="3107"/>
      <c r="E37" s="3108">
        <v>0.6</v>
      </c>
      <c r="F37" s="3105" t="s">
        <v>2474</v>
      </c>
      <c r="G37" s="3105"/>
    </row>
    <row r="38" spans="1:7" ht="19.5" customHeight="1">
      <c r="A38" s="3778"/>
      <c r="B38" s="3774"/>
      <c r="C38" s="3106" t="s">
        <v>2475</v>
      </c>
      <c r="D38" s="3107"/>
      <c r="E38" s="3108">
        <v>0.6</v>
      </c>
      <c r="F38" s="3105" t="s">
        <v>2476</v>
      </c>
      <c r="G38" s="3105"/>
    </row>
    <row r="39" spans="1:7" ht="19.5" customHeight="1" thickBot="1">
      <c r="A39" s="3779"/>
      <c r="B39" s="3776"/>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0" t="s">
        <v>2611</v>
      </c>
      <c r="B41" s="3775" t="s">
        <v>2635</v>
      </c>
      <c r="C41" s="3102" t="s">
        <v>2480</v>
      </c>
      <c r="D41" s="3103"/>
      <c r="E41" s="3104">
        <v>1</v>
      </c>
      <c r="F41" s="3105" t="s">
        <v>2481</v>
      </c>
      <c r="G41" s="3105"/>
    </row>
    <row r="42" spans="1:7" ht="19.5" customHeight="1">
      <c r="A42" s="3781"/>
      <c r="B42" s="3774"/>
      <c r="C42" s="3106" t="s">
        <v>2482</v>
      </c>
      <c r="D42" s="3107"/>
      <c r="E42" s="3108">
        <v>1</v>
      </c>
      <c r="F42" s="3105" t="s">
        <v>2483</v>
      </c>
      <c r="G42" s="3105"/>
    </row>
    <row r="43" spans="1:7" ht="19.5" customHeight="1">
      <c r="A43" s="3781"/>
      <c r="B43" s="3773"/>
      <c r="C43" s="3106" t="s">
        <v>2484</v>
      </c>
      <c r="D43" s="3107"/>
      <c r="E43" s="3108">
        <v>1.5</v>
      </c>
      <c r="F43" s="3105" t="s">
        <v>2485</v>
      </c>
      <c r="G43" s="3105"/>
    </row>
    <row r="44" spans="1:7" ht="19.5" customHeight="1">
      <c r="A44" s="3781"/>
      <c r="B44" s="3117" t="s">
        <v>2636</v>
      </c>
      <c r="C44" s="3106" t="s">
        <v>2637</v>
      </c>
      <c r="D44" s="3107"/>
      <c r="E44" s="3108">
        <v>2</v>
      </c>
      <c r="F44" s="3105" t="s">
        <v>2486</v>
      </c>
      <c r="G44" s="3105"/>
    </row>
    <row r="45" spans="1:7" ht="19.5" customHeight="1">
      <c r="A45" s="3781"/>
      <c r="B45" s="3772" t="s">
        <v>2638</v>
      </c>
      <c r="C45" s="3106" t="s">
        <v>2487</v>
      </c>
      <c r="D45" s="3107"/>
      <c r="E45" s="3108">
        <v>1</v>
      </c>
      <c r="F45" s="3105" t="s">
        <v>2488</v>
      </c>
      <c r="G45" s="3105"/>
    </row>
    <row r="46" spans="1:7" ht="19.5" customHeight="1">
      <c r="A46" s="3781"/>
      <c r="B46" s="3774"/>
      <c r="C46" s="3106" t="s">
        <v>2489</v>
      </c>
      <c r="D46" s="3107"/>
      <c r="E46" s="3108">
        <v>1</v>
      </c>
      <c r="F46" s="3105" t="s">
        <v>2490</v>
      </c>
      <c r="G46" s="3105"/>
    </row>
    <row r="47" spans="1:7" ht="19.5" customHeight="1">
      <c r="A47" s="3781"/>
      <c r="B47" s="3774"/>
      <c r="C47" s="3106" t="s">
        <v>2491</v>
      </c>
      <c r="D47" s="3107"/>
      <c r="E47" s="3108">
        <v>1</v>
      </c>
      <c r="F47" s="3105" t="s">
        <v>2492</v>
      </c>
      <c r="G47" s="3105"/>
    </row>
    <row r="48" spans="1:7" ht="19.5" customHeight="1">
      <c r="A48" s="3781"/>
      <c r="B48" s="3774"/>
      <c r="C48" s="3106" t="s">
        <v>2493</v>
      </c>
      <c r="D48" s="3107"/>
      <c r="E48" s="3108">
        <v>1</v>
      </c>
      <c r="F48" s="3105" t="s">
        <v>2494</v>
      </c>
      <c r="G48" s="3105"/>
    </row>
    <row r="49" spans="1:7" ht="19.5" customHeight="1">
      <c r="A49" s="3781"/>
      <c r="B49" s="3774"/>
      <c r="C49" s="3106" t="s">
        <v>2495</v>
      </c>
      <c r="D49" s="3107"/>
      <c r="E49" s="3108">
        <v>1</v>
      </c>
      <c r="F49" s="3105" t="s">
        <v>2496</v>
      </c>
      <c r="G49" s="3105"/>
    </row>
    <row r="50" spans="1:7" ht="19.5" customHeight="1">
      <c r="A50" s="3781"/>
      <c r="B50" s="3774"/>
      <c r="C50" s="3106" t="s">
        <v>2497</v>
      </c>
      <c r="D50" s="3107"/>
      <c r="E50" s="3108">
        <v>1</v>
      </c>
      <c r="F50" s="3105" t="s">
        <v>2498</v>
      </c>
      <c r="G50" s="3105"/>
    </row>
    <row r="51" spans="1:7" ht="19.5" customHeight="1" thickBot="1">
      <c r="A51" s="3782"/>
      <c r="B51" s="3776"/>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2" t="s">
        <v>2652</v>
      </c>
      <c r="C73" s="3091" t="s">
        <v>2653</v>
      </c>
      <c r="D73" s="3091" t="s">
        <v>2654</v>
      </c>
      <c r="E73" s="3117">
        <v>0.2</v>
      </c>
      <c r="F73" s="3117">
        <v>25</v>
      </c>
    </row>
    <row r="74" spans="1:7" ht="24">
      <c r="A74" s="3117">
        <v>2</v>
      </c>
      <c r="B74" s="3774"/>
      <c r="C74" s="3091" t="s">
        <v>2655</v>
      </c>
      <c r="D74" s="3091" t="s">
        <v>2656</v>
      </c>
      <c r="E74" s="3117">
        <v>0.2</v>
      </c>
      <c r="F74" s="3117">
        <v>25</v>
      </c>
    </row>
    <row r="75" spans="1:7" ht="24">
      <c r="A75" s="3117">
        <v>3</v>
      </c>
      <c r="B75" s="3774"/>
      <c r="C75" s="3091" t="s">
        <v>2657</v>
      </c>
      <c r="D75" s="3091" t="s">
        <v>2658</v>
      </c>
      <c r="E75" s="3117">
        <v>0.2</v>
      </c>
      <c r="F75" s="3117">
        <v>25</v>
      </c>
    </row>
    <row r="76" spans="1:7" ht="13.5">
      <c r="A76" s="3117">
        <v>4</v>
      </c>
      <c r="B76" s="3774"/>
      <c r="C76" s="3091" t="s">
        <v>2659</v>
      </c>
      <c r="D76" s="3091" t="s">
        <v>2660</v>
      </c>
      <c r="E76" s="3117">
        <v>0.15</v>
      </c>
      <c r="F76" s="3117">
        <v>20</v>
      </c>
    </row>
    <row r="77" spans="1:7" ht="24">
      <c r="A77" s="3117">
        <v>5</v>
      </c>
      <c r="B77" s="3774"/>
      <c r="C77" s="3091" t="s">
        <v>2661</v>
      </c>
      <c r="D77" s="3091" t="s">
        <v>2662</v>
      </c>
      <c r="E77" s="3117">
        <v>0.15</v>
      </c>
      <c r="F77" s="3117">
        <v>20</v>
      </c>
    </row>
    <row r="78" spans="1:7" ht="24">
      <c r="A78" s="3117">
        <v>6</v>
      </c>
      <c r="B78" s="3774"/>
      <c r="C78" s="3091" t="s">
        <v>2663</v>
      </c>
      <c r="D78" s="3091" t="s">
        <v>2664</v>
      </c>
      <c r="E78" s="3117">
        <v>0.15</v>
      </c>
      <c r="F78" s="3117">
        <v>20</v>
      </c>
    </row>
    <row r="79" spans="1:7" ht="24">
      <c r="A79" s="3117">
        <v>7</v>
      </c>
      <c r="B79" s="3774"/>
      <c r="C79" s="3091" t="s">
        <v>2665</v>
      </c>
      <c r="D79" s="3091" t="s">
        <v>2666</v>
      </c>
      <c r="E79" s="3117">
        <v>0.15</v>
      </c>
      <c r="F79" s="3117">
        <v>20</v>
      </c>
    </row>
    <row r="80" spans="1:7" ht="24">
      <c r="A80" s="3117">
        <v>8</v>
      </c>
      <c r="B80" s="3774"/>
      <c r="C80" s="3091" t="s">
        <v>2667</v>
      </c>
      <c r="D80" s="3091" t="s">
        <v>2668</v>
      </c>
      <c r="E80" s="3117">
        <v>0.1</v>
      </c>
      <c r="F80" s="3117">
        <v>15</v>
      </c>
    </row>
    <row r="81" spans="1:6" ht="24">
      <c r="A81" s="3117">
        <v>9</v>
      </c>
      <c r="B81" s="3774"/>
      <c r="C81" s="3091" t="s">
        <v>2669</v>
      </c>
      <c r="D81" s="3091" t="s">
        <v>2670</v>
      </c>
      <c r="E81" s="3117">
        <v>0.1</v>
      </c>
      <c r="F81" s="3117">
        <v>15</v>
      </c>
    </row>
    <row r="82" spans="1:6" ht="24">
      <c r="A82" s="3117">
        <v>10</v>
      </c>
      <c r="B82" s="3774"/>
      <c r="C82" s="3091" t="s">
        <v>2671</v>
      </c>
      <c r="D82" s="3091" t="s">
        <v>2672</v>
      </c>
      <c r="E82" s="3117">
        <v>0.1</v>
      </c>
      <c r="F82" s="3117">
        <v>15</v>
      </c>
    </row>
    <row r="83" spans="1:6" ht="24">
      <c r="A83" s="3117">
        <v>11</v>
      </c>
      <c r="B83" s="3774"/>
      <c r="C83" s="3091" t="s">
        <v>2673</v>
      </c>
      <c r="D83" s="3091" t="s">
        <v>2674</v>
      </c>
      <c r="E83" s="3117">
        <v>0.1</v>
      </c>
      <c r="F83" s="3117">
        <v>15</v>
      </c>
    </row>
    <row r="84" spans="1:6" ht="24">
      <c r="A84" s="3117">
        <v>12</v>
      </c>
      <c r="B84" s="3774"/>
      <c r="C84" s="3091" t="s">
        <v>2675</v>
      </c>
      <c r="D84" s="3091" t="s">
        <v>2676</v>
      </c>
      <c r="E84" s="3117">
        <v>0.1</v>
      </c>
      <c r="F84" s="3117">
        <v>15</v>
      </c>
    </row>
    <row r="85" spans="1:6" ht="13.5">
      <c r="A85" s="3117">
        <v>13</v>
      </c>
      <c r="B85" s="3774"/>
      <c r="C85" s="3091" t="s">
        <v>2677</v>
      </c>
      <c r="D85" s="3091" t="s">
        <v>2678</v>
      </c>
      <c r="E85" s="3117">
        <v>0.1</v>
      </c>
      <c r="F85" s="3117">
        <v>15</v>
      </c>
    </row>
    <row r="86" spans="1:6" ht="13.5">
      <c r="A86" s="3117">
        <v>14</v>
      </c>
      <c r="B86" s="3774"/>
      <c r="C86" s="3091" t="s">
        <v>2679</v>
      </c>
      <c r="D86" s="3091" t="s">
        <v>2680</v>
      </c>
      <c r="E86" s="3117">
        <v>0.1</v>
      </c>
      <c r="F86" s="3117">
        <v>15</v>
      </c>
    </row>
    <row r="87" spans="1:6" ht="13.5">
      <c r="A87" s="3117">
        <v>15</v>
      </c>
      <c r="B87" s="3774"/>
      <c r="C87" s="3091" t="s">
        <v>2681</v>
      </c>
      <c r="D87" s="3091" t="s">
        <v>2682</v>
      </c>
      <c r="E87" s="3117">
        <v>0.1</v>
      </c>
      <c r="F87" s="3117">
        <v>15</v>
      </c>
    </row>
    <row r="88" spans="1:6" ht="24">
      <c r="A88" s="3117">
        <v>16</v>
      </c>
      <c r="B88" s="3774"/>
      <c r="C88" s="3091" t="s">
        <v>2683</v>
      </c>
      <c r="D88" s="3091" t="s">
        <v>2684</v>
      </c>
      <c r="E88" s="3117">
        <v>0.1</v>
      </c>
      <c r="F88" s="3117">
        <v>15</v>
      </c>
    </row>
    <row r="89" spans="1:6" ht="24">
      <c r="A89" s="3117">
        <v>17</v>
      </c>
      <c r="B89" s="3773"/>
      <c r="C89" s="3091" t="s">
        <v>2685</v>
      </c>
      <c r="D89" s="3091" t="s">
        <v>2686</v>
      </c>
      <c r="E89" s="3117">
        <v>0.1</v>
      </c>
      <c r="F89" s="3117">
        <v>15</v>
      </c>
    </row>
    <row r="90" spans="1:6" ht="13.5">
      <c r="A90" s="3117">
        <v>18</v>
      </c>
      <c r="B90" s="3772" t="s">
        <v>2687</v>
      </c>
      <c r="C90" s="3091" t="s">
        <v>2688</v>
      </c>
      <c r="D90" s="3091" t="s">
        <v>2689</v>
      </c>
      <c r="E90" s="3117">
        <v>0.2</v>
      </c>
      <c r="F90" s="3117">
        <v>25</v>
      </c>
    </row>
    <row r="91" spans="1:6" ht="24">
      <c r="A91" s="3117">
        <v>19</v>
      </c>
      <c r="B91" s="3774"/>
      <c r="C91" s="3091" t="s">
        <v>2690</v>
      </c>
      <c r="D91" s="3091" t="s">
        <v>2691</v>
      </c>
      <c r="E91" s="3117">
        <v>0.2</v>
      </c>
      <c r="F91" s="3117">
        <v>25</v>
      </c>
    </row>
    <row r="92" spans="1:6" ht="13.5">
      <c r="A92" s="3117">
        <v>20</v>
      </c>
      <c r="B92" s="3774"/>
      <c r="C92" s="3091" t="s">
        <v>2692</v>
      </c>
      <c r="D92" s="3091" t="s">
        <v>2693</v>
      </c>
      <c r="E92" s="3117">
        <v>0.15</v>
      </c>
      <c r="F92" s="3117">
        <v>20</v>
      </c>
    </row>
    <row r="93" spans="1:6" ht="13.5">
      <c r="A93" s="3117">
        <v>21</v>
      </c>
      <c r="B93" s="3774"/>
      <c r="C93" s="3091" t="s">
        <v>2694</v>
      </c>
      <c r="D93" s="3091" t="s">
        <v>2695</v>
      </c>
      <c r="E93" s="3117">
        <v>0.15</v>
      </c>
      <c r="F93" s="3117">
        <v>20</v>
      </c>
    </row>
    <row r="94" spans="1:6" ht="13.5">
      <c r="A94" s="3117">
        <v>22</v>
      </c>
      <c r="B94" s="3774"/>
      <c r="C94" s="3091" t="s">
        <v>2696</v>
      </c>
      <c r="D94" s="3091" t="s">
        <v>2697</v>
      </c>
      <c r="E94" s="3117">
        <v>0.15</v>
      </c>
      <c r="F94" s="3117">
        <v>20</v>
      </c>
    </row>
    <row r="95" spans="1:6" ht="36">
      <c r="A95" s="3117">
        <v>23</v>
      </c>
      <c r="B95" s="3774"/>
      <c r="C95" s="3091" t="s">
        <v>2698</v>
      </c>
      <c r="D95" s="3091" t="s">
        <v>2699</v>
      </c>
      <c r="E95" s="3117">
        <v>0.15</v>
      </c>
      <c r="F95" s="3117">
        <v>20</v>
      </c>
    </row>
    <row r="96" spans="1:6" ht="13.5">
      <c r="A96" s="3117">
        <v>24</v>
      </c>
      <c r="B96" s="3774"/>
      <c r="C96" s="3091" t="s">
        <v>2700</v>
      </c>
      <c r="D96" s="3091" t="s">
        <v>2701</v>
      </c>
      <c r="E96" s="3117">
        <v>0.1</v>
      </c>
      <c r="F96" s="3117">
        <v>15</v>
      </c>
    </row>
    <row r="97" spans="1:6" ht="13.5">
      <c r="A97" s="3117">
        <v>25</v>
      </c>
      <c r="B97" s="3774"/>
      <c r="C97" s="3091" t="s">
        <v>2702</v>
      </c>
      <c r="D97" s="3091" t="s">
        <v>2703</v>
      </c>
      <c r="E97" s="3117">
        <v>0.1</v>
      </c>
      <c r="F97" s="3117">
        <v>15</v>
      </c>
    </row>
    <row r="98" spans="1:6" ht="24">
      <c r="A98" s="3117">
        <v>26</v>
      </c>
      <c r="B98" s="3774"/>
      <c r="C98" s="3091" t="s">
        <v>2704</v>
      </c>
      <c r="D98" s="3091" t="s">
        <v>2705</v>
      </c>
      <c r="E98" s="3117">
        <v>0.1</v>
      </c>
      <c r="F98" s="3117">
        <v>15</v>
      </c>
    </row>
    <row r="99" spans="1:6" ht="24">
      <c r="A99" s="3117">
        <v>27</v>
      </c>
      <c r="B99" s="3774"/>
      <c r="C99" s="3091" t="s">
        <v>2706</v>
      </c>
      <c r="D99" s="3091" t="s">
        <v>2707</v>
      </c>
      <c r="E99" s="3117">
        <v>0.1</v>
      </c>
      <c r="F99" s="3117">
        <v>15</v>
      </c>
    </row>
    <row r="100" spans="1:6" ht="13.5">
      <c r="A100" s="3117">
        <v>28</v>
      </c>
      <c r="B100" s="3774"/>
      <c r="C100" s="3091" t="s">
        <v>2708</v>
      </c>
      <c r="D100" s="3091" t="s">
        <v>2709</v>
      </c>
      <c r="E100" s="3117">
        <v>0.1</v>
      </c>
      <c r="F100" s="3117">
        <v>15</v>
      </c>
    </row>
    <row r="101" spans="1:6" ht="13.5">
      <c r="A101" s="3117">
        <v>29</v>
      </c>
      <c r="B101" s="3774"/>
      <c r="C101" s="3091" t="s">
        <v>2710</v>
      </c>
      <c r="D101" s="3091" t="s">
        <v>2711</v>
      </c>
      <c r="E101" s="3117">
        <v>0.1</v>
      </c>
      <c r="F101" s="3117">
        <v>15</v>
      </c>
    </row>
    <row r="102" spans="1:6" ht="13.5">
      <c r="A102" s="3117">
        <v>30</v>
      </c>
      <c r="B102" s="3774"/>
      <c r="C102" s="3091" t="s">
        <v>2712</v>
      </c>
      <c r="D102" s="3091" t="s">
        <v>2713</v>
      </c>
      <c r="E102" s="3117">
        <v>0.1</v>
      </c>
      <c r="F102" s="3117">
        <v>15</v>
      </c>
    </row>
    <row r="103" spans="1:6" ht="24">
      <c r="A103" s="3117">
        <v>31</v>
      </c>
      <c r="B103" s="3774"/>
      <c r="C103" s="3091" t="s">
        <v>2714</v>
      </c>
      <c r="D103" s="3091" t="s">
        <v>2715</v>
      </c>
      <c r="E103" s="3117">
        <v>0.1</v>
      </c>
      <c r="F103" s="3117">
        <v>15</v>
      </c>
    </row>
    <row r="104" spans="1:6" ht="24">
      <c r="A104" s="3117">
        <v>32</v>
      </c>
      <c r="B104" s="3774"/>
      <c r="C104" s="3091" t="s">
        <v>2716</v>
      </c>
      <c r="D104" s="3091" t="s">
        <v>2717</v>
      </c>
      <c r="E104" s="3117">
        <v>0.1</v>
      </c>
      <c r="F104" s="3117">
        <v>15</v>
      </c>
    </row>
    <row r="105" spans="1:6" ht="24">
      <c r="A105" s="3117">
        <v>33</v>
      </c>
      <c r="B105" s="3774"/>
      <c r="C105" s="3091" t="s">
        <v>2718</v>
      </c>
      <c r="D105" s="3091" t="s">
        <v>2719</v>
      </c>
      <c r="E105" s="3117">
        <v>0.1</v>
      </c>
      <c r="F105" s="3117">
        <v>15</v>
      </c>
    </row>
    <row r="106" spans="1:6" ht="24">
      <c r="A106" s="3117">
        <v>34</v>
      </c>
      <c r="B106" s="3773"/>
      <c r="C106" s="3091" t="s">
        <v>2720</v>
      </c>
      <c r="D106" s="3091" t="s">
        <v>2721</v>
      </c>
      <c r="E106" s="3117">
        <v>0.1</v>
      </c>
      <c r="F106" s="3117">
        <v>15</v>
      </c>
    </row>
    <row r="107" spans="1:6" ht="24">
      <c r="A107" s="3117">
        <v>35</v>
      </c>
      <c r="B107" s="3772" t="s">
        <v>2722</v>
      </c>
      <c r="C107" s="3117" t="s">
        <v>2723</v>
      </c>
      <c r="D107" s="3091" t="s">
        <v>2724</v>
      </c>
      <c r="E107" s="3117">
        <v>0.15</v>
      </c>
      <c r="F107" s="3117">
        <v>20</v>
      </c>
    </row>
    <row r="108" spans="1:6" ht="13.5">
      <c r="A108" s="3117">
        <v>36</v>
      </c>
      <c r="B108" s="3774"/>
      <c r="C108" s="3117" t="s">
        <v>2725</v>
      </c>
      <c r="D108" s="3091" t="s">
        <v>2726</v>
      </c>
      <c r="E108" s="3117">
        <v>0.15</v>
      </c>
      <c r="F108" s="3117">
        <v>20</v>
      </c>
    </row>
    <row r="109" spans="1:6" ht="13.5">
      <c r="A109" s="3117">
        <v>37</v>
      </c>
      <c r="B109" s="3774"/>
      <c r="C109" s="3117" t="s">
        <v>2727</v>
      </c>
      <c r="D109" s="3091" t="s">
        <v>2728</v>
      </c>
      <c r="E109" s="3117">
        <v>0.15</v>
      </c>
      <c r="F109" s="3117">
        <v>20</v>
      </c>
    </row>
    <row r="110" spans="1:6" ht="13.5">
      <c r="A110" s="3117">
        <v>38</v>
      </c>
      <c r="B110" s="3774"/>
      <c r="C110" s="3117" t="s">
        <v>2729</v>
      </c>
      <c r="D110" s="3091" t="s">
        <v>2730</v>
      </c>
      <c r="E110" s="3117">
        <v>0.1</v>
      </c>
      <c r="F110" s="3117">
        <v>15</v>
      </c>
    </row>
    <row r="111" spans="1:6" ht="24">
      <c r="A111" s="3117">
        <v>39</v>
      </c>
      <c r="B111" s="3774"/>
      <c r="C111" s="3117" t="s">
        <v>2731</v>
      </c>
      <c r="D111" s="3091" t="s">
        <v>2732</v>
      </c>
      <c r="E111" s="3117">
        <v>0.1</v>
      </c>
      <c r="F111" s="3117">
        <v>15</v>
      </c>
    </row>
    <row r="112" spans="1:6" ht="24">
      <c r="A112" s="3117">
        <v>40</v>
      </c>
      <c r="B112" s="3773"/>
      <c r="C112" s="3117" t="s">
        <v>2733</v>
      </c>
      <c r="D112" s="3091" t="s">
        <v>2734</v>
      </c>
      <c r="E112" s="3117">
        <v>0.1</v>
      </c>
      <c r="F112" s="3117">
        <v>15</v>
      </c>
    </row>
    <row r="113" spans="1:6" ht="13.5">
      <c r="A113" s="3117">
        <v>41</v>
      </c>
      <c r="B113" s="3771" t="s">
        <v>2735</v>
      </c>
      <c r="C113" s="3117" t="s">
        <v>2736</v>
      </c>
      <c r="D113" s="3091" t="s">
        <v>2737</v>
      </c>
      <c r="E113" s="3117">
        <v>0.1</v>
      </c>
      <c r="F113" s="3117">
        <v>15</v>
      </c>
    </row>
    <row r="114" spans="1:6" ht="13.5">
      <c r="A114" s="3117">
        <v>42</v>
      </c>
      <c r="B114" s="3771"/>
      <c r="C114" s="3117" t="s">
        <v>2738</v>
      </c>
      <c r="D114" s="3091" t="s">
        <v>2739</v>
      </c>
      <c r="E114" s="3117">
        <v>0.1</v>
      </c>
      <c r="F114" s="3117">
        <v>15</v>
      </c>
    </row>
    <row r="115" spans="1:6" ht="24">
      <c r="A115" s="3117">
        <v>43</v>
      </c>
      <c r="B115" s="3771"/>
      <c r="C115" s="3117" t="s">
        <v>2740</v>
      </c>
      <c r="D115" s="3091" t="s">
        <v>2741</v>
      </c>
      <c r="E115" s="3117">
        <v>0.1</v>
      </c>
      <c r="F115" s="3117">
        <v>15</v>
      </c>
    </row>
    <row r="116" spans="1:6" ht="13.5">
      <c r="A116" s="3117">
        <v>44</v>
      </c>
      <c r="B116" s="3772" t="s">
        <v>2742</v>
      </c>
      <c r="C116" s="3117" t="s">
        <v>2743</v>
      </c>
      <c r="D116" s="3091" t="s">
        <v>2744</v>
      </c>
      <c r="E116" s="3117">
        <v>0.1</v>
      </c>
      <c r="F116" s="3117">
        <v>15</v>
      </c>
    </row>
    <row r="117" spans="1:6" ht="24">
      <c r="A117" s="3117">
        <v>45</v>
      </c>
      <c r="B117" s="3773"/>
      <c r="C117" s="3091" t="s">
        <v>2745</v>
      </c>
      <c r="D117" s="3091" t="s">
        <v>2746</v>
      </c>
      <c r="E117" s="3117">
        <v>0.1</v>
      </c>
      <c r="F117" s="3117">
        <v>15</v>
      </c>
    </row>
    <row r="118" spans="1:6" ht="24">
      <c r="A118" s="3117">
        <v>46</v>
      </c>
      <c r="B118" s="3772" t="s">
        <v>2747</v>
      </c>
      <c r="C118" s="3117" t="s">
        <v>2748</v>
      </c>
      <c r="D118" s="3091" t="s">
        <v>2749</v>
      </c>
      <c r="E118" s="3117">
        <v>0.1</v>
      </c>
      <c r="F118" s="3117">
        <v>15</v>
      </c>
    </row>
    <row r="119" spans="1:6" ht="24">
      <c r="A119" s="3117">
        <v>47</v>
      </c>
      <c r="B119" s="3773"/>
      <c r="C119" s="3117" t="s">
        <v>2750</v>
      </c>
      <c r="D119" s="3091" t="s">
        <v>2751</v>
      </c>
      <c r="E119" s="3117">
        <v>0.1</v>
      </c>
      <c r="F119" s="3117">
        <v>15</v>
      </c>
    </row>
    <row r="120" spans="1:6" ht="13.5">
      <c r="A120" s="3117">
        <v>48</v>
      </c>
      <c r="B120" s="3772" t="s">
        <v>2752</v>
      </c>
      <c r="C120" s="3117" t="s">
        <v>2753</v>
      </c>
      <c r="D120" s="3091" t="s">
        <v>2754</v>
      </c>
      <c r="E120" s="3117">
        <v>0.1</v>
      </c>
      <c r="F120" s="3117">
        <v>15</v>
      </c>
    </row>
    <row r="121" spans="1:6" ht="13.5">
      <c r="A121" s="3117">
        <v>49</v>
      </c>
      <c r="B121" s="3773"/>
      <c r="C121" s="3117" t="s">
        <v>2755</v>
      </c>
      <c r="D121" s="3091" t="s">
        <v>2756</v>
      </c>
      <c r="E121" s="3117">
        <v>0.1</v>
      </c>
      <c r="F121" s="3117">
        <v>15</v>
      </c>
    </row>
    <row r="122" spans="1:6" ht="24">
      <c r="A122" s="3117">
        <v>50</v>
      </c>
      <c r="B122" s="3771" t="s">
        <v>2757</v>
      </c>
      <c r="C122" s="3117" t="s">
        <v>2758</v>
      </c>
      <c r="D122" s="3091" t="s">
        <v>2759</v>
      </c>
      <c r="E122" s="3117">
        <v>0.1</v>
      </c>
      <c r="F122" s="3117">
        <v>15</v>
      </c>
    </row>
    <row r="123" spans="1:6" ht="24">
      <c r="A123" s="3117">
        <v>51</v>
      </c>
      <c r="B123" s="3771"/>
      <c r="C123" s="3117" t="s">
        <v>2760</v>
      </c>
      <c r="D123" s="3091" t="s">
        <v>2761</v>
      </c>
      <c r="E123" s="3117">
        <v>0.1</v>
      </c>
      <c r="F123" s="3117">
        <v>15</v>
      </c>
    </row>
    <row r="124" spans="1:6" ht="24">
      <c r="A124" s="3117">
        <v>52</v>
      </c>
      <c r="B124" s="3771" t="s">
        <v>2762</v>
      </c>
      <c r="C124" s="3117" t="s">
        <v>2763</v>
      </c>
      <c r="D124" s="3091" t="s">
        <v>2764</v>
      </c>
      <c r="E124" s="3117">
        <v>0.1</v>
      </c>
      <c r="F124" s="3117">
        <v>15</v>
      </c>
    </row>
    <row r="125" spans="1:6" ht="24">
      <c r="A125" s="3117">
        <v>53</v>
      </c>
      <c r="B125" s="3771"/>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1" t="s">
        <v>2770</v>
      </c>
      <c r="C127" s="3117" t="s">
        <v>2771</v>
      </c>
      <c r="D127" s="3091" t="s">
        <v>2772</v>
      </c>
      <c r="E127" s="3117">
        <v>0.1</v>
      </c>
      <c r="F127" s="3117">
        <v>15</v>
      </c>
    </row>
    <row r="128" spans="1:6" ht="13.5">
      <c r="A128" s="3117">
        <v>56</v>
      </c>
      <c r="B128" s="3771"/>
      <c r="C128" s="3117" t="s">
        <v>2773</v>
      </c>
      <c r="D128" s="3091" t="s">
        <v>2774</v>
      </c>
      <c r="E128" s="3117">
        <v>0.1</v>
      </c>
      <c r="F128" s="3117">
        <v>15</v>
      </c>
    </row>
    <row r="129" spans="1:6" ht="24">
      <c r="A129" s="3117">
        <v>57</v>
      </c>
      <c r="B129" s="3771"/>
      <c r="C129" s="3117" t="s">
        <v>2775</v>
      </c>
      <c r="D129" s="3091" t="s">
        <v>2776</v>
      </c>
      <c r="E129" s="3117">
        <v>0.1</v>
      </c>
      <c r="F129" s="3117">
        <v>15</v>
      </c>
    </row>
    <row r="130" spans="1:6" ht="24">
      <c r="A130" s="3117">
        <v>58</v>
      </c>
      <c r="B130" s="3771" t="s">
        <v>2777</v>
      </c>
      <c r="C130" s="3117" t="s">
        <v>2778</v>
      </c>
      <c r="D130" s="3091" t="s">
        <v>2779</v>
      </c>
      <c r="E130" s="3117">
        <v>0.1</v>
      </c>
      <c r="F130" s="3117">
        <v>15</v>
      </c>
    </row>
    <row r="131" spans="1:6" ht="13.5">
      <c r="A131" s="3117">
        <v>59</v>
      </c>
      <c r="B131" s="3771"/>
      <c r="C131" s="3117" t="s">
        <v>2780</v>
      </c>
      <c r="D131" s="3091" t="s">
        <v>2781</v>
      </c>
      <c r="E131" s="3117">
        <v>0.1</v>
      </c>
      <c r="F131" s="3117">
        <v>15</v>
      </c>
    </row>
    <row r="132" spans="1:6" ht="13.5">
      <c r="A132" s="3117">
        <v>60</v>
      </c>
      <c r="B132" s="3772" t="s">
        <v>2782</v>
      </c>
      <c r="C132" s="3117" t="s">
        <v>2783</v>
      </c>
      <c r="D132" s="3091" t="s">
        <v>2784</v>
      </c>
      <c r="E132" s="3117">
        <v>0.1</v>
      </c>
      <c r="F132" s="3117">
        <v>15</v>
      </c>
    </row>
    <row r="133" spans="1:6" ht="13.5">
      <c r="A133" s="3117">
        <v>61</v>
      </c>
      <c r="B133" s="3773"/>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1" t="s">
        <v>2790</v>
      </c>
      <c r="C135" s="3117" t="s">
        <v>2791</v>
      </c>
      <c r="D135" s="3091" t="s">
        <v>2792</v>
      </c>
      <c r="E135" s="3117">
        <v>0.1</v>
      </c>
      <c r="F135" s="3117">
        <v>15</v>
      </c>
    </row>
    <row r="136" spans="1:6" ht="13.5">
      <c r="A136" s="3117">
        <v>64</v>
      </c>
      <c r="B136" s="3771"/>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1.1649</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1.1032999999999999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28925</v>
      </c>
      <c r="C2" s="2" t="s">
        <v>106</v>
      </c>
      <c r="D2" s="199"/>
      <c r="E2" s="199"/>
      <c r="F2" s="199"/>
      <c r="G2" s="199"/>
    </row>
    <row r="3" spans="1:7" s="200" customFormat="1" ht="18" customHeight="1" thickBot="1">
      <c r="A3" s="203" t="s">
        <v>58</v>
      </c>
      <c r="B3" s="204">
        <f ca="1">ROUND(B2*10000/'数据-汇总表'!E3,0)</f>
        <v>5448295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53.09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53.09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53.09</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24</v>
      </c>
      <c r="D51" s="232"/>
      <c r="E51" s="232"/>
      <c r="F51" s="264"/>
      <c r="G51" s="234" t="s">
        <v>37</v>
      </c>
    </row>
    <row r="52" spans="1:7" s="208" customFormat="1" ht="16.5" thickBot="1">
      <c r="A52" s="265" t="s">
        <v>38</v>
      </c>
      <c r="B52" s="266"/>
      <c r="C52" s="267">
        <f ca="1">C31+C51</f>
        <v>28925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3"/>
      <c r="B4" s="3467" t="s">
        <v>917</v>
      </c>
      <c r="C4" s="3467"/>
      <c r="D4" s="3467"/>
      <c r="E4" s="1493"/>
    </row>
    <row r="5" spans="1:5" ht="16.5" thickTop="1">
      <c r="A5" s="1491"/>
      <c r="B5" s="3465" t="s">
        <v>909</v>
      </c>
      <c r="C5" s="1494" t="s">
        <v>910</v>
      </c>
      <c r="D5" s="850">
        <f ca="1">结果表!H101</f>
        <v>372</v>
      </c>
      <c r="E5" s="1491"/>
    </row>
    <row r="6" spans="1:5" ht="15.75">
      <c r="A6" s="1491"/>
      <c r="B6" s="3465"/>
      <c r="C6" s="1494" t="s">
        <v>911</v>
      </c>
      <c r="D6" s="850" t="str">
        <f ca="1">NUMBERSTRING(INT(D5*10000),2)&amp;"元整"</f>
        <v>叁佰柒拾贰万元整</v>
      </c>
      <c r="E6" s="1491"/>
    </row>
    <row r="7" spans="1:5" ht="15.75">
      <c r="A7" s="1491"/>
      <c r="B7" s="3470"/>
      <c r="C7" s="1495" t="s">
        <v>912</v>
      </c>
      <c r="D7" s="851">
        <f ca="1">结果表!H102</f>
        <v>70148</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f ca="1">结果表!H107</f>
        <v>372</v>
      </c>
      <c r="E13" s="1491"/>
    </row>
    <row r="14" spans="1:5" ht="15.75">
      <c r="A14" s="1491"/>
      <c r="B14" s="3465"/>
      <c r="C14" s="1494" t="s">
        <v>911</v>
      </c>
      <c r="D14" s="850" t="str">
        <f ca="1">NUMBERSTRING(INT(D13*10000),2)&amp;"元整"</f>
        <v>叁佰柒拾贰万元整</v>
      </c>
      <c r="E14" s="1491"/>
    </row>
    <row r="15" spans="1:5" ht="15">
      <c r="A15" s="1491"/>
      <c r="B15" s="3470"/>
      <c r="C15" s="1495" t="s">
        <v>921</v>
      </c>
      <c r="D15" s="859">
        <f ca="1">结果表!H108</f>
        <v>70148</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14"/>
  <sheetViews>
    <sheetView workbookViewId="0">
      <selection activeCell="M35" sqref="M35"/>
    </sheetView>
  </sheetViews>
  <sheetFormatPr defaultRowHeight="13.5"/>
  <cols>
    <col min="1" max="1" width="33.625" customWidth="1"/>
  </cols>
  <sheetData>
    <row r="1" spans="1:3">
      <c r="A1" s="3458"/>
      <c r="B1" s="3458"/>
      <c r="C1" s="3458"/>
    </row>
    <row r="2" spans="1:3">
      <c r="A2" s="3458"/>
    </row>
    <row r="3" spans="1:3">
      <c r="A3" s="3458"/>
    </row>
    <row r="4" spans="1:3">
      <c r="A4" s="3458"/>
    </row>
    <row r="5" spans="1:3">
      <c r="A5" s="3458"/>
    </row>
    <row r="6" spans="1:3">
      <c r="A6" s="3458"/>
    </row>
    <row r="7" spans="1:3">
      <c r="A7" s="3458"/>
    </row>
    <row r="8" spans="1:3">
      <c r="A8" s="3458"/>
    </row>
    <row r="9" spans="1:3">
      <c r="A9" s="3458"/>
      <c r="C9" s="3458"/>
    </row>
    <row r="10" spans="1:3">
      <c r="A10" s="3458"/>
      <c r="C10" s="3458"/>
    </row>
    <row r="11" spans="1:3">
      <c r="A11" s="3458"/>
      <c r="C11" s="3458"/>
    </row>
    <row r="12" spans="1:3">
      <c r="A12" s="3458"/>
      <c r="C12" s="3458"/>
    </row>
    <row r="13" spans="1:3">
      <c r="A13" s="3458"/>
      <c r="C13" s="3458"/>
    </row>
    <row r="14" spans="1:3">
      <c r="A14" s="3458"/>
      <c r="C14" s="3458"/>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2840</v>
      </c>
      <c r="B1" s="3785"/>
      <c r="C1" s="3785"/>
      <c r="D1" s="3785"/>
      <c r="E1" s="3785"/>
      <c r="F1" s="3785"/>
      <c r="G1" s="3786"/>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3"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4"/>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3182</v>
      </c>
      <c r="B1" s="3787"/>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89"/>
  </cols>
  <sheetData>
    <row r="1" spans="1:6">
      <c r="A1" s="3788" t="s">
        <v>3233</v>
      </c>
      <c r="B1" s="3788"/>
      <c r="C1" s="3788"/>
      <c r="D1" s="3788"/>
      <c r="E1" s="3788"/>
      <c r="F1" s="3789"/>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44"/>
  <sheetViews>
    <sheetView topLeftCell="A7" zoomScale="80" zoomScaleNormal="80" workbookViewId="0">
      <selection activeCell="F26" sqref="F26"/>
    </sheetView>
  </sheetViews>
  <sheetFormatPr defaultRowHeight="13.5"/>
  <cols>
    <col min="1" max="1" width="13.875" customWidth="1"/>
    <col min="11" max="17" width="0" hidden="1" customWidth="1"/>
    <col min="25" max="30" width="0" hidden="1" customWidth="1"/>
  </cols>
  <sheetData>
    <row r="1" spans="1:30">
      <c r="A1" s="3220">
        <f>基准地价修正!G23</f>
        <v>45561</v>
      </c>
      <c r="B1" s="3209" t="s">
        <v>3370</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3377</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3379</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3374</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3373</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3369</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3368</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3367</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3363</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3354</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3365</v>
      </c>
    </row>
    <row r="22" spans="1:30" s="3008" customFormat="1">
      <c r="I22" s="3207" t="s">
        <v>2826</v>
      </c>
    </row>
    <row r="23" spans="1:30" s="3008" customFormat="1"/>
    <row r="24" spans="1:30" s="3208" customFormat="1" ht="12.75">
      <c r="B24" s="3209" t="s">
        <v>3371</v>
      </c>
      <c r="C24" s="3210"/>
      <c r="D24" s="3210"/>
      <c r="E24" s="3210"/>
      <c r="F24" s="3210"/>
      <c r="G24" s="3210"/>
      <c r="H24" s="3210"/>
      <c r="I24" s="3210"/>
      <c r="J24" s="3164"/>
      <c r="K24" s="3210" t="s">
        <v>2827</v>
      </c>
      <c r="L24" s="3210"/>
      <c r="M24" s="3210"/>
      <c r="N24" s="3210"/>
      <c r="O24" s="3210"/>
      <c r="P24" s="3210"/>
      <c r="Q24" s="3164"/>
      <c r="R24" s="3790" t="s">
        <v>2828</v>
      </c>
      <c r="S24" s="3791"/>
      <c r="T24" s="3791"/>
      <c r="U24" s="3791"/>
      <c r="V24" s="3791"/>
      <c r="W24" s="3791"/>
      <c r="X24" s="3164"/>
      <c r="Y24" s="3790" t="s">
        <v>2829</v>
      </c>
      <c r="Z24" s="3791"/>
      <c r="AA24" s="3791"/>
      <c r="AB24" s="3791"/>
      <c r="AC24" s="3791"/>
      <c r="AD24" s="3791"/>
    </row>
    <row r="25" spans="1:30" s="3142" customFormat="1" ht="14.2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2.75">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3376</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3377</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3378</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3375</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3373</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3372</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3368</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3367</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3364</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3354</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45561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2310</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53.09</v>
      </c>
      <c r="C4" s="854">
        <f>项目基本情况!C18</f>
        <v>0</v>
      </c>
      <c r="D4" s="854">
        <f>结果表!D118</f>
        <v>0</v>
      </c>
      <c r="E4" s="854">
        <f>结果表!E118</f>
        <v>0</v>
      </c>
      <c r="F4" s="854">
        <f>结果表!F118</f>
        <v>0</v>
      </c>
      <c r="G4" s="854">
        <f>结果表!G118</f>
        <v>0</v>
      </c>
      <c r="H4" s="854">
        <f ca="1">结果表!H118</f>
        <v>372</v>
      </c>
      <c r="I4" s="854">
        <f ca="1">结果表!I118</f>
        <v>70148</v>
      </c>
    </row>
    <row r="5" spans="1:9" ht="30" customHeight="1">
      <c r="A5" s="3477" t="s">
        <v>927</v>
      </c>
      <c r="B5" s="3477"/>
      <c r="C5" s="3477"/>
      <c r="D5" s="3477" t="str">
        <f>结果表!D119</f>
        <v>零元整</v>
      </c>
      <c r="E5" s="3477"/>
      <c r="F5" s="3477" t="str">
        <f>结果表!F119</f>
        <v>零元整</v>
      </c>
      <c r="G5" s="3477"/>
      <c r="H5" s="3477" t="str">
        <f ca="1">结果表!H119</f>
        <v>叁佰柒拾贰万元整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372</v>
      </c>
      <c r="E8" s="3476"/>
      <c r="F8" s="3476"/>
      <c r="G8" s="3476"/>
      <c r="H8" s="3476"/>
      <c r="I8" s="3476"/>
    </row>
    <row r="9" spans="1:9" ht="15">
      <c r="A9" s="3477" t="s">
        <v>927</v>
      </c>
      <c r="B9" s="3477"/>
      <c r="C9" s="3477"/>
      <c r="D9" s="3477" t="str">
        <f ca="1">结果表!D123</f>
        <v>叁佰柒拾贰万元整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45561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3"/>
      <c r="E18" s="3502" t="s">
        <v>2161</v>
      </c>
      <c r="F18" s="3501"/>
      <c r="G18" s="350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2024-09-26T06:22:55Z</dcterms:modified>
</cp:coreProperties>
</file>