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state="hidden" r:id="rId42"/>
    <sheet name="Sheet3" sheetId="70"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48" i="39"/>
  <c r="G48"/>
  <c r="I48"/>
  <c r="I40"/>
  <c r="G40"/>
  <c r="E40"/>
  <c r="I9"/>
  <c r="G9"/>
  <c r="E9"/>
  <c r="I7"/>
  <c r="G7"/>
  <c r="E7"/>
  <c r="B27" i="9" l="1"/>
  <c r="D27"/>
  <c r="D30"/>
  <c r="B30"/>
  <c r="F15" i="15"/>
  <c r="F17"/>
  <c r="B22" i="1"/>
  <c r="C2" i="65"/>
  <c r="F21" i="15"/>
  <c r="F20" i="6"/>
  <c r="F19"/>
  <c r="C20"/>
  <c r="C19"/>
  <c r="D101" i="21"/>
  <c r="D77"/>
  <c r="E77" s="1"/>
  <c r="D79"/>
  <c r="E79"/>
  <c r="D81"/>
  <c r="E81" s="1"/>
  <c r="D85"/>
  <c r="F33"/>
  <c r="AA33"/>
  <c r="R47"/>
  <c r="H33"/>
  <c r="AB33"/>
  <c r="J33"/>
  <c r="AC33"/>
  <c r="V47"/>
  <c r="E19" i="6"/>
  <c r="C9" i="12"/>
  <c r="D3" i="4"/>
  <c r="B2" i="1" s="1"/>
  <c r="AH5" i="59"/>
  <c r="AG5"/>
  <c r="AE5"/>
  <c r="AF5"/>
  <c r="AD5"/>
  <c r="Q6"/>
  <c r="Q5"/>
  <c r="P6"/>
  <c r="P5"/>
  <c r="O6"/>
  <c r="O5"/>
  <c r="N6"/>
  <c r="N5"/>
  <c r="M19" i="46"/>
  <c r="I20"/>
  <c r="A6" i="1"/>
  <c r="A7"/>
  <c r="J50" i="15"/>
  <c r="J51"/>
  <c r="M47"/>
  <c r="C1" i="65"/>
  <c r="H1" s="1"/>
  <c r="I5" i="3"/>
  <c r="K5"/>
  <c r="D8" i="59"/>
  <c r="AH6"/>
  <c r="AG6"/>
  <c r="AE6"/>
  <c r="AF6"/>
  <c r="AD6"/>
  <c r="I3"/>
  <c r="L3"/>
  <c r="K3"/>
  <c r="AG3"/>
  <c r="J3"/>
  <c r="BB13" i="3"/>
  <c r="BC13"/>
  <c r="BD13"/>
  <c r="BE13"/>
  <c r="BF13"/>
  <c r="BG13"/>
  <c r="BH13"/>
  <c r="BI13"/>
  <c r="BJ13"/>
  <c r="BK13"/>
  <c r="BA13"/>
  <c r="BM13"/>
  <c r="BN13"/>
  <c r="BO13"/>
  <c r="BP13"/>
  <c r="BQ13"/>
  <c r="BR13"/>
  <c r="BS13"/>
  <c r="BT13"/>
  <c r="BB14"/>
  <c r="BC14"/>
  <c r="BD14"/>
  <c r="BE14"/>
  <c r="BF14"/>
  <c r="BG14"/>
  <c r="BH14"/>
  <c r="BI14"/>
  <c r="BJ14"/>
  <c r="BK14"/>
  <c r="BM14"/>
  <c r="BN14"/>
  <c r="BO14"/>
  <c r="BP14"/>
  <c r="BQ14"/>
  <c r="BR14"/>
  <c r="BS14"/>
  <c r="BT14"/>
  <c r="H13"/>
  <c r="H14"/>
  <c r="AE7" i="59"/>
  <c r="AF7"/>
  <c r="AG7"/>
  <c r="AH7"/>
  <c r="AD7"/>
  <c r="Q7"/>
  <c r="P7"/>
  <c r="O7"/>
  <c r="N7"/>
  <c r="N8"/>
  <c r="Q8"/>
  <c r="P8"/>
  <c r="O8"/>
  <c r="L4" i="9"/>
  <c r="A30" i="51"/>
  <c r="M4" i="9"/>
  <c r="A30" i="64"/>
  <c r="K59" i="15"/>
  <c r="Q74" i="44"/>
  <c r="Q61"/>
  <c r="Q60"/>
  <c r="Q53"/>
  <c r="J51"/>
  <c r="J52"/>
  <c r="M48"/>
  <c r="A16" i="55"/>
  <c r="A15"/>
  <c r="L26" i="4"/>
  <c r="A10" i="55"/>
  <c r="A9"/>
  <c r="A8"/>
  <c r="A6" i="54"/>
  <c r="A8"/>
  <c r="A7"/>
  <c r="A27" i="51"/>
  <c r="D5" i="46"/>
  <c r="Q9" i="59"/>
  <c r="O9"/>
  <c r="N10"/>
  <c r="O10"/>
  <c r="P10"/>
  <c r="Q10"/>
  <c r="N9"/>
  <c r="P9"/>
  <c r="F11"/>
  <c r="V11"/>
  <c r="K75" i="9"/>
  <c r="K6" i="4"/>
  <c r="L76" i="9"/>
  <c r="B22" i="31"/>
  <c r="E15" i="66"/>
  <c r="F15"/>
  <c r="E16"/>
  <c r="F16"/>
  <c r="E17"/>
  <c r="F17"/>
  <c r="E18"/>
  <c r="F18"/>
  <c r="E19"/>
  <c r="F19"/>
  <c r="E20"/>
  <c r="F20"/>
  <c r="E21"/>
  <c r="F21"/>
  <c r="E22"/>
  <c r="F22"/>
  <c r="E23"/>
  <c r="F23"/>
  <c r="B3"/>
  <c r="E7" i="59"/>
  <c r="E6"/>
  <c r="E5"/>
  <c r="F10"/>
  <c r="F9"/>
  <c r="F7"/>
  <c r="U7"/>
  <c r="AD3"/>
  <c r="AE3"/>
  <c r="AF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F22"/>
  <c r="AD22"/>
  <c r="AD23"/>
  <c r="AE23"/>
  <c r="AF23"/>
  <c r="AG23"/>
  <c r="AH23"/>
  <c r="S2" i="31"/>
  <c r="M2"/>
  <c r="N2"/>
  <c r="O2"/>
  <c r="P2"/>
  <c r="Q2"/>
  <c r="R2"/>
  <c r="C7" i="59"/>
  <c r="C3" i="65"/>
  <c r="D7" i="59"/>
  <c r="B76" i="63"/>
  <c r="M5" i="54"/>
  <c r="B41" i="63"/>
  <c r="A23" i="51"/>
  <c r="Y12" i="46"/>
  <c r="AA9"/>
  <c r="AB9"/>
  <c r="AB10"/>
  <c r="AC9"/>
  <c r="AD9"/>
  <c r="AE9"/>
  <c r="AF9"/>
  <c r="AF10"/>
  <c r="AG9"/>
  <c r="AH9"/>
  <c r="AI9"/>
  <c r="AJ9"/>
  <c r="AJ10"/>
  <c r="Z9"/>
  <c r="Z10"/>
  <c r="AI10"/>
  <c r="AG10"/>
  <c r="AE10"/>
  <c r="AC10"/>
  <c r="AA10"/>
  <c r="Y10"/>
  <c r="AF12"/>
  <c r="Z12"/>
  <c r="AI12"/>
  <c r="AG12"/>
  <c r="AE12"/>
  <c r="AC12"/>
  <c r="AA12"/>
  <c r="B73" i="63"/>
  <c r="A21" i="64"/>
  <c r="B75" i="63"/>
  <c r="A27" i="64"/>
  <c r="A15"/>
  <c r="A14"/>
  <c r="A11"/>
  <c r="A3"/>
  <c r="A45" i="9"/>
  <c r="A44"/>
  <c r="C57" i="10"/>
  <c r="A28" i="51"/>
  <c r="N4" i="63"/>
  <c r="C56" i="10"/>
  <c r="C55"/>
  <c r="C54"/>
  <c r="B49" i="63"/>
  <c r="B44"/>
  <c r="B40"/>
  <c r="B30"/>
  <c r="B27"/>
  <c r="B25"/>
  <c r="A11" i="51"/>
  <c r="B10" i="63" s="1"/>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G5" i="54"/>
  <c r="B34" i="63"/>
  <c r="E5" i="54"/>
  <c r="B32" i="63"/>
  <c r="R2" i="54"/>
  <c r="B24" i="63"/>
  <c r="B49" i="50"/>
  <c r="B5" i="63"/>
  <c r="B40" i="50"/>
  <c r="B3" i="63"/>
  <c r="B21"/>
  <c r="B67"/>
  <c r="I19" i="46"/>
  <c r="Q11" i="59"/>
  <c r="P11"/>
  <c r="O11"/>
  <c r="C11"/>
  <c r="N11"/>
  <c r="D72"/>
  <c r="F71"/>
  <c r="F70"/>
  <c r="F69"/>
  <c r="E71"/>
  <c r="E70"/>
  <c r="E69"/>
  <c r="C71"/>
  <c r="D71"/>
  <c r="B71"/>
  <c r="B70"/>
  <c r="B69"/>
  <c r="D68"/>
  <c r="F67"/>
  <c r="F66"/>
  <c r="F65"/>
  <c r="E67"/>
  <c r="E66"/>
  <c r="E65"/>
  <c r="C67"/>
  <c r="D67"/>
  <c r="B67"/>
  <c r="B66"/>
  <c r="B65"/>
  <c r="D64"/>
  <c r="Q63"/>
  <c r="P63"/>
  <c r="O63"/>
  <c r="N63"/>
  <c r="F63"/>
  <c r="V63"/>
  <c r="E63"/>
  <c r="U63"/>
  <c r="C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Q55"/>
  <c r="P55"/>
  <c r="O55"/>
  <c r="N55"/>
  <c r="F55"/>
  <c r="V55"/>
  <c r="E55"/>
  <c r="U55"/>
  <c r="C55"/>
  <c r="B55"/>
  <c r="S55"/>
  <c r="Q54"/>
  <c r="P54"/>
  <c r="O54"/>
  <c r="N54"/>
  <c r="F54"/>
  <c r="F53"/>
  <c r="B54"/>
  <c r="B53"/>
  <c r="Q53"/>
  <c r="P53"/>
  <c r="O53"/>
  <c r="N53"/>
  <c r="Q52"/>
  <c r="P52"/>
  <c r="O52"/>
  <c r="N52"/>
  <c r="D52"/>
  <c r="F51"/>
  <c r="V51"/>
  <c r="E51"/>
  <c r="E50"/>
  <c r="P50"/>
  <c r="C51"/>
  <c r="B51"/>
  <c r="N51"/>
  <c r="F50"/>
  <c r="F49"/>
  <c r="B50"/>
  <c r="N50"/>
  <c r="D48"/>
  <c r="Q47"/>
  <c r="P47"/>
  <c r="O47"/>
  <c r="N47"/>
  <c r="Q46"/>
  <c r="P46"/>
  <c r="O46"/>
  <c r="N46"/>
  <c r="Q45"/>
  <c r="P45"/>
  <c r="O45"/>
  <c r="N45"/>
  <c r="Q44"/>
  <c r="F45"/>
  <c r="P44"/>
  <c r="E45"/>
  <c r="E46"/>
  <c r="E47"/>
  <c r="U47"/>
  <c r="O44"/>
  <c r="C45"/>
  <c r="N44"/>
  <c r="B45"/>
  <c r="B46"/>
  <c r="B47"/>
  <c r="S47"/>
  <c r="D44"/>
  <c r="Q43"/>
  <c r="P43"/>
  <c r="O43"/>
  <c r="N43"/>
  <c r="Q42"/>
  <c r="P42"/>
  <c r="O42"/>
  <c r="N42"/>
  <c r="Q41"/>
  <c r="P41"/>
  <c r="O41"/>
  <c r="C42"/>
  <c r="N41"/>
  <c r="Q40"/>
  <c r="F41"/>
  <c r="F42"/>
  <c r="F43"/>
  <c r="V43"/>
  <c r="P40"/>
  <c r="E41"/>
  <c r="E42"/>
  <c r="E43"/>
  <c r="U43"/>
  <c r="O40"/>
  <c r="C41"/>
  <c r="N40"/>
  <c r="B41"/>
  <c r="B42"/>
  <c r="B43"/>
  <c r="S43"/>
  <c r="D40"/>
  <c r="Q39"/>
  <c r="P39"/>
  <c r="O39"/>
  <c r="N39"/>
  <c r="Q38"/>
  <c r="P38"/>
  <c r="O38"/>
  <c r="N38"/>
  <c r="Q37"/>
  <c r="P37"/>
  <c r="O37"/>
  <c r="N37"/>
  <c r="Q36"/>
  <c r="F37"/>
  <c r="P36"/>
  <c r="E37"/>
  <c r="E38"/>
  <c r="E39"/>
  <c r="U39"/>
  <c r="O36"/>
  <c r="C37"/>
  <c r="N36"/>
  <c r="B37"/>
  <c r="B38"/>
  <c r="B39"/>
  <c r="S39"/>
  <c r="D36"/>
  <c r="Q35"/>
  <c r="P35"/>
  <c r="O35"/>
  <c r="N35"/>
  <c r="Q34"/>
  <c r="P34"/>
  <c r="O34"/>
  <c r="N34"/>
  <c r="Q33"/>
  <c r="P33"/>
  <c r="O33"/>
  <c r="N33"/>
  <c r="Q32"/>
  <c r="F33"/>
  <c r="F34"/>
  <c r="F35"/>
  <c r="V35"/>
  <c r="P32"/>
  <c r="E33"/>
  <c r="E34"/>
  <c r="O32"/>
  <c r="C33"/>
  <c r="D33"/>
  <c r="N32"/>
  <c r="B33"/>
  <c r="D32"/>
  <c r="T31"/>
  <c r="Q31"/>
  <c r="P31"/>
  <c r="O31"/>
  <c r="N31"/>
  <c r="D31"/>
  <c r="Q30"/>
  <c r="P30"/>
  <c r="O30"/>
  <c r="N30"/>
  <c r="Q29"/>
  <c r="P29"/>
  <c r="O29"/>
  <c r="C30"/>
  <c r="N29"/>
  <c r="Q28"/>
  <c r="F29"/>
  <c r="F30"/>
  <c r="F31"/>
  <c r="V31"/>
  <c r="P28"/>
  <c r="E29"/>
  <c r="E30"/>
  <c r="E31"/>
  <c r="U31"/>
  <c r="O28"/>
  <c r="C29"/>
  <c r="N28"/>
  <c r="B29"/>
  <c r="B30"/>
  <c r="B31"/>
  <c r="S31"/>
  <c r="D28"/>
  <c r="Q27"/>
  <c r="P27"/>
  <c r="O27"/>
  <c r="N27"/>
  <c r="Q26"/>
  <c r="P26"/>
  <c r="O26"/>
  <c r="N26"/>
  <c r="Q25"/>
  <c r="P25"/>
  <c r="O25"/>
  <c r="N25"/>
  <c r="Q24"/>
  <c r="F25"/>
  <c r="P24"/>
  <c r="E25"/>
  <c r="E26"/>
  <c r="E27"/>
  <c r="U27"/>
  <c r="O24"/>
  <c r="C25"/>
  <c r="N24"/>
  <c r="B25"/>
  <c r="B26"/>
  <c r="B27"/>
  <c r="S27"/>
  <c r="D24"/>
  <c r="Q23"/>
  <c r="P23"/>
  <c r="O23"/>
  <c r="N23"/>
  <c r="Q22"/>
  <c r="P22"/>
  <c r="O22"/>
  <c r="Y22"/>
  <c r="Z22"/>
  <c r="N22"/>
  <c r="X22"/>
  <c r="Q21"/>
  <c r="AB21"/>
  <c r="P21"/>
  <c r="AA21"/>
  <c r="O21"/>
  <c r="Y18"/>
  <c r="Z18"/>
  <c r="N21"/>
  <c r="X21"/>
  <c r="Q20"/>
  <c r="P20"/>
  <c r="O20"/>
  <c r="C21"/>
  <c r="C22"/>
  <c r="C23"/>
  <c r="N20"/>
  <c r="B21"/>
  <c r="B22"/>
  <c r="B23"/>
  <c r="S23"/>
  <c r="D20"/>
  <c r="Q19"/>
  <c r="P19"/>
  <c r="AA19"/>
  <c r="O19"/>
  <c r="Y19"/>
  <c r="Z19"/>
  <c r="N19"/>
  <c r="X19"/>
  <c r="Q18"/>
  <c r="P18"/>
  <c r="AA18"/>
  <c r="O18"/>
  <c r="N18"/>
  <c r="X18"/>
  <c r="Q17"/>
  <c r="P17"/>
  <c r="O17"/>
  <c r="Y17"/>
  <c r="Z17"/>
  <c r="N17"/>
  <c r="X17"/>
  <c r="Q16"/>
  <c r="F17"/>
  <c r="P16"/>
  <c r="E17"/>
  <c r="E18"/>
  <c r="E19"/>
  <c r="U19"/>
  <c r="O16"/>
  <c r="N16"/>
  <c r="D16"/>
  <c r="Q15"/>
  <c r="AB15"/>
  <c r="P15"/>
  <c r="AA15"/>
  <c r="O15"/>
  <c r="N15"/>
  <c r="Q14"/>
  <c r="P14"/>
  <c r="O14"/>
  <c r="Y14"/>
  <c r="Z14"/>
  <c r="N14"/>
  <c r="X14"/>
  <c r="Q13"/>
  <c r="AB13"/>
  <c r="P13"/>
  <c r="AA13"/>
  <c r="O13"/>
  <c r="N13"/>
  <c r="Q12"/>
  <c r="P12"/>
  <c r="AA12"/>
  <c r="O12"/>
  <c r="C13"/>
  <c r="C14"/>
  <c r="N12"/>
  <c r="B13"/>
  <c r="B14"/>
  <c r="B15"/>
  <c r="S15"/>
  <c r="D12"/>
  <c r="X3"/>
  <c r="X11"/>
  <c r="AA10"/>
  <c r="Y9"/>
  <c r="Z9"/>
  <c r="AB11"/>
  <c r="AB10"/>
  <c r="E13"/>
  <c r="E14"/>
  <c r="E15"/>
  <c r="U15"/>
  <c r="B34"/>
  <c r="B35"/>
  <c r="S35"/>
  <c r="E35"/>
  <c r="U35"/>
  <c r="S51"/>
  <c r="AA22"/>
  <c r="F18"/>
  <c r="F19"/>
  <c r="V19"/>
  <c r="F26"/>
  <c r="F27"/>
  <c r="V27"/>
  <c r="F38"/>
  <c r="F39"/>
  <c r="V39"/>
  <c r="F46"/>
  <c r="F47"/>
  <c r="V47"/>
  <c r="D13"/>
  <c r="C26"/>
  <c r="D25"/>
  <c r="D30"/>
  <c r="D29"/>
  <c r="C34"/>
  <c r="C35"/>
  <c r="C38"/>
  <c r="D37"/>
  <c r="D41"/>
  <c r="C46"/>
  <c r="D45"/>
  <c r="E49"/>
  <c r="P48"/>
  <c r="B49"/>
  <c r="Q50"/>
  <c r="T51"/>
  <c r="O51"/>
  <c r="D51"/>
  <c r="C50"/>
  <c r="P51"/>
  <c r="U51"/>
  <c r="Q51"/>
  <c r="E54"/>
  <c r="E53"/>
  <c r="D55"/>
  <c r="C58"/>
  <c r="E58"/>
  <c r="E57"/>
  <c r="D59"/>
  <c r="E62"/>
  <c r="E61"/>
  <c r="D63"/>
  <c r="C66"/>
  <c r="C70"/>
  <c r="D70"/>
  <c r="U16" i="4"/>
  <c r="S16"/>
  <c r="Q16"/>
  <c r="O16"/>
  <c r="M16"/>
  <c r="N16" s="1"/>
  <c r="K16"/>
  <c r="C69" i="59"/>
  <c r="D69"/>
  <c r="C49"/>
  <c r="D49"/>
  <c r="O50"/>
  <c r="D50"/>
  <c r="D66"/>
  <c r="C65"/>
  <c r="D65"/>
  <c r="D58"/>
  <c r="C57"/>
  <c r="D57"/>
  <c r="N48"/>
  <c r="N49"/>
  <c r="C47"/>
  <c r="D46"/>
  <c r="C39"/>
  <c r="D38"/>
  <c r="D34"/>
  <c r="C27"/>
  <c r="D26"/>
  <c r="D22"/>
  <c r="C15"/>
  <c r="D14"/>
  <c r="T15"/>
  <c r="D15"/>
  <c r="T27"/>
  <c r="D27"/>
  <c r="T39"/>
  <c r="D39"/>
  <c r="T47"/>
  <c r="D47"/>
  <c r="O49"/>
  <c r="O48"/>
  <c r="O27" i="6"/>
  <c r="N27"/>
  <c r="P26"/>
  <c r="L26"/>
  <c r="P25"/>
  <c r="L25"/>
  <c r="P24"/>
  <c r="L24"/>
  <c r="P23"/>
  <c r="L23"/>
  <c r="P22"/>
  <c r="L22"/>
  <c r="P21"/>
  <c r="L21"/>
  <c r="P20"/>
  <c r="P19"/>
  <c r="P27"/>
  <c r="Z18" i="36"/>
  <c r="Q18"/>
  <c r="C18"/>
  <c r="D66"/>
  <c r="F18"/>
  <c r="AA18"/>
  <c r="Z18" i="35"/>
  <c r="Q18"/>
  <c r="F18"/>
  <c r="AA18"/>
  <c r="C18"/>
  <c r="D68"/>
  <c r="E68"/>
  <c r="F68"/>
  <c r="G68"/>
  <c r="Q21" i="37"/>
  <c r="Z21"/>
  <c r="F21"/>
  <c r="AA21"/>
  <c r="C21"/>
  <c r="E77"/>
  <c r="F77"/>
  <c r="G77"/>
  <c r="D77"/>
  <c r="Z21" i="34"/>
  <c r="Q21"/>
  <c r="C21"/>
  <c r="D84"/>
  <c r="F21"/>
  <c r="AA21"/>
  <c r="Z21" i="33"/>
  <c r="Q21"/>
  <c r="C21"/>
  <c r="D83"/>
  <c r="E83"/>
  <c r="F83"/>
  <c r="G83"/>
  <c r="Q21" i="21"/>
  <c r="Z21"/>
  <c r="D83"/>
  <c r="E83"/>
  <c r="F21"/>
  <c r="C21"/>
  <c r="Z27" i="40"/>
  <c r="Q27"/>
  <c r="D96"/>
  <c r="E96"/>
  <c r="F96"/>
  <c r="F27"/>
  <c r="AA27"/>
  <c r="Z31" i="39"/>
  <c r="Q31"/>
  <c r="D105"/>
  <c r="E105" s="1"/>
  <c r="F105" s="1"/>
  <c r="G105" s="1"/>
  <c r="G20" i="20"/>
  <c r="B85" i="46"/>
  <c r="C22" i="20"/>
  <c r="B65" i="46"/>
  <c r="S18" i="36"/>
  <c r="S21" i="37"/>
  <c r="C31" i="39"/>
  <c r="B74" i="46"/>
  <c r="E66" i="36"/>
  <c r="H18" i="35"/>
  <c r="J18"/>
  <c r="H21" i="37"/>
  <c r="J21"/>
  <c r="E84" i="34"/>
  <c r="F84"/>
  <c r="G84"/>
  <c r="J21"/>
  <c r="H21"/>
  <c r="F21" i="33"/>
  <c r="H21"/>
  <c r="J21"/>
  <c r="F83" i="21"/>
  <c r="G83"/>
  <c r="H27" i="40"/>
  <c r="F23" i="15"/>
  <c r="D22"/>
  <c r="G17" i="11"/>
  <c r="F18" i="15"/>
  <c r="F20"/>
  <c r="F33"/>
  <c r="F60"/>
  <c r="K2" i="4"/>
  <c r="K1"/>
  <c r="B1"/>
  <c r="B37" i="50"/>
  <c r="B2" i="63"/>
  <c r="C31" i="57"/>
  <c r="C32"/>
  <c r="I23"/>
  <c r="D20"/>
  <c r="I19"/>
  <c r="I18"/>
  <c r="I17"/>
  <c r="I20"/>
  <c r="E15"/>
  <c r="I14"/>
  <c r="I13"/>
  <c r="I12"/>
  <c r="I15"/>
  <c r="I9"/>
  <c r="I8"/>
  <c r="I7"/>
  <c r="I6"/>
  <c r="I5"/>
  <c r="I4"/>
  <c r="I3"/>
  <c r="I10"/>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N73"/>
  <c r="D73"/>
  <c r="K73"/>
  <c r="J73"/>
  <c r="M72"/>
  <c r="N72"/>
  <c r="K72"/>
  <c r="J72"/>
  <c r="D72"/>
  <c r="M71"/>
  <c r="N71"/>
  <c r="K71"/>
  <c r="J71"/>
  <c r="M70"/>
  <c r="N70"/>
  <c r="K70"/>
  <c r="J70"/>
  <c r="D70"/>
  <c r="M69"/>
  <c r="N69"/>
  <c r="K69"/>
  <c r="J69"/>
  <c r="M66"/>
  <c r="N66"/>
  <c r="K66"/>
  <c r="J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M54"/>
  <c r="N54"/>
  <c r="K54"/>
  <c r="M53"/>
  <c r="N53"/>
  <c r="K53"/>
  <c r="J53"/>
  <c r="D53"/>
  <c r="M52"/>
  <c r="N52"/>
  <c r="K52"/>
  <c r="J52"/>
  <c r="D52"/>
  <c r="M51"/>
  <c r="N51"/>
  <c r="K51"/>
  <c r="M50"/>
  <c r="N50"/>
  <c r="M49"/>
  <c r="N49"/>
  <c r="K49"/>
  <c r="J49"/>
  <c r="D49"/>
  <c r="M48"/>
  <c r="N48"/>
  <c r="K48"/>
  <c r="J48"/>
  <c r="D48"/>
  <c r="M47"/>
  <c r="N47"/>
  <c r="K47"/>
  <c r="J47"/>
  <c r="D47"/>
  <c r="J51"/>
  <c r="D51"/>
  <c r="J55"/>
  <c r="D55"/>
  <c r="N86"/>
  <c r="D80"/>
  <c r="D81"/>
  <c r="D75"/>
  <c r="D66"/>
  <c r="J50"/>
  <c r="D50"/>
  <c r="J54"/>
  <c r="D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s="1"/>
  <c r="F13"/>
  <c r="AP13" s="1"/>
  <c r="D11"/>
  <c r="D12"/>
  <c r="D13"/>
  <c r="D6"/>
  <c r="D7"/>
  <c r="D8"/>
  <c r="D9"/>
  <c r="F10"/>
  <c r="AP10"/>
  <c r="D10"/>
  <c r="A12"/>
  <c r="R12"/>
  <c r="A13"/>
  <c r="B13"/>
  <c r="E13"/>
  <c r="A8"/>
  <c r="A9"/>
  <c r="A10"/>
  <c r="R10"/>
  <c r="A11"/>
  <c r="T4"/>
  <c r="K13"/>
  <c r="M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G2" i="46"/>
  <c r="X7"/>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4"/>
  <c r="A11" i="55"/>
  <c r="B62" i="63"/>
  <c r="N3" i="54"/>
  <c r="B42" i="63"/>
  <c r="A2" i="9"/>
  <c r="T16" i="4"/>
  <c r="D14"/>
  <c r="G36"/>
  <c r="K2" i="54"/>
  <c r="B23" i="63" s="1"/>
  <c r="A3" i="51"/>
  <c r="R41" i="4"/>
  <c r="Q41"/>
  <c r="P41"/>
  <c r="O41"/>
  <c r="N41"/>
  <c r="M41"/>
  <c r="L41"/>
  <c r="K40"/>
  <c r="T40"/>
  <c r="F23"/>
  <c r="D19"/>
  <c r="F6" i="1"/>
  <c r="I19" i="4"/>
  <c r="H19"/>
  <c r="G19"/>
  <c r="F9" i="1"/>
  <c r="F19" i="4"/>
  <c r="F8" i="1"/>
  <c r="E19" i="4"/>
  <c r="F7" i="1"/>
  <c r="B2" i="52"/>
  <c r="E22" s="1"/>
  <c r="I2" i="46"/>
  <c r="N12"/>
  <c r="A7"/>
  <c r="F41" i="4"/>
  <c r="J52" i="40"/>
  <c r="H61" i="49"/>
  <c r="H39" i="46"/>
  <c r="H38"/>
  <c r="H37"/>
  <c r="H36"/>
  <c r="H35"/>
  <c r="H34"/>
  <c r="H33"/>
  <c r="G20"/>
  <c r="J20"/>
  <c r="C18"/>
  <c r="G17"/>
  <c r="F15"/>
  <c r="E15"/>
  <c r="D15"/>
  <c r="C15"/>
  <c r="C10"/>
  <c r="C11"/>
  <c r="C9"/>
  <c r="E32" i="6"/>
  <c r="E20"/>
  <c r="E21"/>
  <c r="K8" i="1"/>
  <c r="M8" s="1"/>
  <c r="E22" i="6"/>
  <c r="E23"/>
  <c r="E24"/>
  <c r="E25"/>
  <c r="E26"/>
  <c r="C35" i="4"/>
  <c r="E16" i="12"/>
  <c r="F14"/>
  <c r="F15"/>
  <c r="F17"/>
  <c r="E19"/>
  <c r="E21"/>
  <c r="E22"/>
  <c r="F23"/>
  <c r="F24"/>
  <c r="F25"/>
  <c r="C43" i="9"/>
  <c r="K47"/>
  <c r="A14" i="55"/>
  <c r="B65" i="63"/>
  <c r="I73" i="9"/>
  <c r="F73"/>
  <c r="P73"/>
  <c r="D107"/>
  <c r="C107"/>
  <c r="C105"/>
  <c r="C110"/>
  <c r="C17"/>
  <c r="D17"/>
  <c r="C18"/>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s="1"/>
  <c r="C25"/>
  <c r="F36"/>
  <c r="AA36"/>
  <c r="F40"/>
  <c r="AA40" s="1"/>
  <c r="F42"/>
  <c r="AA42"/>
  <c r="H10"/>
  <c r="AB10"/>
  <c r="H11"/>
  <c r="AB11" s="1"/>
  <c r="H36"/>
  <c r="AB36"/>
  <c r="H40"/>
  <c r="AB40" s="1"/>
  <c r="H42"/>
  <c r="AB42"/>
  <c r="J10"/>
  <c r="AC10"/>
  <c r="J11"/>
  <c r="AC11" s="1"/>
  <c r="J36"/>
  <c r="AC36"/>
  <c r="J40"/>
  <c r="AC40" s="1"/>
  <c r="J42"/>
  <c r="AC42"/>
  <c r="F35" i="44"/>
  <c r="M21"/>
  <c r="F20"/>
  <c r="C6" i="43"/>
  <c r="K9"/>
  <c r="J9"/>
  <c r="I9"/>
  <c r="H9"/>
  <c r="G9"/>
  <c r="F9"/>
  <c r="E9"/>
  <c r="D9"/>
  <c r="C9"/>
  <c r="B24" i="1"/>
  <c r="E77" i="9"/>
  <c r="O75"/>
  <c r="L75"/>
  <c r="F77"/>
  <c r="P75"/>
  <c r="O74"/>
  <c r="O73"/>
  <c r="E66"/>
  <c r="O72"/>
  <c r="F74"/>
  <c r="P74"/>
  <c r="K44"/>
  <c r="K43"/>
  <c r="B31" i="1"/>
  <c r="E10" i="11"/>
  <c r="B23" i="1"/>
  <c r="BM15" i="3"/>
  <c r="BM16"/>
  <c r="BM17"/>
  <c r="BO15"/>
  <c r="BO16"/>
  <c r="BO17"/>
  <c r="BN15"/>
  <c r="BN16"/>
  <c r="BN17"/>
  <c r="BP15"/>
  <c r="BP16"/>
  <c r="BP17"/>
  <c r="BQ15"/>
  <c r="BQ16"/>
  <c r="BQ17"/>
  <c r="BS15"/>
  <c r="BS16"/>
  <c r="BS17"/>
  <c r="BR15"/>
  <c r="BR16"/>
  <c r="BR17"/>
  <c r="BT15"/>
  <c r="BT16"/>
  <c r="BT17"/>
  <c r="BD17"/>
  <c r="BB17"/>
  <c r="BC17"/>
  <c r="BE17"/>
  <c r="BF17"/>
  <c r="BG17"/>
  <c r="BH17"/>
  <c r="BI17"/>
  <c r="BJ17"/>
  <c r="BK17"/>
  <c r="BB15"/>
  <c r="BC15"/>
  <c r="BD15"/>
  <c r="BE15"/>
  <c r="BF15"/>
  <c r="BG15"/>
  <c r="BH15"/>
  <c r="BI15"/>
  <c r="BJ15"/>
  <c r="BK15"/>
  <c r="BB16"/>
  <c r="BC16"/>
  <c r="BD16"/>
  <c r="BE16"/>
  <c r="BF16"/>
  <c r="BG16"/>
  <c r="BH16"/>
  <c r="BI16"/>
  <c r="BJ16"/>
  <c r="BK16"/>
  <c r="BC11"/>
  <c r="BD11"/>
  <c r="C11" i="11"/>
  <c r="C10"/>
  <c r="C30" i="40"/>
  <c r="G13" i="1"/>
  <c r="G12"/>
  <c r="D95" i="9"/>
  <c r="C95"/>
  <c r="C92"/>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s="1"/>
  <c r="G55"/>
  <c r="H55" s="1"/>
  <c r="E55"/>
  <c r="F55" s="1"/>
  <c r="I42" i="36"/>
  <c r="J42"/>
  <c r="G42"/>
  <c r="H42"/>
  <c r="E42"/>
  <c r="F42"/>
  <c r="I44" i="35"/>
  <c r="J44"/>
  <c r="G44"/>
  <c r="H44"/>
  <c r="E44"/>
  <c r="F44"/>
  <c r="I54" i="33"/>
  <c r="J54"/>
  <c r="G54"/>
  <c r="E54"/>
  <c r="F54"/>
  <c r="AC14" i="3"/>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D126" i="39"/>
  <c r="E126"/>
  <c r="F126"/>
  <c r="G126"/>
  <c r="H126"/>
  <c r="I126"/>
  <c r="J126"/>
  <c r="K126"/>
  <c r="L126"/>
  <c r="M126"/>
  <c r="D122"/>
  <c r="E122" s="1"/>
  <c r="B116"/>
  <c r="D111"/>
  <c r="E111"/>
  <c r="F111"/>
  <c r="G111"/>
  <c r="H111"/>
  <c r="I111"/>
  <c r="J111"/>
  <c r="K111"/>
  <c r="L111"/>
  <c r="M111"/>
  <c r="D109"/>
  <c r="E109"/>
  <c r="F109"/>
  <c r="G109"/>
  <c r="H109"/>
  <c r="I109"/>
  <c r="J109"/>
  <c r="K109"/>
  <c r="L109"/>
  <c r="M109"/>
  <c r="D107"/>
  <c r="E107"/>
  <c r="F107"/>
  <c r="G107"/>
  <c r="H107"/>
  <c r="I107"/>
  <c r="J107"/>
  <c r="K107"/>
  <c r="L107"/>
  <c r="M107"/>
  <c r="D103"/>
  <c r="D101"/>
  <c r="E101" s="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s="1"/>
  <c r="F99" s="1"/>
  <c r="G99" s="1"/>
  <c r="D97"/>
  <c r="D95"/>
  <c r="E95"/>
  <c r="F95"/>
  <c r="G95"/>
  <c r="D93"/>
  <c r="E93" s="1"/>
  <c r="D91"/>
  <c r="E91" s="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J26"/>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H26"/>
  <c r="AB26"/>
  <c r="F26"/>
  <c r="AA26"/>
  <c r="Q25"/>
  <c r="Z25"/>
  <c r="J25"/>
  <c r="W25"/>
  <c r="F25"/>
  <c r="AA25"/>
  <c r="Q23"/>
  <c r="Z23"/>
  <c r="Q19"/>
  <c r="Z19"/>
  <c r="Q17"/>
  <c r="Z17"/>
  <c r="Q15"/>
  <c r="Z15"/>
  <c r="Q14"/>
  <c r="Z14"/>
  <c r="Q13"/>
  <c r="Z13"/>
  <c r="Q12"/>
  <c r="Z12"/>
  <c r="Q11"/>
  <c r="Z11"/>
  <c r="Q10"/>
  <c r="Z10"/>
  <c r="F10"/>
  <c r="AA10"/>
  <c r="Q9"/>
  <c r="Z9"/>
  <c r="J8"/>
  <c r="W8"/>
  <c r="H8"/>
  <c r="AB8"/>
  <c r="F8"/>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J9"/>
  <c r="AC9"/>
  <c r="P37"/>
  <c r="P36"/>
  <c r="V35"/>
  <c r="T35"/>
  <c r="R35"/>
  <c r="P35"/>
  <c r="Q34"/>
  <c r="Z34"/>
  <c r="Q33"/>
  <c r="Z33"/>
  <c r="Q32"/>
  <c r="Z32"/>
  <c r="Q31"/>
  <c r="Z31"/>
  <c r="Q30"/>
  <c r="Z30"/>
  <c r="Q29"/>
  <c r="Z29"/>
  <c r="Q28"/>
  <c r="Z28"/>
  <c r="J28"/>
  <c r="AC28"/>
  <c r="Q27"/>
  <c r="Z27"/>
  <c r="Q26"/>
  <c r="Z26"/>
  <c r="H26"/>
  <c r="AB26"/>
  <c r="Q25"/>
  <c r="Z25"/>
  <c r="Q24"/>
  <c r="Z24"/>
  <c r="Q23"/>
  <c r="Z23"/>
  <c r="J23"/>
  <c r="AC23"/>
  <c r="H23"/>
  <c r="AB23"/>
  <c r="F23"/>
  <c r="AA23"/>
  <c r="Q22"/>
  <c r="Z22"/>
  <c r="J22"/>
  <c r="AC22"/>
  <c r="Q20"/>
  <c r="Z20"/>
  <c r="Q16"/>
  <c r="Z16"/>
  <c r="Q14"/>
  <c r="Z14"/>
  <c r="Q13"/>
  <c r="Z13"/>
  <c r="Q12"/>
  <c r="Z12"/>
  <c r="H12"/>
  <c r="U12"/>
  <c r="Q11"/>
  <c r="Z11"/>
  <c r="Q10"/>
  <c r="Z10"/>
  <c r="F10"/>
  <c r="AA10"/>
  <c r="Q9"/>
  <c r="Z9"/>
  <c r="J8"/>
  <c r="AC8"/>
  <c r="H8"/>
  <c r="U8"/>
  <c r="F8"/>
  <c r="AA8"/>
  <c r="D89" i="35"/>
  <c r="H30"/>
  <c r="U30"/>
  <c r="M90"/>
  <c r="L90"/>
  <c r="K90"/>
  <c r="J90"/>
  <c r="I90"/>
  <c r="H90"/>
  <c r="G90"/>
  <c r="F90"/>
  <c r="E90"/>
  <c r="D90"/>
  <c r="C90"/>
  <c r="F85"/>
  <c r="E85"/>
  <c r="D85"/>
  <c r="C85"/>
  <c r="J27"/>
  <c r="W27"/>
  <c r="H27"/>
  <c r="U27"/>
  <c r="F27"/>
  <c r="AA27"/>
  <c r="J22"/>
  <c r="AC22"/>
  <c r="B101"/>
  <c r="H36"/>
  <c r="B99"/>
  <c r="B97"/>
  <c r="B77"/>
  <c r="B75"/>
  <c r="J24"/>
  <c r="AC24"/>
  <c r="B73"/>
  <c r="J23"/>
  <c r="AC2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Q22"/>
  <c r="Z22"/>
  <c r="Q20"/>
  <c r="Z20"/>
  <c r="Q16"/>
  <c r="Z16"/>
  <c r="Q14"/>
  <c r="Z14"/>
  <c r="Q13"/>
  <c r="Z13"/>
  <c r="Q12"/>
  <c r="Z12"/>
  <c r="J12"/>
  <c r="W12"/>
  <c r="F12"/>
  <c r="AA12"/>
  <c r="Q11"/>
  <c r="Z11"/>
  <c r="Q10"/>
  <c r="Z10"/>
  <c r="Q9"/>
  <c r="Z9"/>
  <c r="J9"/>
  <c r="W9"/>
  <c r="F9"/>
  <c r="AA9"/>
  <c r="J8"/>
  <c r="H8"/>
  <c r="F8"/>
  <c r="AA8"/>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8"/>
  <c r="W8"/>
  <c r="H8"/>
  <c r="F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s="1"/>
  <c r="I54"/>
  <c r="J54" s="1"/>
  <c r="G54"/>
  <c r="H54" s="1"/>
  <c r="D125"/>
  <c r="E125"/>
  <c r="D123"/>
  <c r="E123" s="1"/>
  <c r="F123" s="1"/>
  <c r="D119"/>
  <c r="D117"/>
  <c r="E117"/>
  <c r="F117"/>
  <c r="G117"/>
  <c r="D115"/>
  <c r="E115"/>
  <c r="F115"/>
  <c r="G115"/>
  <c r="H115"/>
  <c r="I115"/>
  <c r="J115"/>
  <c r="K115"/>
  <c r="L115"/>
  <c r="M115"/>
  <c r="D113"/>
  <c r="E113"/>
  <c r="F113"/>
  <c r="G113"/>
  <c r="D110"/>
  <c r="E110" s="1"/>
  <c r="F110" s="1"/>
  <c r="G110" s="1"/>
  <c r="H110" s="1"/>
  <c r="I110" s="1"/>
  <c r="J110" s="1"/>
  <c r="K110" s="1"/>
  <c r="L110" s="1"/>
  <c r="M110" s="1"/>
  <c r="J36"/>
  <c r="W36" s="1"/>
  <c r="D108"/>
  <c r="E108" s="1"/>
  <c r="D106"/>
  <c r="E106"/>
  <c r="F106"/>
  <c r="G106"/>
  <c r="H106"/>
  <c r="I106"/>
  <c r="J106"/>
  <c r="K106"/>
  <c r="L106"/>
  <c r="M106"/>
  <c r="E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B130"/>
  <c r="B128"/>
  <c r="B126"/>
  <c r="B98"/>
  <c r="B96"/>
  <c r="B94"/>
  <c r="B92"/>
  <c r="B90"/>
  <c r="B74"/>
  <c r="B72"/>
  <c r="B70"/>
  <c r="F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Q35"/>
  <c r="Z35"/>
  <c r="Q36"/>
  <c r="Z36"/>
  <c r="Q37"/>
  <c r="Z37"/>
  <c r="J38"/>
  <c r="W38"/>
  <c r="Q38"/>
  <c r="Z38"/>
  <c r="J39"/>
  <c r="AC39"/>
  <c r="Q39"/>
  <c r="Z39"/>
  <c r="Q40"/>
  <c r="Z40"/>
  <c r="Q41"/>
  <c r="Z41"/>
  <c r="Q42"/>
  <c r="Z42"/>
  <c r="J43"/>
  <c r="AC43"/>
  <c r="Q43"/>
  <c r="Z43"/>
  <c r="Q44"/>
  <c r="Z44"/>
  <c r="Q45"/>
  <c r="Z45"/>
  <c r="Q46"/>
  <c r="Z46"/>
  <c r="P47"/>
  <c r="T47"/>
  <c r="P48"/>
  <c r="P49"/>
  <c r="F8"/>
  <c r="AA8"/>
  <c r="E13" i="11"/>
  <c r="E12"/>
  <c r="BB12" i="3"/>
  <c r="F9" i="12"/>
  <c r="D9"/>
  <c r="E9"/>
  <c r="G9"/>
  <c r="J5" i="3"/>
  <c r="BE10"/>
  <c r="BB570"/>
  <c r="BC570"/>
  <c r="BD570"/>
  <c r="BE570"/>
  <c r="BA570"/>
  <c r="AZ570"/>
  <c r="BF570"/>
  <c r="BF5"/>
  <c r="BG570"/>
  <c r="BG5"/>
  <c r="BH570"/>
  <c r="BI570"/>
  <c r="BI5"/>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AC13"/>
  <c r="BB11"/>
  <c r="BB10"/>
  <c r="AD5"/>
  <c r="AE5"/>
  <c r="AF5"/>
  <c r="AG5"/>
  <c r="AH5"/>
  <c r="AI5"/>
  <c r="AJ5"/>
  <c r="AK5"/>
  <c r="AM5"/>
  <c r="AN5"/>
  <c r="AO5"/>
  <c r="AP5"/>
  <c r="AQ5"/>
  <c r="AR5"/>
  <c r="AS5"/>
  <c r="AT5"/>
  <c r="L5"/>
  <c r="M5"/>
  <c r="N5"/>
  <c r="O5"/>
  <c r="P5"/>
  <c r="Q5"/>
  <c r="R5"/>
  <c r="S5"/>
  <c r="T5"/>
  <c r="U5"/>
  <c r="V5"/>
  <c r="W5"/>
  <c r="X5"/>
  <c r="Y5"/>
  <c r="Z5"/>
  <c r="AA5"/>
  <c r="AB5"/>
  <c r="H570"/>
  <c r="G570"/>
  <c r="H571"/>
  <c r="G571"/>
  <c r="H572"/>
  <c r="G572"/>
  <c r="F5"/>
  <c r="G27" i="6"/>
  <c r="F34" i="21"/>
  <c r="AA34"/>
  <c r="H34"/>
  <c r="U34"/>
  <c r="F43"/>
  <c r="S43"/>
  <c r="H38"/>
  <c r="AB38"/>
  <c r="H43"/>
  <c r="AB43"/>
  <c r="F38"/>
  <c r="S38"/>
  <c r="F36"/>
  <c r="S36" s="1"/>
  <c r="F39"/>
  <c r="AA39"/>
  <c r="J40"/>
  <c r="W40"/>
  <c r="J8"/>
  <c r="AC8"/>
  <c r="J9"/>
  <c r="AC9"/>
  <c r="H8"/>
  <c r="H9"/>
  <c r="AB9"/>
  <c r="H10"/>
  <c r="U10"/>
  <c r="H39"/>
  <c r="AB39"/>
  <c r="J34"/>
  <c r="W34"/>
  <c r="H36"/>
  <c r="U36" s="1"/>
  <c r="W33"/>
  <c r="U33"/>
  <c r="J10"/>
  <c r="AC10"/>
  <c r="H26"/>
  <c r="J12"/>
  <c r="H12"/>
  <c r="U12"/>
  <c r="J26"/>
  <c r="W26"/>
  <c r="F26"/>
  <c r="AA26"/>
  <c r="AB41"/>
  <c r="S41"/>
  <c r="AA41"/>
  <c r="W41"/>
  <c r="S10" i="39"/>
  <c r="U30" i="37"/>
  <c r="E103"/>
  <c r="F103"/>
  <c r="G103"/>
  <c r="H103"/>
  <c r="I103"/>
  <c r="J103"/>
  <c r="K103"/>
  <c r="L103"/>
  <c r="M103"/>
  <c r="F39"/>
  <c r="S39"/>
  <c r="W39"/>
  <c r="F29" i="36"/>
  <c r="AA29"/>
  <c r="F16"/>
  <c r="AA16"/>
  <c r="U22"/>
  <c r="W23"/>
  <c r="W22"/>
  <c r="U26"/>
  <c r="AC31"/>
  <c r="J33"/>
  <c r="W33"/>
  <c r="AC27" i="35"/>
  <c r="U31"/>
  <c r="S34"/>
  <c r="W36"/>
  <c r="W24"/>
  <c r="S31"/>
  <c r="W31"/>
  <c r="U34"/>
  <c r="F36" i="34"/>
  <c r="S36"/>
  <c r="W9"/>
  <c r="S34"/>
  <c r="W39"/>
  <c r="H39" i="33"/>
  <c r="AB39"/>
  <c r="F26"/>
  <c r="AA26"/>
  <c r="U33"/>
  <c r="W38"/>
  <c r="S40"/>
  <c r="S33"/>
  <c r="W33"/>
  <c r="U38"/>
  <c r="S8" i="21"/>
  <c r="W8"/>
  <c r="H39" i="37"/>
  <c r="AB39"/>
  <c r="AB27" i="35"/>
  <c r="S10" i="40"/>
  <c r="W10"/>
  <c r="S11"/>
  <c r="U11"/>
  <c r="S36"/>
  <c r="U36"/>
  <c r="S40" i="39"/>
  <c r="S36"/>
  <c r="F11" i="21"/>
  <c r="S11"/>
  <c r="AC40"/>
  <c r="AA38"/>
  <c r="C29" i="39"/>
  <c r="C23"/>
  <c r="U36"/>
  <c r="S42"/>
  <c r="H32" i="33"/>
  <c r="AB32"/>
  <c r="H11" i="21"/>
  <c r="U11"/>
  <c r="J11"/>
  <c r="W11"/>
  <c r="F100" i="40"/>
  <c r="F86"/>
  <c r="AA12" i="33"/>
  <c r="U9" i="21"/>
  <c r="J27" i="36"/>
  <c r="W27"/>
  <c r="J34"/>
  <c r="W34"/>
  <c r="J30" i="35"/>
  <c r="W30"/>
  <c r="F22"/>
  <c r="AA22"/>
  <c r="H10"/>
  <c r="U10"/>
  <c r="AC24" i="36"/>
  <c r="U29"/>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c r="F19"/>
  <c r="S19"/>
  <c r="J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4" i="34"/>
  <c r="AC44"/>
  <c r="F44"/>
  <c r="S44"/>
  <c r="J10" i="35"/>
  <c r="W10"/>
  <c r="AL5" i="3"/>
  <c r="BL572"/>
  <c r="J14" i="21"/>
  <c r="F14"/>
  <c r="AA14"/>
  <c r="H14"/>
  <c r="U14"/>
  <c r="H28"/>
  <c r="AB28"/>
  <c r="F28"/>
  <c r="S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s="1"/>
  <c r="J27"/>
  <c r="W27" s="1"/>
  <c r="F27"/>
  <c r="AA27" s="1"/>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AB13" i="35"/>
  <c r="U30" i="33"/>
  <c r="J36" i="37"/>
  <c r="AC36"/>
  <c r="G105"/>
  <c r="AB28" i="36"/>
  <c r="AB31" i="21"/>
  <c r="S46"/>
  <c r="AC30"/>
  <c r="W30"/>
  <c r="AB30"/>
  <c r="AA28"/>
  <c r="W14"/>
  <c r="AC14"/>
  <c r="S46" i="33"/>
  <c r="U36" i="37"/>
  <c r="AC13" i="36"/>
  <c r="AB45" i="33"/>
  <c r="AB31"/>
  <c r="AB27"/>
  <c r="AC28"/>
  <c r="AB44"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c r="BA565"/>
  <c r="BA561"/>
  <c r="AZ561"/>
  <c r="BA559"/>
  <c r="AZ559"/>
  <c r="BA557"/>
  <c r="AZ557"/>
  <c r="BA555"/>
  <c r="AZ555"/>
  <c r="BA551"/>
  <c r="AZ551"/>
  <c r="BA545"/>
  <c r="BA543"/>
  <c r="BA541"/>
  <c r="AZ541"/>
  <c r="BA531"/>
  <c r="BA521"/>
  <c r="BA509"/>
  <c r="BA505"/>
  <c r="BA501"/>
  <c r="BA493"/>
  <c r="AZ493"/>
  <c r="BA487"/>
  <c r="BA19"/>
  <c r="BA572"/>
  <c r="AZ572"/>
  <c r="BA566"/>
  <c r="BA562"/>
  <c r="AZ562"/>
  <c r="BA560"/>
  <c r="BA558"/>
  <c r="BA556"/>
  <c r="BA554"/>
  <c r="BA550"/>
  <c r="BA546"/>
  <c r="BA544"/>
  <c r="AZ544"/>
  <c r="BA540"/>
  <c r="BA536"/>
  <c r="BA532"/>
  <c r="BA528"/>
  <c r="BA524"/>
  <c r="BA520"/>
  <c r="BA516"/>
  <c r="BA512"/>
  <c r="BA508"/>
  <c r="BA502"/>
  <c r="BA498"/>
  <c r="BA492"/>
  <c r="AZ492"/>
  <c r="BA488"/>
  <c r="BA484"/>
  <c r="BA20"/>
  <c r="AZ20" s="1"/>
  <c r="AZ5" s="1"/>
  <c r="AZ545"/>
  <c r="G566"/>
  <c r="G562"/>
  <c r="G560"/>
  <c r="G558"/>
  <c r="G556"/>
  <c r="G554"/>
  <c r="G550"/>
  <c r="G546"/>
  <c r="BL543"/>
  <c r="AZ543"/>
  <c r="BA542"/>
  <c r="AC542"/>
  <c r="G542"/>
  <c r="BQ542"/>
  <c r="BL542"/>
  <c r="AZ542"/>
  <c r="BQ568"/>
  <c r="BQ566"/>
  <c r="BQ564"/>
  <c r="BL564"/>
  <c r="BQ562"/>
  <c r="BL562"/>
  <c r="BQ560"/>
  <c r="BL560"/>
  <c r="AZ560"/>
  <c r="BQ558"/>
  <c r="BL558"/>
  <c r="AZ558"/>
  <c r="BQ556"/>
  <c r="BL556"/>
  <c r="AZ556"/>
  <c r="BQ554"/>
  <c r="BQ552"/>
  <c r="BL552"/>
  <c r="BQ550"/>
  <c r="BL550"/>
  <c r="AZ550"/>
  <c r="BQ548"/>
  <c r="BQ546"/>
  <c r="BL546"/>
  <c r="BQ544"/>
  <c r="BL544"/>
  <c r="G544"/>
  <c r="G538"/>
  <c r="G534"/>
  <c r="G530"/>
  <c r="G526"/>
  <c r="G522"/>
  <c r="BQ540"/>
  <c r="BL540"/>
  <c r="AZ540"/>
  <c r="BQ538"/>
  <c r="BL538"/>
  <c r="AZ538"/>
  <c r="BQ536"/>
  <c r="BQ534"/>
  <c r="BL534"/>
  <c r="BQ532"/>
  <c r="BL532"/>
  <c r="BQ530"/>
  <c r="BQ528"/>
  <c r="BQ526"/>
  <c r="BL526"/>
  <c r="BQ524"/>
  <c r="BL524"/>
  <c r="BQ522"/>
  <c r="BQ520"/>
  <c r="BL520"/>
  <c r="BQ518"/>
  <c r="BQ516"/>
  <c r="BL516"/>
  <c r="BQ514"/>
  <c r="BL514"/>
  <c r="BQ512"/>
  <c r="BQ510"/>
  <c r="BL510"/>
  <c r="BQ508"/>
  <c r="BL508"/>
  <c r="AZ508"/>
  <c r="AC506"/>
  <c r="G506"/>
  <c r="BQ506"/>
  <c r="G502"/>
  <c r="G498"/>
  <c r="BQ504"/>
  <c r="BQ502"/>
  <c r="BL502"/>
  <c r="AZ502"/>
  <c r="BQ500"/>
  <c r="BL500"/>
  <c r="BQ498"/>
  <c r="BQ496"/>
  <c r="AC494"/>
  <c r="BQ494"/>
  <c r="BL493"/>
  <c r="G492"/>
  <c r="G488"/>
  <c r="G484"/>
  <c r="G20"/>
  <c r="BQ492"/>
  <c r="BL492"/>
  <c r="BQ490"/>
  <c r="BQ488"/>
  <c r="BL488"/>
  <c r="AZ488"/>
  <c r="BQ486"/>
  <c r="BQ484"/>
  <c r="BL484"/>
  <c r="AZ484"/>
  <c r="BQ482"/>
  <c r="BL482"/>
  <c r="BQ20"/>
  <c r="BL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H42"/>
  <c r="U42"/>
  <c r="J43"/>
  <c r="AC43"/>
  <c r="G79" i="37"/>
  <c r="J23"/>
  <c r="W23"/>
  <c r="F17"/>
  <c r="AA17"/>
  <c r="AB43" i="33"/>
  <c r="D3" i="21"/>
  <c r="AC33" i="36"/>
  <c r="AC12" i="35"/>
  <c r="W23"/>
  <c r="AC23" i="37"/>
  <c r="U39"/>
  <c r="AC8"/>
  <c r="S25"/>
  <c r="AC36" i="34"/>
  <c r="AB8"/>
  <c r="AC37" i="33"/>
  <c r="AA13"/>
  <c r="AC45"/>
  <c r="AA36" i="21"/>
  <c r="S39" i="33"/>
  <c r="F43"/>
  <c r="AA43"/>
  <c r="AA23" i="37"/>
  <c r="S10" i="35"/>
  <c r="AB44" i="33"/>
  <c r="G107" i="37"/>
  <c r="H107"/>
  <c r="I107"/>
  <c r="J107"/>
  <c r="K107"/>
  <c r="L107"/>
  <c r="M107"/>
  <c r="AA9" i="21"/>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G483" i="3"/>
  <c r="G515"/>
  <c r="G507"/>
  <c r="G501"/>
  <c r="BA15"/>
  <c r="BL17"/>
  <c r="BL15"/>
  <c r="BT5"/>
  <c r="J57" i="39"/>
  <c r="H13" i="40"/>
  <c r="U13"/>
  <c r="H12" i="48"/>
  <c r="I4" i="4"/>
  <c r="K141" i="21"/>
  <c r="K143"/>
  <c r="K144"/>
  <c r="I59" i="40"/>
  <c r="C59"/>
  <c r="I60"/>
  <c r="C60"/>
  <c r="G297" i="3"/>
  <c r="BL298"/>
  <c r="G299"/>
  <c r="BL300"/>
  <c r="BA302"/>
  <c r="AZ302"/>
  <c r="BA303"/>
  <c r="BL303"/>
  <c r="G304"/>
  <c r="BA305"/>
  <c r="G321"/>
  <c r="BL322"/>
  <c r="AZ322"/>
  <c r="G323"/>
  <c r="BL324"/>
  <c r="BA326"/>
  <c r="AZ326"/>
  <c r="BA327"/>
  <c r="BL327"/>
  <c r="AZ327"/>
  <c r="G328"/>
  <c r="BA329"/>
  <c r="G337"/>
  <c r="BL338"/>
  <c r="G339"/>
  <c r="BL340"/>
  <c r="BA342"/>
  <c r="AZ342"/>
  <c r="BA343"/>
  <c r="BL343"/>
  <c r="AZ343"/>
  <c r="G344"/>
  <c r="BA345"/>
  <c r="G353"/>
  <c r="BL354"/>
  <c r="G355"/>
  <c r="BL356"/>
  <c r="G357"/>
  <c r="BL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AZ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201"/>
  <c r="AZ66"/>
  <c r="AZ70"/>
  <c r="AZ74"/>
  <c r="AZ78"/>
  <c r="AZ82"/>
  <c r="AZ185"/>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AZ331"/>
  <c r="BL331"/>
  <c r="G332"/>
  <c r="G335"/>
  <c r="BL336"/>
  <c r="BA338"/>
  <c r="AZ338"/>
  <c r="BA339"/>
  <c r="BL339"/>
  <c r="AZ339"/>
  <c r="G340"/>
  <c r="G343"/>
  <c r="BL344"/>
  <c r="BA346"/>
  <c r="AZ346"/>
  <c r="BA347"/>
  <c r="BL347"/>
  <c r="G348"/>
  <c r="G351"/>
  <c r="BL352"/>
  <c r="BA354"/>
  <c r="BA355"/>
  <c r="AZ355"/>
  <c r="BL355"/>
  <c r="G356"/>
  <c r="AZ127"/>
  <c r="BA358"/>
  <c r="AZ358"/>
  <c r="BA359"/>
  <c r="BL359"/>
  <c r="AZ359"/>
  <c r="G360"/>
  <c r="G361"/>
  <c r="BL362"/>
  <c r="BA364"/>
  <c r="AZ364"/>
  <c r="BA365"/>
  <c r="AZ365"/>
  <c r="BL365"/>
  <c r="G366"/>
  <c r="G369"/>
  <c r="BL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AZ300"/>
  <c r="BL301"/>
  <c r="AZ301"/>
  <c r="G302"/>
  <c r="BA304"/>
  <c r="AZ304"/>
  <c r="BL305"/>
  <c r="AZ305"/>
  <c r="G306"/>
  <c r="BA308"/>
  <c r="AZ308"/>
  <c r="BL309"/>
  <c r="G310"/>
  <c r="BA310"/>
  <c r="AZ310"/>
  <c r="BL311"/>
  <c r="AZ311"/>
  <c r="G312"/>
  <c r="BA312"/>
  <c r="AZ312"/>
  <c r="BL313"/>
  <c r="G314"/>
  <c r="BA314"/>
  <c r="AZ314"/>
  <c r="BL315"/>
  <c r="AZ315"/>
  <c r="G316"/>
  <c r="BA316"/>
  <c r="AZ316"/>
  <c r="BL317"/>
  <c r="AZ317"/>
  <c r="G318"/>
  <c r="BA320"/>
  <c r="AZ320"/>
  <c r="BL321"/>
  <c r="G322"/>
  <c r="BA324"/>
  <c r="AZ324"/>
  <c r="BL325"/>
  <c r="AZ325"/>
  <c r="G326"/>
  <c r="BA328"/>
  <c r="AZ328"/>
  <c r="BL329"/>
  <c r="AZ329"/>
  <c r="G330"/>
  <c r="BA332"/>
  <c r="AZ332"/>
  <c r="BL333"/>
  <c r="G334"/>
  <c r="BA336"/>
  <c r="AZ336"/>
  <c r="BL337"/>
  <c r="AZ337"/>
  <c r="G338"/>
  <c r="BA340"/>
  <c r="AZ340"/>
  <c r="BL341"/>
  <c r="G342"/>
  <c r="BA344"/>
  <c r="AZ344"/>
  <c r="BL345"/>
  <c r="AZ345"/>
  <c r="G346"/>
  <c r="BA348"/>
  <c r="AZ348"/>
  <c r="BL349"/>
  <c r="AZ349"/>
  <c r="G350"/>
  <c r="BA352"/>
  <c r="AZ352"/>
  <c r="BL353"/>
  <c r="G354"/>
  <c r="BA356"/>
  <c r="AZ356"/>
  <c r="BL357"/>
  <c r="AZ357"/>
  <c r="G358"/>
  <c r="BA362"/>
  <c r="AZ362"/>
  <c r="BL363"/>
  <c r="G364"/>
  <c r="BA366"/>
  <c r="AZ366"/>
  <c r="BL367"/>
  <c r="AZ367"/>
  <c r="AZ205"/>
  <c r="AZ209"/>
  <c r="AZ213"/>
  <c r="AZ217"/>
  <c r="AZ221"/>
  <c r="AZ225"/>
  <c r="AZ229"/>
  <c r="AZ233"/>
  <c r="AZ237"/>
  <c r="AZ241"/>
  <c r="AZ245"/>
  <c r="AZ309"/>
  <c r="AZ321"/>
  <c r="AZ333"/>
  <c r="AZ341"/>
  <c r="AZ353"/>
  <c r="AZ363"/>
  <c r="G368"/>
  <c r="BA370"/>
  <c r="AZ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3"/>
  <c r="AZ319"/>
  <c r="AZ335"/>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A43" i="21"/>
  <c r="U43"/>
  <c r="AA13" i="40"/>
  <c r="E78"/>
  <c r="F78"/>
  <c r="G78"/>
  <c r="H78"/>
  <c r="I78"/>
  <c r="J78"/>
  <c r="K78"/>
  <c r="L78"/>
  <c r="M78"/>
  <c r="BH5" i="3"/>
  <c r="R16" i="4"/>
  <c r="P16"/>
  <c r="D3" i="35"/>
  <c r="G4" i="4"/>
  <c r="S37" i="34"/>
  <c r="J16" i="35"/>
  <c r="W16"/>
  <c r="AC26" i="36"/>
  <c r="W25" i="35"/>
  <c r="AZ354" i="3"/>
  <c r="H11" i="37"/>
  <c r="AB11"/>
  <c r="W37"/>
  <c r="AA30" i="33"/>
  <c r="AA36" i="37"/>
  <c r="S42" i="33"/>
  <c r="U32"/>
  <c r="AB17" i="37"/>
  <c r="AZ516" i="3"/>
  <c r="AZ524"/>
  <c r="AZ532"/>
  <c r="AZ546"/>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H35" i="37"/>
  <c r="AB35"/>
  <c r="S26" i="21"/>
  <c r="AB12"/>
  <c r="AB26"/>
  <c r="U26"/>
  <c r="S33"/>
  <c r="U39"/>
  <c r="W9"/>
  <c r="AC5" i="3"/>
  <c r="F40" i="21"/>
  <c r="S40"/>
  <c r="H40"/>
  <c r="AB40"/>
  <c r="E119"/>
  <c r="F119"/>
  <c r="G119"/>
  <c r="H119"/>
  <c r="I119"/>
  <c r="J119"/>
  <c r="K119"/>
  <c r="L119"/>
  <c r="M119"/>
  <c r="AA8" i="33"/>
  <c r="S8"/>
  <c r="AC8"/>
  <c r="H66"/>
  <c r="F10"/>
  <c r="AA10"/>
  <c r="F11"/>
  <c r="S11"/>
  <c r="J15"/>
  <c r="W15"/>
  <c r="H19"/>
  <c r="AB19"/>
  <c r="F32"/>
  <c r="AA32"/>
  <c r="J32"/>
  <c r="AC32"/>
  <c r="F35"/>
  <c r="AA35"/>
  <c r="AB39" i="34"/>
  <c r="F11"/>
  <c r="S11"/>
  <c r="E80"/>
  <c r="F80"/>
  <c r="G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43" i="39"/>
  <c r="H43"/>
  <c r="U43"/>
  <c r="J43"/>
  <c r="W43"/>
  <c r="F99" i="37"/>
  <c r="AC27"/>
  <c r="U25" i="35"/>
  <c r="S45" i="34"/>
  <c r="U31"/>
  <c r="AC40" i="37"/>
  <c r="W40"/>
  <c r="W27" i="33"/>
  <c r="AC45" i="21"/>
  <c r="S28" i="33"/>
  <c r="S14" i="21"/>
  <c r="AA44" i="34"/>
  <c r="AB29" i="35"/>
  <c r="U29"/>
  <c r="AC19" i="33"/>
  <c r="W19"/>
  <c r="U43" i="34"/>
  <c r="AB43"/>
  <c r="AC34" i="37"/>
  <c r="S35"/>
  <c r="AA35"/>
  <c r="AB10" i="35"/>
  <c r="U38" i="21"/>
  <c r="AB34"/>
  <c r="BL571" i="3"/>
  <c r="BA571"/>
  <c r="AZ571"/>
  <c r="BL570"/>
  <c r="BE5"/>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21" i="39"/>
  <c r="S21"/>
  <c r="H21"/>
  <c r="J21"/>
  <c r="W21"/>
  <c r="F33"/>
  <c r="H33"/>
  <c r="U33"/>
  <c r="J33"/>
  <c r="F44"/>
  <c r="S44"/>
  <c r="H44"/>
  <c r="U44"/>
  <c r="J44"/>
  <c r="W44"/>
  <c r="E128"/>
  <c r="F128"/>
  <c r="G128"/>
  <c r="H128"/>
  <c r="I128"/>
  <c r="J128"/>
  <c r="K128"/>
  <c r="L128"/>
  <c r="M128"/>
  <c r="F46"/>
  <c r="S46"/>
  <c r="H46"/>
  <c r="U46"/>
  <c r="J46"/>
  <c r="W46"/>
  <c r="E103"/>
  <c r="F103" s="1"/>
  <c r="G103" s="1"/>
  <c r="F29"/>
  <c r="H29"/>
  <c r="U29" s="1"/>
  <c r="F34"/>
  <c r="AA34"/>
  <c r="H34"/>
  <c r="AB34"/>
  <c r="J34"/>
  <c r="AC34" s="1"/>
  <c r="F39"/>
  <c r="H39"/>
  <c r="AB39"/>
  <c r="J39"/>
  <c r="J29" i="35"/>
  <c r="AC29"/>
  <c r="F29"/>
  <c r="S29"/>
  <c r="W30" i="36"/>
  <c r="AC30"/>
  <c r="F37" i="39"/>
  <c r="S37"/>
  <c r="H37"/>
  <c r="U37"/>
  <c r="J37"/>
  <c r="W37"/>
  <c r="BL568" i="3"/>
  <c r="BA568"/>
  <c r="AZ568"/>
  <c r="BL567"/>
  <c r="BA567"/>
  <c r="AZ567"/>
  <c r="BL566"/>
  <c r="AZ566"/>
  <c r="BL565"/>
  <c r="AZ565"/>
  <c r="BA564"/>
  <c r="AZ564"/>
  <c r="BA563"/>
  <c r="AZ563"/>
  <c r="BL554"/>
  <c r="AZ554"/>
  <c r="BA553"/>
  <c r="AZ553"/>
  <c r="BA552"/>
  <c r="AZ552"/>
  <c r="BL549"/>
  <c r="AZ549"/>
  <c r="BA549"/>
  <c r="BL548"/>
  <c r="BA548"/>
  <c r="BL547"/>
  <c r="AZ547"/>
  <c r="BA547"/>
  <c r="BL539"/>
  <c r="BA539"/>
  <c r="AZ539"/>
  <c r="BA538"/>
  <c r="BL537"/>
  <c r="BA537"/>
  <c r="BL536"/>
  <c r="AZ536"/>
  <c r="BA535"/>
  <c r="AZ535"/>
  <c r="BA534"/>
  <c r="AZ534"/>
  <c r="BA533"/>
  <c r="AZ533"/>
  <c r="BL531"/>
  <c r="AZ531"/>
  <c r="BL530"/>
  <c r="BA530"/>
  <c r="AZ530"/>
  <c r="BL529"/>
  <c r="BA529"/>
  <c r="BL528"/>
  <c r="AZ528"/>
  <c r="BA527"/>
  <c r="AZ527"/>
  <c r="BA526"/>
  <c r="AZ526"/>
  <c r="BA525"/>
  <c r="AZ525"/>
  <c r="BL523"/>
  <c r="BA523"/>
  <c r="AZ523"/>
  <c r="BL522"/>
  <c r="BA522"/>
  <c r="AZ522"/>
  <c r="BL521"/>
  <c r="AZ521"/>
  <c r="BA519"/>
  <c r="AZ519"/>
  <c r="BL518"/>
  <c r="BA518"/>
  <c r="AZ518"/>
  <c r="BL517"/>
  <c r="BA517"/>
  <c r="AZ517"/>
  <c r="BL515"/>
  <c r="BA515"/>
  <c r="AZ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AZ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c r="H114"/>
  <c r="I114"/>
  <c r="J114"/>
  <c r="K114"/>
  <c r="L114"/>
  <c r="M114"/>
  <c r="H38"/>
  <c r="U38"/>
  <c r="H30" i="40"/>
  <c r="AB30"/>
  <c r="G100"/>
  <c r="J30"/>
  <c r="AC30"/>
  <c r="F38"/>
  <c r="AA38"/>
  <c r="AA36" i="34"/>
  <c r="AC12" i="21"/>
  <c r="W12"/>
  <c r="AB10"/>
  <c r="U8"/>
  <c r="AB8"/>
  <c r="S34"/>
  <c r="AC36"/>
  <c r="AB8" i="33"/>
  <c r="U8"/>
  <c r="E106"/>
  <c r="H34"/>
  <c r="U34"/>
  <c r="F34"/>
  <c r="S34"/>
  <c r="E121"/>
  <c r="F121"/>
  <c r="G121"/>
  <c r="H121"/>
  <c r="I121"/>
  <c r="J121"/>
  <c r="K121"/>
  <c r="L121"/>
  <c r="M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E97"/>
  <c r="F97" s="1"/>
  <c r="G97" s="1"/>
  <c r="F23"/>
  <c r="H27"/>
  <c r="AB27" s="1"/>
  <c r="J27"/>
  <c r="AC27" s="1"/>
  <c r="F15" i="40"/>
  <c r="AA15"/>
  <c r="J15"/>
  <c r="H15"/>
  <c r="AB15"/>
  <c r="E92"/>
  <c r="F92"/>
  <c r="G92"/>
  <c r="H23"/>
  <c r="U23"/>
  <c r="H41"/>
  <c r="AB41"/>
  <c r="F41"/>
  <c r="AA41"/>
  <c r="J41"/>
  <c r="AC41"/>
  <c r="H36" i="33"/>
  <c r="AB36"/>
  <c r="H37" i="34"/>
  <c r="F15" i="39"/>
  <c r="AA15"/>
  <c r="H15"/>
  <c r="U15"/>
  <c r="J15"/>
  <c r="AC15"/>
  <c r="H25"/>
  <c r="U25" s="1"/>
  <c r="J25"/>
  <c r="AC25" s="1"/>
  <c r="F25"/>
  <c r="AA25" s="1"/>
  <c r="F45"/>
  <c r="AA45"/>
  <c r="H45"/>
  <c r="U45"/>
  <c r="J45"/>
  <c r="AC45"/>
  <c r="F47"/>
  <c r="AA47"/>
  <c r="H47"/>
  <c r="AB47"/>
  <c r="J47"/>
  <c r="W47"/>
  <c r="E94" i="40"/>
  <c r="F94"/>
  <c r="G94"/>
  <c r="J25"/>
  <c r="AC25"/>
  <c r="J32"/>
  <c r="AC32"/>
  <c r="H32"/>
  <c r="U32"/>
  <c r="H33"/>
  <c r="AB33"/>
  <c r="F33"/>
  <c r="AA33"/>
  <c r="J33"/>
  <c r="AC33"/>
  <c r="H35"/>
  <c r="AB35"/>
  <c r="F35"/>
  <c r="AA35"/>
  <c r="J35"/>
  <c r="AC35"/>
  <c r="J38" i="39"/>
  <c r="W38"/>
  <c r="H38"/>
  <c r="U38"/>
  <c r="J16" i="40"/>
  <c r="W16"/>
  <c r="J14"/>
  <c r="W14"/>
  <c r="H42"/>
  <c r="H40"/>
  <c r="U40"/>
  <c r="H34"/>
  <c r="U34"/>
  <c r="AZ391" i="3"/>
  <c r="AZ399"/>
  <c r="AZ403"/>
  <c r="AZ407"/>
  <c r="AZ415"/>
  <c r="AZ423"/>
  <c r="AZ431"/>
  <c r="AZ439"/>
  <c r="AZ454"/>
  <c r="B41" i="1"/>
  <c r="J42" i="40"/>
  <c r="AC42"/>
  <c r="J40"/>
  <c r="AC40"/>
  <c r="J34"/>
  <c r="AC34"/>
  <c r="H16"/>
  <c r="AB16"/>
  <c r="H14"/>
  <c r="U14"/>
  <c r="F32"/>
  <c r="AA32"/>
  <c r="AZ401" i="3"/>
  <c r="AZ428"/>
  <c r="AZ433"/>
  <c r="AZ436"/>
  <c r="AZ441"/>
  <c r="AZ444"/>
  <c r="AZ449"/>
  <c r="AZ452"/>
  <c r="M1" i="46"/>
  <c r="M6"/>
  <c r="M10"/>
  <c r="N2"/>
  <c r="N5"/>
  <c r="F58"/>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J13" i="40"/>
  <c r="W13"/>
  <c r="AB14"/>
  <c r="F34" i="44"/>
  <c r="F27" i="43"/>
  <c r="F66" i="9"/>
  <c r="P72"/>
  <c r="F71"/>
  <c r="F72"/>
  <c r="AC14" i="40"/>
  <c r="W35"/>
  <c r="S33"/>
  <c r="AB32"/>
  <c r="AC47" i="39"/>
  <c r="U37" i="34"/>
  <c r="AB37"/>
  <c r="W41" i="40"/>
  <c r="J23"/>
  <c r="AC23"/>
  <c r="F23"/>
  <c r="S23"/>
  <c r="AC15"/>
  <c r="W15"/>
  <c r="AB16" i="39"/>
  <c r="W14"/>
  <c r="U23" i="35"/>
  <c r="AB23"/>
  <c r="H20"/>
  <c r="F20"/>
  <c r="S20"/>
  <c r="H15" i="34"/>
  <c r="AB15"/>
  <c r="F78"/>
  <c r="G78"/>
  <c r="J15"/>
  <c r="AC15"/>
  <c r="H41" i="33"/>
  <c r="U41"/>
  <c r="F30" i="40"/>
  <c r="AA30"/>
  <c r="H100"/>
  <c r="I100"/>
  <c r="J100"/>
  <c r="K100"/>
  <c r="L100"/>
  <c r="M100"/>
  <c r="AB38" i="34"/>
  <c r="AZ486" i="3"/>
  <c r="AZ504"/>
  <c r="AZ529"/>
  <c r="AZ537"/>
  <c r="AZ548"/>
  <c r="AB37" i="39"/>
  <c r="U39"/>
  <c r="J29"/>
  <c r="AC29" s="1"/>
  <c r="AB21"/>
  <c r="U21"/>
  <c r="AB33" i="36"/>
  <c r="AA11"/>
  <c r="AA14" i="35"/>
  <c r="S14"/>
  <c r="G99" i="37"/>
  <c r="H99"/>
  <c r="I99"/>
  <c r="J99"/>
  <c r="K99"/>
  <c r="L99"/>
  <c r="M99"/>
  <c r="F33"/>
  <c r="U46" i="34"/>
  <c r="AC30"/>
  <c r="AA14"/>
  <c r="W12"/>
  <c r="U29" i="33"/>
  <c r="AC13"/>
  <c r="U17" i="34"/>
  <c r="AA11"/>
  <c r="W32" i="33"/>
  <c r="H15"/>
  <c r="U15"/>
  <c r="AA11"/>
  <c r="AA40" i="21"/>
  <c r="U16" i="40"/>
  <c r="AB34"/>
  <c r="AB42"/>
  <c r="U42"/>
  <c r="AC16"/>
  <c r="W32"/>
  <c r="H25"/>
  <c r="AB25"/>
  <c r="W15" i="39"/>
  <c r="J37" i="34"/>
  <c r="AC37"/>
  <c r="J36" i="33"/>
  <c r="W36"/>
  <c r="AB23" i="40"/>
  <c r="H23" i="39"/>
  <c r="AB23" s="1"/>
  <c r="J23"/>
  <c r="AC23" s="1"/>
  <c r="S16"/>
  <c r="S15" i="34"/>
  <c r="AA15"/>
  <c r="AA41" i="33"/>
  <c r="F106"/>
  <c r="G106"/>
  <c r="H106"/>
  <c r="I106"/>
  <c r="J106"/>
  <c r="K106"/>
  <c r="L106"/>
  <c r="M106"/>
  <c r="J34"/>
  <c r="AC34"/>
  <c r="U30" i="40"/>
  <c r="AA37" i="39"/>
  <c r="W29" i="35"/>
  <c r="AC39" i="39"/>
  <c r="W39"/>
  <c r="AA39"/>
  <c r="S39"/>
  <c r="U34"/>
  <c r="AB46"/>
  <c r="AB44"/>
  <c r="AC33"/>
  <c r="W33"/>
  <c r="AA33"/>
  <c r="S33"/>
  <c r="U11" i="36"/>
  <c r="F80" i="35"/>
  <c r="G80"/>
  <c r="H80"/>
  <c r="I80"/>
  <c r="J80"/>
  <c r="K80"/>
  <c r="L80"/>
  <c r="M80"/>
  <c r="W14"/>
  <c r="F90" i="34"/>
  <c r="G90"/>
  <c r="H90"/>
  <c r="I90"/>
  <c r="J90"/>
  <c r="K90"/>
  <c r="L90"/>
  <c r="M90"/>
  <c r="F27"/>
  <c r="S27"/>
  <c r="AC43" i="39"/>
  <c r="AA43"/>
  <c r="S43"/>
  <c r="G96" i="37"/>
  <c r="H96"/>
  <c r="I96"/>
  <c r="J96"/>
  <c r="K96"/>
  <c r="L96"/>
  <c r="M96"/>
  <c r="F32"/>
  <c r="S32"/>
  <c r="U11" i="35"/>
  <c r="AB11"/>
  <c r="S46" i="34"/>
  <c r="U32"/>
  <c r="U14"/>
  <c r="AC14"/>
  <c r="U12"/>
  <c r="AB13" i="33"/>
  <c r="F17" i="34"/>
  <c r="AA17"/>
  <c r="J17"/>
  <c r="AC17"/>
  <c r="H11"/>
  <c r="AB11"/>
  <c r="J35" i="33"/>
  <c r="W35"/>
  <c r="S32"/>
  <c r="AC15"/>
  <c r="H11"/>
  <c r="U11"/>
  <c r="H10"/>
  <c r="U10"/>
  <c r="I66"/>
  <c r="J10"/>
  <c r="AC10"/>
  <c r="U40" i="21"/>
  <c r="U11" i="37"/>
  <c r="AC16" i="35"/>
  <c r="J11" i="34"/>
  <c r="W11"/>
  <c r="S17"/>
  <c r="AC36" i="33"/>
  <c r="F25" i="40"/>
  <c r="AA25"/>
  <c r="J11" i="33"/>
  <c r="W11"/>
  <c r="H33" i="37"/>
  <c r="AB33"/>
  <c r="W15" i="34"/>
  <c r="U20" i="35"/>
  <c r="AB20"/>
  <c r="W23" i="40"/>
  <c r="D73" i="9"/>
  <c r="N73"/>
  <c r="AP11" i="1"/>
  <c r="B11"/>
  <c r="E11"/>
  <c r="K11"/>
  <c r="M11" s="1"/>
  <c r="B9"/>
  <c r="E9"/>
  <c r="K9"/>
  <c r="M9" s="1"/>
  <c r="B7"/>
  <c r="E7"/>
  <c r="K7"/>
  <c r="M7" s="1"/>
  <c r="C20" i="43"/>
  <c r="G11" i="1"/>
  <c r="M22" i="44"/>
  <c r="F32" i="15"/>
  <c r="F59"/>
  <c r="F29" i="12"/>
  <c r="F70" i="9"/>
  <c r="D86"/>
  <c r="M20" i="44"/>
  <c r="F31" i="43"/>
  <c r="F30" i="44"/>
  <c r="AC25" i="36"/>
  <c r="S23"/>
  <c r="S8"/>
  <c r="AA26"/>
  <c r="AA28"/>
  <c r="U25"/>
  <c r="H20"/>
  <c r="U20"/>
  <c r="F68"/>
  <c r="G68"/>
  <c r="J20"/>
  <c r="AC20"/>
  <c r="F20"/>
  <c r="S20"/>
  <c r="F62"/>
  <c r="G62"/>
  <c r="J14"/>
  <c r="H14"/>
  <c r="F14"/>
  <c r="AA14"/>
  <c r="W20"/>
  <c r="U27"/>
  <c r="U32"/>
  <c r="AB12"/>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AC11"/>
  <c r="W10"/>
  <c r="U10"/>
  <c r="W37"/>
  <c r="AC40"/>
  <c r="W44"/>
  <c r="W19"/>
  <c r="W29"/>
  <c r="AC21"/>
  <c r="W21"/>
  <c r="U15"/>
  <c r="AB21"/>
  <c r="U21"/>
  <c r="U27"/>
  <c r="U19"/>
  <c r="AB41"/>
  <c r="S13"/>
  <c r="AA41"/>
  <c r="S9"/>
  <c r="S10"/>
  <c r="U39" i="33"/>
  <c r="U37"/>
  <c r="S35"/>
  <c r="W34"/>
  <c r="AC12"/>
  <c r="AB11"/>
  <c r="AB41"/>
  <c r="U36"/>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U25"/>
  <c r="AB21"/>
  <c r="U21"/>
  <c r="AA21"/>
  <c r="S21"/>
  <c r="AA44"/>
  <c r="AA36"/>
  <c r="S44" i="21"/>
  <c r="W39"/>
  <c r="AC34"/>
  <c r="W43"/>
  <c r="W28"/>
  <c r="AC46"/>
  <c r="AC26"/>
  <c r="AC11"/>
  <c r="AB11"/>
  <c r="W13"/>
  <c r="AA11"/>
  <c r="W44"/>
  <c r="W10"/>
  <c r="AC38"/>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S11"/>
  <c r="AB45"/>
  <c r="AA21"/>
  <c r="AC38"/>
  <c r="AC21"/>
  <c r="S14"/>
  <c r="AB15"/>
  <c r="U11"/>
  <c r="AB38"/>
  <c r="S38"/>
  <c r="S22" i="31"/>
  <c r="B22" i="63"/>
  <c r="M20" i="15"/>
  <c r="D96" i="9"/>
  <c r="F28" i="15"/>
  <c r="M18"/>
  <c r="A18" i="64"/>
  <c r="B74" i="63"/>
  <c r="C53" i="10"/>
  <c r="A25" i="64" s="1"/>
  <c r="A18" i="51"/>
  <c r="B14" i="63"/>
  <c r="BA16" i="3"/>
  <c r="BA17"/>
  <c r="AZ17"/>
  <c r="F3" i="35"/>
  <c r="K1" i="43"/>
  <c r="K1" i="12"/>
  <c r="AZ15" i="3"/>
  <c r="BK5"/>
  <c r="BO5"/>
  <c r="BP5"/>
  <c r="BN5"/>
  <c r="BL18"/>
  <c r="AZ18"/>
  <c r="BC5"/>
  <c r="E8" i="6" s="1"/>
  <c r="BD5" i="3"/>
  <c r="BR5"/>
  <c r="G28" i="6"/>
  <c r="BS5" i="3"/>
  <c r="BQ5"/>
  <c r="BL16"/>
  <c r="BM5"/>
  <c r="H48" i="46"/>
  <c r="H52"/>
  <c r="H53"/>
  <c r="G28" i="12"/>
  <c r="G22" i="43"/>
  <c r="G26" i="12"/>
  <c r="D24" i="44"/>
  <c r="D26"/>
  <c r="G27" i="12"/>
  <c r="G23" i="43"/>
  <c r="G21"/>
  <c r="H54" i="46"/>
  <c r="H50"/>
  <c r="H55"/>
  <c r="H51"/>
  <c r="E11"/>
  <c r="E10"/>
  <c r="N8"/>
  <c r="N4"/>
  <c r="N1"/>
  <c r="M9"/>
  <c r="M2"/>
  <c r="N11"/>
  <c r="N9"/>
  <c r="F69"/>
  <c r="H71"/>
  <c r="M4"/>
  <c r="M12"/>
  <c r="M8"/>
  <c r="M3"/>
  <c r="M5"/>
  <c r="C6"/>
  <c r="H6" i="48"/>
  <c r="E9" i="46"/>
  <c r="H15" i="48"/>
  <c r="H5"/>
  <c r="H14"/>
  <c r="F38" i="46"/>
  <c r="F36"/>
  <c r="F34"/>
  <c r="J17"/>
  <c r="C17"/>
  <c r="C16"/>
  <c r="F39"/>
  <c r="H13" i="48"/>
  <c r="H11"/>
  <c r="E8" i="46"/>
  <c r="C7"/>
  <c r="I17"/>
  <c r="C5"/>
  <c r="E17"/>
  <c r="D71"/>
  <c r="D84"/>
  <c r="E80"/>
  <c r="B78"/>
  <c r="D69"/>
  <c r="E47"/>
  <c r="E58"/>
  <c r="B56"/>
  <c r="A4" i="64"/>
  <c r="A4" i="51"/>
  <c r="C51" i="10"/>
  <c r="H58" i="46"/>
  <c r="H61"/>
  <c r="H62"/>
  <c r="H75"/>
  <c r="I100"/>
  <c r="C24"/>
  <c r="N100"/>
  <c r="H100"/>
  <c r="F108"/>
  <c r="H80"/>
  <c r="B45"/>
  <c r="E100"/>
  <c r="G100"/>
  <c r="H84"/>
  <c r="H65"/>
  <c r="H66"/>
  <c r="C100"/>
  <c r="J100"/>
  <c r="M100"/>
  <c r="AA12" i="36"/>
  <c r="U12" i="35"/>
  <c r="AB12"/>
  <c r="W11"/>
  <c r="AA11"/>
  <c r="S14" i="37"/>
  <c r="U13"/>
  <c r="S13" i="21"/>
  <c r="C24" i="9"/>
  <c r="C25"/>
  <c r="AP7" i="1"/>
  <c r="G7"/>
  <c r="AP9"/>
  <c r="G9"/>
  <c r="AP8"/>
  <c r="G8"/>
  <c r="B6" i="63"/>
  <c r="L5" i="54"/>
  <c r="B39" i="63"/>
  <c r="K5" i="54"/>
  <c r="B38" i="63"/>
  <c r="T41" i="4"/>
  <c r="A17" i="64"/>
  <c r="B46" i="50"/>
  <c r="B4" i="63"/>
  <c r="H73" i="46"/>
  <c r="H74"/>
  <c r="H86"/>
  <c r="H82"/>
  <c r="H63"/>
  <c r="H59"/>
  <c r="H64"/>
  <c r="H60"/>
  <c r="H10" i="48"/>
  <c r="H87" i="46"/>
  <c r="H85"/>
  <c r="H83"/>
  <c r="K10" i="1"/>
  <c r="M10" s="1"/>
  <c r="O10" s="1"/>
  <c r="P10" s="1"/>
  <c r="S11"/>
  <c r="R11"/>
  <c r="S13"/>
  <c r="R13"/>
  <c r="B6"/>
  <c r="E6"/>
  <c r="B10"/>
  <c r="E10"/>
  <c r="S10"/>
  <c r="B8"/>
  <c r="E8"/>
  <c r="B12"/>
  <c r="E12"/>
  <c r="S12"/>
  <c r="K6"/>
  <c r="F66" i="36"/>
  <c r="H18"/>
  <c r="AB18"/>
  <c r="U16"/>
  <c r="S25"/>
  <c r="AA34"/>
  <c r="U23"/>
  <c r="AC27"/>
  <c r="W28"/>
  <c r="AA32"/>
  <c r="U13"/>
  <c r="AA22"/>
  <c r="U10"/>
  <c r="AA13"/>
  <c r="W29"/>
  <c r="W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39" i="21"/>
  <c r="AB25"/>
  <c r="AB45"/>
  <c r="W25"/>
  <c r="AA25"/>
  <c r="AA29"/>
  <c r="U27"/>
  <c r="W31"/>
  <c r="S27"/>
  <c r="W29"/>
  <c r="G96" i="40"/>
  <c r="J27"/>
  <c r="W27"/>
  <c r="W37"/>
  <c r="S17"/>
  <c r="W30"/>
  <c r="S34"/>
  <c r="U17"/>
  <c r="U38"/>
  <c r="S40"/>
  <c r="S42"/>
  <c r="J31" i="39"/>
  <c r="AC31" s="1"/>
  <c r="S45"/>
  <c r="AB43"/>
  <c r="AB33"/>
  <c r="AC46"/>
  <c r="S34"/>
  <c r="W42"/>
  <c r="W36"/>
  <c r="W23"/>
  <c r="AC37"/>
  <c r="U14"/>
  <c r="W16"/>
  <c r="S15"/>
  <c r="W45"/>
  <c r="AA44"/>
  <c r="AA46"/>
  <c r="W10"/>
  <c r="W11"/>
  <c r="U42"/>
  <c r="W40"/>
  <c r="S32" i="40"/>
  <c r="C27" i="39"/>
  <c r="C17" i="40"/>
  <c r="C19"/>
  <c r="C17" i="39"/>
  <c r="C19"/>
  <c r="C21"/>
  <c r="C23" i="40"/>
  <c r="B48" i="46"/>
  <c r="B51"/>
  <c r="B55"/>
  <c r="B59"/>
  <c r="B62"/>
  <c r="B66"/>
  <c r="B53"/>
  <c r="B64"/>
  <c r="B4" i="52"/>
  <c r="D24" i="15"/>
  <c r="F29" i="6"/>
  <c r="F28"/>
  <c r="E28"/>
  <c r="K14" i="1"/>
  <c r="S14" i="36"/>
  <c r="AB20"/>
  <c r="AA20"/>
  <c r="AC14"/>
  <c r="W14"/>
  <c r="U14"/>
  <c r="AB14"/>
  <c r="U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AB39" i="40"/>
  <c r="U39"/>
  <c r="AC39"/>
  <c r="W39"/>
  <c r="AA39"/>
  <c r="S39"/>
  <c r="U37"/>
  <c r="AB37"/>
  <c r="AA37"/>
  <c r="S37"/>
  <c r="U29"/>
  <c r="AB29"/>
  <c r="AC29"/>
  <c r="W29"/>
  <c r="AA29"/>
  <c r="S29"/>
  <c r="W19"/>
  <c r="AC19"/>
  <c r="AA19"/>
  <c r="S19"/>
  <c r="AB19"/>
  <c r="U19"/>
  <c r="B20" i="31"/>
  <c r="R22"/>
  <c r="B21"/>
  <c r="A17" i="51"/>
  <c r="B13" i="63"/>
  <c r="E5" i="6"/>
  <c r="G29"/>
  <c r="E29"/>
  <c r="L19"/>
  <c r="AZ16" i="3"/>
  <c r="E14" i="6"/>
  <c r="E66" i="39" s="1"/>
  <c r="E15" i="6"/>
  <c r="F30"/>
  <c r="E13"/>
  <c r="E65" i="39" s="1"/>
  <c r="H70" i="46"/>
  <c r="A9" i="64"/>
  <c r="A9" i="51"/>
  <c r="B9" i="63"/>
  <c r="A25" i="51"/>
  <c r="B18" i="63" s="1"/>
  <c r="A3" i="55"/>
  <c r="B56" i="63"/>
  <c r="E4" i="4"/>
  <c r="B21" i="55"/>
  <c r="C4" i="4"/>
  <c r="G66" i="36"/>
  <c r="J18"/>
  <c r="AE8" i="1"/>
  <c r="F33" i="44"/>
  <c r="F31" i="15"/>
  <c r="F58"/>
  <c r="M17"/>
  <c r="M19" i="44"/>
  <c r="W18" i="36"/>
  <c r="AC18"/>
  <c r="AG6" i="1"/>
  <c r="L20" i="6"/>
  <c r="E30"/>
  <c r="K15" i="1"/>
  <c r="E61" i="40"/>
  <c r="B72" i="63"/>
  <c r="B20" i="55"/>
  <c r="B70" i="63"/>
  <c r="S8" i="1"/>
  <c r="S9"/>
  <c r="R9"/>
  <c r="R8"/>
  <c r="L46" i="15"/>
  <c r="C45" i="9"/>
  <c r="H14" i="66"/>
  <c r="B7"/>
  <c r="C44" i="9"/>
  <c r="G14" i="66"/>
  <c r="B6"/>
  <c r="O40" i="9"/>
  <c r="K31"/>
  <c r="K32"/>
  <c r="R7" i="54"/>
  <c r="B52" i="63"/>
  <c r="N69" i="9"/>
  <c r="M86"/>
  <c r="N86"/>
  <c r="K29"/>
  <c r="K30"/>
  <c r="N76"/>
  <c r="C46"/>
  <c r="K33"/>
  <c r="O41"/>
  <c r="I14" i="66"/>
  <c r="B8"/>
  <c r="K34" i="9"/>
  <c r="R8" i="54"/>
  <c r="B54" i="63"/>
  <c r="M83" i="9"/>
  <c r="N83"/>
  <c r="N89"/>
  <c r="O89"/>
  <c r="M85"/>
  <c r="N85"/>
  <c r="M87"/>
  <c r="N87"/>
  <c r="M88"/>
  <c r="N88"/>
  <c r="M84"/>
  <c r="N84"/>
  <c r="O39"/>
  <c r="R6" i="54"/>
  <c r="B50" i="63"/>
  <c r="E62" i="40"/>
  <c r="E67" i="39"/>
  <c r="M6" i="1"/>
  <c r="AA29" i="39"/>
  <c r="S29"/>
  <c r="AZ520" i="3"/>
  <c r="D21" i="12"/>
  <c r="C21" s="1"/>
  <c r="D12" i="11"/>
  <c r="C12" s="1"/>
  <c r="AC27" i="40"/>
  <c r="E69" i="46"/>
  <c r="B67"/>
  <c r="G30" i="6"/>
  <c r="G31"/>
  <c r="AA23" i="39"/>
  <c r="S23"/>
  <c r="F37" i="21"/>
  <c r="J37"/>
  <c r="H37"/>
  <c r="H113"/>
  <c r="H72" i="46"/>
  <c r="E11" i="6"/>
  <c r="E10"/>
  <c r="E12"/>
  <c r="H69" i="46"/>
  <c r="H77"/>
  <c r="H76"/>
  <c r="AB10" i="33"/>
  <c r="AC35"/>
  <c r="U11" i="34"/>
  <c r="W17"/>
  <c r="AC13" i="40"/>
  <c r="AA34" i="33"/>
  <c r="S41" i="40"/>
  <c r="U47" i="39"/>
  <c r="W34" i="40"/>
  <c r="AA29" i="35"/>
  <c r="U41" i="40"/>
  <c r="S47" i="39"/>
  <c r="W40" i="40"/>
  <c r="H47" i="46"/>
  <c r="AA36" i="35"/>
  <c r="AB15" i="37"/>
  <c r="U12"/>
  <c r="S27"/>
  <c r="AC41" i="34"/>
  <c r="U28" i="21"/>
  <c r="S45"/>
  <c r="AA27" i="33"/>
  <c r="W31" i="34"/>
  <c r="AB14" i="21"/>
  <c r="U46"/>
  <c r="AB13"/>
  <c r="AB40" i="37"/>
  <c r="W46" i="33"/>
  <c r="W35" i="35"/>
  <c r="H5" i="3"/>
  <c r="J9" i="33"/>
  <c r="H9"/>
  <c r="F9"/>
  <c r="F9" i="36"/>
  <c r="H9"/>
  <c r="H24"/>
  <c r="G553" i="3"/>
  <c r="G548"/>
  <c r="AZ392"/>
  <c r="AZ397"/>
  <c r="AZ408"/>
  <c r="AZ413"/>
  <c r="AZ424"/>
  <c r="AZ437"/>
  <c r="AZ451"/>
  <c r="AZ457"/>
  <c r="AZ470"/>
  <c r="AZ473"/>
  <c r="AZ350"/>
  <c r="AZ211"/>
  <c r="AZ227"/>
  <c r="AZ240"/>
  <c r="AZ243"/>
  <c r="AZ279"/>
  <c r="AZ113"/>
  <c r="AZ116"/>
  <c r="AZ129"/>
  <c r="AZ132"/>
  <c r="AZ145"/>
  <c r="AZ148"/>
  <c r="G536"/>
  <c r="G524"/>
  <c r="G512"/>
  <c r="AZ447"/>
  <c r="AZ387"/>
  <c r="AZ216"/>
  <c r="AZ219"/>
  <c r="AZ235"/>
  <c r="AZ251"/>
  <c r="AZ271"/>
  <c r="AZ287"/>
  <c r="AZ156"/>
  <c r="AZ159"/>
  <c r="AZ21"/>
  <c r="D1" i="57"/>
  <c r="E10"/>
  <c r="I21"/>
  <c r="D35" i="59"/>
  <c r="T35"/>
  <c r="D23"/>
  <c r="T23"/>
  <c r="A2" i="55"/>
  <c r="B55" i="63"/>
  <c r="AZ172" i="3"/>
  <c r="AZ175"/>
  <c r="AZ28"/>
  <c r="AZ34"/>
  <c r="AZ37"/>
  <c r="AZ44"/>
  <c r="AZ50"/>
  <c r="AZ53"/>
  <c r="AZ60"/>
  <c r="AZ72"/>
  <c r="AZ77"/>
  <c r="AZ92"/>
  <c r="AZ97"/>
  <c r="AZ108"/>
  <c r="H31" i="39"/>
  <c r="U31" s="1"/>
  <c r="F31"/>
  <c r="S31" s="1"/>
  <c r="AA21" i="21"/>
  <c r="S21"/>
  <c r="D42" i="59"/>
  <c r="C43"/>
  <c r="C17"/>
  <c r="Y16"/>
  <c r="Z16"/>
  <c r="Y8"/>
  <c r="Z8"/>
  <c r="Y10"/>
  <c r="Z10"/>
  <c r="Y3"/>
  <c r="Z3"/>
  <c r="K12" i="1"/>
  <c r="M12" s="1"/>
  <c r="D23" i="15"/>
  <c r="J21" i="21"/>
  <c r="H21"/>
  <c r="B54" i="46"/>
  <c r="C27" i="40"/>
  <c r="S27"/>
  <c r="S21" i="34"/>
  <c r="S18" i="35"/>
  <c r="P49" i="59"/>
  <c r="D21"/>
  <c r="Y11"/>
  <c r="Z11"/>
  <c r="AA17"/>
  <c r="AA16"/>
  <c r="AA14"/>
  <c r="E21"/>
  <c r="E22"/>
  <c r="E23"/>
  <c r="U23"/>
  <c r="AA20"/>
  <c r="AB22"/>
  <c r="AB8"/>
  <c r="T55"/>
  <c r="C54"/>
  <c r="T63"/>
  <c r="C62"/>
  <c r="B11"/>
  <c r="X9"/>
  <c r="E11"/>
  <c r="AA11"/>
  <c r="AA8"/>
  <c r="L16" i="4"/>
  <c r="X12" i="59"/>
  <c r="AB12"/>
  <c r="F13"/>
  <c r="F14"/>
  <c r="F15"/>
  <c r="V15"/>
  <c r="Y13"/>
  <c r="Z13"/>
  <c r="AB14"/>
  <c r="Y15"/>
  <c r="Z15"/>
  <c r="X16"/>
  <c r="B17"/>
  <c r="B18"/>
  <c r="B19"/>
  <c r="S19"/>
  <c r="AB16"/>
  <c r="AB18"/>
  <c r="X20"/>
  <c r="AB20"/>
  <c r="F21"/>
  <c r="F22"/>
  <c r="F23"/>
  <c r="V23"/>
  <c r="Q49"/>
  <c r="Q48"/>
  <c r="T11"/>
  <c r="C10"/>
  <c r="AB12" i="46"/>
  <c r="AJ12"/>
  <c r="C6" i="59"/>
  <c r="T7"/>
  <c r="Y20"/>
  <c r="Z20"/>
  <c r="AB17"/>
  <c r="X13"/>
  <c r="Y12"/>
  <c r="Z12"/>
  <c r="F6"/>
  <c r="F5"/>
  <c r="V7"/>
  <c r="O76" i="9"/>
  <c r="K76"/>
  <c r="K77"/>
  <c r="K79"/>
  <c r="K81"/>
  <c r="X8" i="59"/>
  <c r="X10"/>
  <c r="Y6"/>
  <c r="Z6"/>
  <c r="P62" i="15"/>
  <c r="P75"/>
  <c r="X6" i="59"/>
  <c r="X5"/>
  <c r="X7"/>
  <c r="B7"/>
  <c r="BL13" i="3"/>
  <c r="BL5"/>
  <c r="F79" i="21"/>
  <c r="F17"/>
  <c r="H17"/>
  <c r="A28" i="64"/>
  <c r="AH10" i="46"/>
  <c r="AH12"/>
  <c r="AD10"/>
  <c r="AD12"/>
  <c r="Y21" i="59"/>
  <c r="Z21"/>
  <c r="AB19"/>
  <c r="X15"/>
  <c r="D11"/>
  <c r="AA7"/>
  <c r="AA3"/>
  <c r="AA9"/>
  <c r="Y7"/>
  <c r="Z7"/>
  <c r="AB7"/>
  <c r="AB6"/>
  <c r="AB3"/>
  <c r="AB9"/>
  <c r="AA6"/>
  <c r="Y5"/>
  <c r="Z5"/>
  <c r="AB5"/>
  <c r="G13" i="3"/>
  <c r="G14"/>
  <c r="G5"/>
  <c r="B3" s="1"/>
  <c r="BL14"/>
  <c r="BA14"/>
  <c r="BA5"/>
  <c r="E27" i="6" s="1"/>
  <c r="AA5" i="59"/>
  <c r="C20" i="46"/>
  <c r="I4" i="6"/>
  <c r="G3" i="46" s="1"/>
  <c r="AP6" i="1"/>
  <c r="G6"/>
  <c r="G16" s="1"/>
  <c r="I1" i="65"/>
  <c r="M43" i="9"/>
  <c r="D18"/>
  <c r="M44"/>
  <c r="E16" i="52"/>
  <c r="E8"/>
  <c r="B13"/>
  <c r="E21"/>
  <c r="E6"/>
  <c r="E85" i="21"/>
  <c r="F23" s="1"/>
  <c r="H32"/>
  <c r="F101"/>
  <c r="G101"/>
  <c r="J32"/>
  <c r="AC32" s="1"/>
  <c r="AZ14" i="3"/>
  <c r="Q16" i="1"/>
  <c r="F18" i="11" s="1"/>
  <c r="C18" s="1"/>
  <c r="G1" i="15"/>
  <c r="K16" i="1"/>
  <c r="M14"/>
  <c r="L27" i="6"/>
  <c r="G1" i="44"/>
  <c r="O6" i="1"/>
  <c r="AA17" i="21"/>
  <c r="S17"/>
  <c r="U21"/>
  <c r="AB21"/>
  <c r="D17" i="59"/>
  <c r="C18"/>
  <c r="AB9" i="36"/>
  <c r="U9"/>
  <c r="AC9" i="33"/>
  <c r="W9"/>
  <c r="E64" i="39"/>
  <c r="E59" i="40"/>
  <c r="C9" i="59"/>
  <c r="D9"/>
  <c r="D10"/>
  <c r="E10"/>
  <c r="E9"/>
  <c r="U11"/>
  <c r="B10"/>
  <c r="B9"/>
  <c r="S11"/>
  <c r="AA31" i="39"/>
  <c r="AA9" i="33"/>
  <c r="S9"/>
  <c r="E63" i="39"/>
  <c r="E58" i="40"/>
  <c r="W37" i="21"/>
  <c r="AC37"/>
  <c r="AB17"/>
  <c r="U17"/>
  <c r="J17"/>
  <c r="G79"/>
  <c r="AZ13" i="3"/>
  <c r="B6" i="59"/>
  <c r="B5"/>
  <c r="S7"/>
  <c r="C5"/>
  <c r="D5"/>
  <c r="D6"/>
  <c r="C61"/>
  <c r="D61"/>
  <c r="D62"/>
  <c r="D54"/>
  <c r="C53"/>
  <c r="D53"/>
  <c r="AC21" i="21"/>
  <c r="W21"/>
  <c r="D43" i="59"/>
  <c r="T43"/>
  <c r="AB31" i="39"/>
  <c r="AB24" i="36"/>
  <c r="U24"/>
  <c r="AA9"/>
  <c r="S9"/>
  <c r="AB9" i="33"/>
  <c r="U9"/>
  <c r="AB37" i="21"/>
  <c r="U37"/>
  <c r="AA37"/>
  <c r="S37"/>
  <c r="F85"/>
  <c r="G85" s="1"/>
  <c r="H23"/>
  <c r="J23"/>
  <c r="AC23" s="1"/>
  <c r="F32"/>
  <c r="S32" s="1"/>
  <c r="H101"/>
  <c r="I101"/>
  <c r="J101"/>
  <c r="K101"/>
  <c r="L101"/>
  <c r="M101"/>
  <c r="AB32"/>
  <c r="U32"/>
  <c r="K25" i="6"/>
  <c r="M25" s="1"/>
  <c r="I25" s="1"/>
  <c r="S25" s="1"/>
  <c r="E561" i="3"/>
  <c r="E535"/>
  <c r="E381"/>
  <c r="E427"/>
  <c r="E278"/>
  <c r="E94"/>
  <c r="E376"/>
  <c r="E253"/>
  <c r="E225"/>
  <c r="E537"/>
  <c r="E199"/>
  <c r="E54"/>
  <c r="E423"/>
  <c r="E452"/>
  <c r="E435"/>
  <c r="E475"/>
  <c r="E206"/>
  <c r="E333"/>
  <c r="E115"/>
  <c r="E195"/>
  <c r="E321"/>
  <c r="E266"/>
  <c r="I6"/>
  <c r="Z6"/>
  <c r="E520"/>
  <c r="E213"/>
  <c r="E536"/>
  <c r="E397"/>
  <c r="E462"/>
  <c r="E47"/>
  <c r="E545"/>
  <c r="E184"/>
  <c r="E482"/>
  <c r="E473"/>
  <c r="N6"/>
  <c r="E232"/>
  <c r="E68"/>
  <c r="E147"/>
  <c r="E439"/>
  <c r="E117"/>
  <c r="E231"/>
  <c r="E528"/>
  <c r="E470"/>
  <c r="E409"/>
  <c r="E349"/>
  <c r="E83"/>
  <c r="E186"/>
  <c r="E124"/>
  <c r="E311"/>
  <c r="E222"/>
  <c r="E263"/>
  <c r="E388"/>
  <c r="E424"/>
  <c r="E430"/>
  <c r="E82"/>
  <c r="E146"/>
  <c r="E164"/>
  <c r="E77"/>
  <c r="E99"/>
  <c r="E434"/>
  <c r="E262"/>
  <c r="E552"/>
  <c r="E101"/>
  <c r="E57"/>
  <c r="E274"/>
  <c r="E223"/>
  <c r="E463"/>
  <c r="E441"/>
  <c r="E32"/>
  <c r="E205"/>
  <c r="E292"/>
  <c r="E367"/>
  <c r="E547"/>
  <c r="E399"/>
  <c r="E426"/>
  <c r="E415"/>
  <c r="E447"/>
  <c r="E478"/>
  <c r="E60"/>
  <c r="E80"/>
  <c r="E33"/>
  <c r="E317"/>
  <c r="E75"/>
  <c r="E28"/>
  <c r="Q6"/>
  <c r="E357"/>
  <c r="E178"/>
  <c r="E141"/>
  <c r="E119"/>
  <c r="E179"/>
  <c r="J6"/>
  <c r="E168"/>
  <c r="E500"/>
  <c r="AS6"/>
  <c r="E48"/>
  <c r="E34"/>
  <c r="E97"/>
  <c r="E444"/>
  <c r="E438"/>
  <c r="E407"/>
  <c r="AE6"/>
  <c r="E383"/>
  <c r="E455"/>
  <c r="E550"/>
  <c r="E289"/>
  <c r="E247"/>
  <c r="E363"/>
  <c r="E136"/>
  <c r="E113"/>
  <c r="E568"/>
  <c r="E79"/>
  <c r="E85"/>
  <c r="E425"/>
  <c r="E539"/>
  <c r="E189"/>
  <c r="E37"/>
  <c r="E507"/>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25"/>
  <c r="E353"/>
  <c r="E286"/>
  <c r="E569"/>
  <c r="E396"/>
  <c r="E50"/>
  <c r="E183"/>
  <c r="AJ6"/>
  <c r="E216"/>
  <c r="E236"/>
  <c r="E320"/>
  <c r="E546"/>
  <c r="E392"/>
  <c r="E474"/>
  <c r="E45"/>
  <c r="E15"/>
  <c r="E373"/>
  <c r="E171"/>
  <c r="E284"/>
  <c r="E251"/>
  <c r="E360"/>
  <c r="E354"/>
  <c r="E42"/>
  <c r="E56"/>
  <c r="T6"/>
  <c r="E531"/>
  <c r="E181"/>
  <c r="E122"/>
  <c r="E144"/>
  <c r="E495"/>
  <c r="E269"/>
  <c r="E208"/>
  <c r="E219"/>
  <c r="E344"/>
  <c r="E338"/>
  <c r="E485"/>
  <c r="E506"/>
  <c r="E335"/>
  <c r="E562"/>
  <c r="E483"/>
  <c r="E571"/>
  <c r="E366"/>
  <c r="E518"/>
  <c r="E532"/>
  <c r="E497"/>
  <c r="E330"/>
  <c r="E167"/>
  <c r="E340"/>
  <c r="E566"/>
  <c r="E350"/>
  <c r="E515"/>
  <c r="E521"/>
  <c r="E553"/>
  <c r="E496"/>
  <c r="E494"/>
  <c r="E130"/>
  <c r="E273"/>
  <c r="E352"/>
  <c r="E542"/>
  <c r="E461"/>
  <c r="E563"/>
  <c r="E138"/>
  <c r="E254"/>
  <c r="E328"/>
  <c r="E112"/>
  <c r="E519"/>
  <c r="E341"/>
  <c r="E155"/>
  <c r="E268"/>
  <c r="E252"/>
  <c r="E316"/>
  <c r="E346"/>
  <c r="E175"/>
  <c r="E544"/>
  <c r="E318"/>
  <c r="E541"/>
  <c r="E565"/>
  <c r="E523"/>
  <c r="E380"/>
  <c r="E557"/>
  <c r="E503"/>
  <c r="E13"/>
  <c r="E560"/>
  <c r="E420"/>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O14" i="1"/>
  <c r="P14" s="1"/>
  <c r="P6"/>
  <c r="E3" i="6"/>
  <c r="AY6" i="3"/>
  <c r="C19" i="59"/>
  <c r="D18"/>
  <c r="AC17" i="21"/>
  <c r="W17"/>
  <c r="U23"/>
  <c r="AB23"/>
  <c r="W23"/>
  <c r="S6" i="46"/>
  <c r="S2"/>
  <c r="S7"/>
  <c r="S5"/>
  <c r="S3"/>
  <c r="S4"/>
  <c r="L38" i="9"/>
  <c r="B14" i="66" s="1"/>
  <c r="B1" s="1"/>
  <c r="C21" i="4"/>
  <c r="O5" i="54"/>
  <c r="B45" i="63" s="1"/>
  <c r="D45" i="9"/>
  <c r="D16" i="12"/>
  <c r="D19" s="1"/>
  <c r="C19" s="1"/>
  <c r="D46" i="9"/>
  <c r="D16" i="43"/>
  <c r="C16" s="1"/>
  <c r="D10" i="11"/>
  <c r="D44" i="9"/>
  <c r="E6" i="6"/>
  <c r="D19" i="59"/>
  <c r="T19"/>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13"/>
  <c r="AY103"/>
  <c r="AY21"/>
  <c r="AY52"/>
  <c r="AY191"/>
  <c r="AY204"/>
  <c r="AY92"/>
  <c r="AY31"/>
  <c r="AY118"/>
  <c r="AY234"/>
  <c r="AY209"/>
  <c r="AY317"/>
  <c r="AY416"/>
  <c r="AY402"/>
  <c r="AY55"/>
  <c r="AY181"/>
  <c r="AY250"/>
  <c r="AY343"/>
  <c r="AY560"/>
  <c r="AY65"/>
  <c r="AY141"/>
  <c r="AY265"/>
  <c r="AY310"/>
  <c r="AY350"/>
  <c r="AY459"/>
  <c r="AY50"/>
  <c r="AY226"/>
  <c r="AY346"/>
  <c r="AY400"/>
  <c r="AY166"/>
  <c r="AY162"/>
  <c r="AY225"/>
  <c r="AY380"/>
  <c r="AY413"/>
  <c r="AY22"/>
  <c r="AY184"/>
  <c r="AY211"/>
  <c r="AY319"/>
  <c r="AY562"/>
  <c r="AY537"/>
  <c r="AY73"/>
  <c r="AY144"/>
  <c r="AY57"/>
  <c r="AY262"/>
  <c r="AY349"/>
  <c r="AY397"/>
  <c r="AY149"/>
  <c r="AY379"/>
  <c r="AY463"/>
  <c r="AY135"/>
  <c r="AY372"/>
  <c r="AY62"/>
  <c r="AY376"/>
  <c r="AY30"/>
  <c r="AY230"/>
  <c r="AY542"/>
  <c r="AY132"/>
  <c r="AY382"/>
  <c r="AY420"/>
  <c r="AY405"/>
  <c r="AY555"/>
  <c r="AY429"/>
  <c r="AY188"/>
  <c r="AY442"/>
  <c r="AY143"/>
  <c r="AY43"/>
  <c r="AY157"/>
  <c r="AY572"/>
  <c r="AY308"/>
  <c r="AY501"/>
  <c r="AY528"/>
  <c r="AY99"/>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100"/>
  <c r="AY47"/>
  <c r="AY126"/>
  <c r="AY106"/>
  <c r="AY291"/>
  <c r="AY361"/>
  <c r="AY422"/>
  <c r="AY146"/>
  <c r="AY324"/>
  <c r="AY39"/>
  <c r="AY258"/>
  <c r="AY315"/>
  <c r="AY168"/>
  <c r="AY464"/>
  <c r="AY155"/>
  <c r="AY302"/>
  <c r="AY450"/>
  <c r="AY122"/>
  <c r="AY307"/>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78"/>
  <c r="AY174"/>
  <c r="AY299"/>
  <c r="AY90"/>
  <c r="AY153"/>
  <c r="AY351"/>
  <c r="AY447"/>
  <c r="AY358"/>
  <c r="AY375"/>
  <c r="AY328"/>
  <c r="AY185"/>
  <c r="AY344"/>
  <c r="AY559"/>
  <c r="AY63"/>
  <c r="AY483"/>
  <c r="AY223"/>
  <c r="AY506"/>
  <c r="AY71"/>
  <c r="AY108"/>
  <c r="AY190"/>
  <c r="AY240"/>
  <c r="AY440"/>
  <c r="AY60"/>
  <c r="AY235"/>
  <c r="AY475"/>
  <c r="AY195"/>
  <c r="AY334"/>
  <c r="AY421"/>
  <c r="AY331"/>
  <c r="AY362"/>
  <c r="AY270"/>
  <c r="AY205"/>
  <c r="AY541"/>
  <c r="AY570"/>
  <c r="AY466"/>
  <c r="AY255"/>
  <c r="AY496"/>
  <c r="AY521"/>
  <c r="AY474"/>
  <c r="AY354"/>
  <c r="AY482"/>
  <c r="BE6"/>
  <c r="AY441"/>
  <c r="AY121"/>
  <c r="AY491"/>
  <c r="AY508"/>
  <c r="AY301"/>
  <c r="AY164"/>
  <c r="AY403"/>
  <c r="AY469"/>
  <c r="AY514"/>
  <c r="AY177"/>
  <c r="AY454"/>
  <c r="AY263"/>
  <c r="AY499"/>
  <c r="AY524"/>
  <c r="AY391"/>
  <c r="AY231"/>
  <c r="AY507"/>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BL6"/>
  <c r="AY64"/>
  <c r="AY154"/>
  <c r="AY42"/>
  <c r="AY160"/>
  <c r="AY515"/>
  <c r="AY75"/>
  <c r="AY175"/>
  <c r="AY277"/>
  <c r="AY264"/>
  <c r="AY384"/>
  <c r="AY467"/>
  <c r="AY425"/>
  <c r="AY479"/>
  <c r="AY202"/>
  <c r="AY139"/>
  <c r="AY286"/>
  <c r="AY364"/>
  <c r="AY398"/>
  <c r="AY70"/>
  <c r="AY169"/>
  <c r="AY238"/>
  <c r="AY348"/>
  <c r="BK6"/>
  <c r="AY72"/>
  <c r="AY115"/>
  <c r="AY241"/>
  <c r="AY435"/>
  <c r="AY85"/>
  <c r="AY197"/>
  <c r="AY266"/>
  <c r="AY359"/>
  <c r="AY369"/>
  <c r="AY76"/>
  <c r="AY156"/>
  <c r="AY282"/>
  <c r="AY229"/>
  <c r="AY321"/>
  <c r="AY14"/>
  <c r="AY53"/>
  <c r="AY74"/>
  <c r="AY98"/>
  <c r="AY136"/>
  <c r="AY232"/>
  <c r="AY448"/>
  <c r="AY49"/>
  <c r="AY381"/>
  <c r="AY326"/>
  <c r="AY178"/>
  <c r="AY294"/>
  <c r="AY550"/>
  <c r="AY269"/>
  <c r="AY389"/>
  <c r="AY161"/>
  <c r="AY340"/>
  <c r="AY101"/>
  <c r="AY272"/>
  <c r="AY305"/>
  <c r="AY457"/>
  <c r="AY438"/>
  <c r="AY412"/>
  <c r="AY278"/>
  <c r="BC6"/>
  <c r="AY336"/>
  <c r="AY201"/>
  <c r="AY253"/>
  <c r="AY543"/>
  <c r="AY352"/>
  <c r="AY330"/>
  <c r="AY35"/>
  <c r="AY91"/>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504"/>
  <c r="AY83"/>
  <c r="AY182"/>
  <c r="AY45"/>
  <c r="AY217"/>
  <c r="AY383"/>
  <c r="AY427"/>
  <c r="AY170"/>
  <c r="AY214"/>
  <c r="AY476"/>
  <c r="AY116"/>
  <c r="AY366"/>
  <c r="AY548"/>
  <c r="AY256"/>
  <c r="AY81"/>
  <c r="AY295"/>
  <c r="AY342"/>
  <c r="AY194"/>
  <c r="AY279"/>
  <c r="AY16"/>
  <c r="AY437"/>
  <c r="AY430"/>
  <c r="AY465"/>
  <c r="AY378"/>
  <c r="AY544"/>
  <c r="AY314"/>
  <c r="BH6"/>
  <c r="AY193"/>
  <c r="AY493"/>
  <c r="AY320"/>
  <c r="AY86"/>
  <c r="AY27"/>
  <c r="AY24"/>
  <c r="AY268"/>
  <c r="AY431"/>
  <c r="BN6"/>
  <c r="AY239"/>
  <c r="AY407"/>
  <c r="AY500"/>
  <c r="AY552"/>
  <c r="AY107"/>
  <c r="AY140"/>
  <c r="AY458"/>
  <c r="AY527"/>
  <c r="AY152"/>
  <c r="AY461"/>
  <c r="AY489"/>
  <c r="AY519"/>
  <c r="AY546"/>
  <c r="AY66"/>
  <c r="AY242"/>
  <c r="AY325"/>
  <c r="AY417"/>
  <c r="AY186"/>
  <c r="AY287"/>
  <c r="BF6"/>
  <c r="AY163"/>
  <c r="AY222"/>
  <c r="AY385"/>
  <c r="AY390"/>
  <c r="AY492"/>
  <c r="AY540"/>
  <c r="AY15"/>
  <c r="AY484"/>
  <c r="AY355"/>
  <c r="AY505"/>
  <c r="AY220"/>
  <c r="AY17"/>
  <c r="BR6"/>
  <c r="AY563"/>
  <c r="AY497"/>
  <c r="AY68"/>
  <c r="AY285"/>
  <c r="AY357"/>
  <c r="AY404"/>
  <c r="AY133"/>
  <c r="AY327"/>
  <c r="AY84"/>
  <c r="AY213"/>
  <c r="AY468"/>
  <c r="AY502"/>
  <c r="AY377"/>
  <c r="AY110"/>
  <c r="BI6"/>
  <c r="AY298"/>
  <c r="AY94"/>
  <c r="AY167"/>
  <c r="AY511"/>
  <c r="AY439"/>
  <c r="AY536"/>
  <c r="AY180"/>
  <c r="BJ6"/>
  <c r="AY477"/>
  <c r="AY517"/>
  <c r="AY292"/>
  <c r="AY535"/>
  <c r="AY452"/>
  <c r="AY523"/>
  <c r="AY165"/>
  <c r="AY487"/>
  <c r="AY252"/>
  <c r="AY571"/>
  <c r="BM6"/>
  <c r="AY509"/>
  <c r="AY260"/>
  <c r="AY554"/>
  <c r="AY423"/>
  <c r="AY539"/>
  <c r="AY228"/>
  <c r="AY532"/>
  <c r="AY18"/>
  <c r="AY564"/>
  <c r="E63" i="40"/>
  <c r="D24" i="6"/>
  <c r="D22"/>
  <c r="D12"/>
  <c r="D9"/>
  <c r="D29"/>
  <c r="D21"/>
  <c r="D10"/>
  <c r="D23"/>
  <c r="D28"/>
  <c r="D30" s="1"/>
  <c r="D8"/>
  <c r="F46" i="9"/>
  <c r="D15" i="6"/>
  <c r="F44" i="9"/>
  <c r="K38"/>
  <c r="C14" i="66"/>
  <c r="B2" s="1"/>
  <c r="C22" i="4"/>
  <c r="D26" i="6"/>
  <c r="D11"/>
  <c r="H25"/>
  <c r="D5"/>
  <c r="E45" i="9"/>
  <c r="D19" i="6"/>
  <c r="D25"/>
  <c r="R25" s="1"/>
  <c r="D13"/>
  <c r="D6"/>
  <c r="D14"/>
  <c r="D20"/>
  <c r="E44" i="9"/>
  <c r="E46"/>
  <c r="F45"/>
  <c r="D13" i="11"/>
  <c r="C13" s="1"/>
  <c r="D22" i="12"/>
  <c r="C22" s="1"/>
  <c r="C6" i="66"/>
  <c r="C7"/>
  <c r="C8"/>
  <c r="D27" i="6"/>
  <c r="D31" s="1"/>
  <c r="A20" i="64"/>
  <c r="N5" i="54"/>
  <c r="B43" i="63"/>
  <c r="A6" i="51"/>
  <c r="B7" i="63"/>
  <c r="A20" i="51"/>
  <c r="B15" i="63"/>
  <c r="A6" i="64"/>
  <c r="D16" i="6"/>
  <c r="J3" i="65"/>
  <c r="I6"/>
  <c r="M29" i="15"/>
  <c r="E13" i="67"/>
  <c r="F40" i="15"/>
  <c r="F8" i="44"/>
  <c r="J15" i="15"/>
  <c r="E12" i="67"/>
  <c r="F14"/>
  <c r="F45" i="44"/>
  <c r="M29"/>
  <c r="B14" i="67"/>
  <c r="J6" i="65"/>
  <c r="E8" i="67"/>
  <c r="AE6" i="1"/>
  <c r="F38" i="44"/>
  <c r="M9" i="15"/>
  <c r="M6"/>
  <c r="M24" i="44"/>
  <c r="J17"/>
  <c r="F9"/>
  <c r="F39"/>
  <c r="J36" i="15"/>
  <c r="F26"/>
  <c r="B9" i="67"/>
  <c r="E10"/>
  <c r="E9"/>
  <c r="F9"/>
  <c r="M23" i="44"/>
  <c r="F40"/>
  <c r="F37" i="15"/>
  <c r="M31" i="44"/>
  <c r="M28" i="15"/>
  <c r="L49" i="44"/>
  <c r="F11" i="67"/>
  <c r="B10"/>
  <c r="E14"/>
  <c r="I5" i="65"/>
  <c r="C19" i="44"/>
  <c r="F11"/>
  <c r="F38" i="15"/>
  <c r="M11" i="44"/>
  <c r="F46"/>
  <c r="F9" i="15"/>
  <c r="F16"/>
  <c r="F13"/>
  <c r="B8" i="67"/>
  <c r="I3" i="65"/>
  <c r="F12" i="67"/>
  <c r="J4" i="65"/>
  <c r="F15" i="44"/>
  <c r="F28"/>
  <c r="M24" i="15"/>
  <c r="F36"/>
  <c r="F8"/>
  <c r="B12" i="67"/>
  <c r="J5" i="65"/>
  <c r="B13" i="67"/>
  <c r="M28" i="44"/>
  <c r="M23" i="15"/>
  <c r="F43"/>
  <c r="L48"/>
  <c r="L47"/>
  <c r="F6"/>
  <c r="M22"/>
  <c r="F10" i="44"/>
  <c r="J7" i="65"/>
  <c r="F10" i="67"/>
  <c r="F8"/>
  <c r="F37" i="44"/>
  <c r="M8"/>
  <c r="F7" i="15"/>
  <c r="M30" i="44"/>
  <c r="M10"/>
  <c r="I7" i="65"/>
  <c r="F13" i="67"/>
  <c r="I4" i="65"/>
  <c r="F43" i="44"/>
  <c r="F42" i="15"/>
  <c r="M27"/>
  <c r="L48" i="44"/>
  <c r="M26" i="15"/>
  <c r="E11" i="67"/>
  <c r="B11"/>
  <c r="M25" i="44"/>
  <c r="M26"/>
  <c r="M8" i="15"/>
  <c r="F18" i="44"/>
  <c r="W32" i="21" l="1"/>
  <c r="AA32"/>
  <c r="B23" i="52"/>
  <c r="E11"/>
  <c r="AB36" i="21"/>
  <c r="G123"/>
  <c r="H123" s="1"/>
  <c r="I123" s="1"/>
  <c r="J123" s="1"/>
  <c r="K123" s="1"/>
  <c r="L123" s="1"/>
  <c r="M123" s="1"/>
  <c r="J42"/>
  <c r="H42"/>
  <c r="F42"/>
  <c r="S23"/>
  <c r="AA23"/>
  <c r="J19"/>
  <c r="F81"/>
  <c r="G81" s="1"/>
  <c r="F19"/>
  <c r="H19"/>
  <c r="F77"/>
  <c r="G77" s="1"/>
  <c r="F15"/>
  <c r="H15"/>
  <c r="J15"/>
  <c r="U23" i="39"/>
  <c r="J19"/>
  <c r="W19" s="1"/>
  <c r="F93"/>
  <c r="G93" s="1"/>
  <c r="F19"/>
  <c r="H19"/>
  <c r="F122"/>
  <c r="G122" s="1"/>
  <c r="H122" s="1"/>
  <c r="I122" s="1"/>
  <c r="J122" s="1"/>
  <c r="K122" s="1"/>
  <c r="L122" s="1"/>
  <c r="M122" s="1"/>
  <c r="H41"/>
  <c r="AB41" s="1"/>
  <c r="F41"/>
  <c r="AA41" s="1"/>
  <c r="J41"/>
  <c r="AC41" s="1"/>
  <c r="S41"/>
  <c r="W41"/>
  <c r="K17" i="4"/>
  <c r="A22" i="51" s="1"/>
  <c r="B16" i="63" s="1"/>
  <c r="E86" i="3"/>
  <c r="E476"/>
  <c r="E23"/>
  <c r="E443"/>
  <c r="E265"/>
  <c r="E194"/>
  <c r="AM6"/>
  <c r="E78"/>
  <c r="E337"/>
  <c r="E390"/>
  <c r="E158"/>
  <c r="E296"/>
  <c r="E472"/>
  <c r="E187"/>
  <c r="E295"/>
  <c r="E237"/>
  <c r="E249"/>
  <c r="E304"/>
  <c r="E89"/>
  <c r="E428"/>
  <c r="E549"/>
  <c r="E165"/>
  <c r="E201"/>
  <c r="E100"/>
  <c r="E460"/>
  <c r="E404"/>
  <c r="E170"/>
  <c r="E374"/>
  <c r="I3" i="6"/>
  <c r="E30" i="3"/>
  <c r="M6"/>
  <c r="E241"/>
  <c r="E69"/>
  <c r="E446"/>
  <c r="E152"/>
  <c r="E437"/>
  <c r="E46"/>
  <c r="E221"/>
  <c r="E457"/>
  <c r="E31"/>
  <c r="X6"/>
  <c r="AA6"/>
  <c r="AD6"/>
  <c r="E299"/>
  <c r="E327"/>
  <c r="E103"/>
  <c r="E200"/>
  <c r="E62"/>
  <c r="E389"/>
  <c r="E230"/>
  <c r="E143"/>
  <c r="E343"/>
  <c r="E84"/>
  <c r="E142"/>
  <c r="AP6"/>
  <c r="E410"/>
  <c r="E431"/>
  <c r="E468"/>
  <c r="E70"/>
  <c r="E109"/>
  <c r="E38"/>
  <c r="E185"/>
  <c r="E151"/>
  <c r="E148"/>
  <c r="E313"/>
  <c r="E27"/>
  <c r="E53"/>
  <c r="E412"/>
  <c r="E405"/>
  <c r="E469"/>
  <c r="W6"/>
  <c r="E293"/>
  <c r="E190"/>
  <c r="E192"/>
  <c r="E114"/>
  <c r="E348"/>
  <c r="E93"/>
  <c r="E394"/>
  <c r="E55"/>
  <c r="E282"/>
  <c r="E570"/>
  <c r="E375"/>
  <c r="E459"/>
  <c r="E22"/>
  <c r="E135"/>
  <c r="E533"/>
  <c r="E398"/>
  <c r="E422"/>
  <c r="E98"/>
  <c r="E129"/>
  <c r="E174"/>
  <c r="E63"/>
  <c r="E110"/>
  <c r="E442"/>
  <c r="E218"/>
  <c r="E490"/>
  <c r="AK6"/>
  <c r="E454"/>
  <c r="E548"/>
  <c r="E215"/>
  <c r="E127"/>
  <c r="E391"/>
  <c r="E359"/>
  <c r="E91"/>
  <c r="E132"/>
  <c r="E421"/>
  <c r="P6"/>
  <c r="E140"/>
  <c r="AH6"/>
  <c r="E64"/>
  <c r="E125"/>
  <c r="E21"/>
  <c r="R6"/>
  <c r="E294"/>
  <c r="E387"/>
  <c r="E534"/>
  <c r="E104"/>
  <c r="E193"/>
  <c r="E49"/>
  <c r="E156"/>
  <c r="E283"/>
  <c r="H16" i="1"/>
  <c r="E60" i="40"/>
  <c r="D8" i="66"/>
  <c r="D7"/>
  <c r="D6"/>
  <c r="AI11" i="46"/>
  <c r="AI13" s="1"/>
  <c r="Z11"/>
  <c r="Z13" s="1"/>
  <c r="Z7"/>
  <c r="C23"/>
  <c r="C21" s="1"/>
  <c r="F22"/>
  <c r="AJ11"/>
  <c r="AJ13" s="1"/>
  <c r="H101"/>
  <c r="L101"/>
  <c r="B113"/>
  <c r="AB11"/>
  <c r="AB13" s="1"/>
  <c r="G22"/>
  <c r="E101"/>
  <c r="K101"/>
  <c r="G101"/>
  <c r="E22"/>
  <c r="D22" s="1"/>
  <c r="N104" i="45"/>
  <c r="AG11" i="46"/>
  <c r="AG13" s="1"/>
  <c r="AH11"/>
  <c r="AH13" s="1"/>
  <c r="AF11"/>
  <c r="AF13" s="1"/>
  <c r="AD11"/>
  <c r="AD13" s="1"/>
  <c r="AC11"/>
  <c r="AC13" s="1"/>
  <c r="D101"/>
  <c r="J101"/>
  <c r="N101"/>
  <c r="C101"/>
  <c r="F101"/>
  <c r="M101"/>
  <c r="I101"/>
  <c r="AE11"/>
  <c r="AE13" s="1"/>
  <c r="H22"/>
  <c r="Y11"/>
  <c r="Y13" s="1"/>
  <c r="AA11"/>
  <c r="AA13" s="1"/>
  <c r="J22"/>
  <c r="E413" i="3"/>
  <c r="E297"/>
  <c r="AO6"/>
  <c r="E411"/>
  <c r="E395"/>
  <c r="E250"/>
  <c r="AN6"/>
  <c r="AC6" s="1"/>
  <c r="E41"/>
  <c r="E280"/>
  <c r="E471"/>
  <c r="E59"/>
  <c r="E418"/>
  <c r="E270"/>
  <c r="E408"/>
  <c r="E464"/>
  <c r="E92"/>
  <c r="E157"/>
  <c r="E238"/>
  <c r="E209"/>
  <c r="E414"/>
  <c r="E161"/>
  <c r="E44"/>
  <c r="E450"/>
  <c r="E202"/>
  <c r="E492"/>
  <c r="E36"/>
  <c r="E149"/>
  <c r="E131"/>
  <c r="O12" i="1"/>
  <c r="P12" s="1"/>
  <c r="E53" i="40"/>
  <c r="F27" i="6"/>
  <c r="F31" s="1"/>
  <c r="I6" s="1"/>
  <c r="E58" i="39"/>
  <c r="E68" s="1"/>
  <c r="E16" i="6"/>
  <c r="O9" i="1"/>
  <c r="P9" s="1"/>
  <c r="O13"/>
  <c r="P13" s="1"/>
  <c r="K24" i="6"/>
  <c r="M24" s="1"/>
  <c r="I24" s="1"/>
  <c r="K21"/>
  <c r="M21" s="1"/>
  <c r="I21" s="1"/>
  <c r="K23"/>
  <c r="M23" s="1"/>
  <c r="I23" s="1"/>
  <c r="K26"/>
  <c r="M26" s="1"/>
  <c r="I26" s="1"/>
  <c r="K20"/>
  <c r="K19"/>
  <c r="K22"/>
  <c r="M22" s="1"/>
  <c r="I22" s="1"/>
  <c r="E31"/>
  <c r="I5" s="1"/>
  <c r="M16" i="1"/>
  <c r="O7"/>
  <c r="P7" s="1"/>
  <c r="O11"/>
  <c r="P11" s="1"/>
  <c r="O8"/>
  <c r="P8" s="1"/>
  <c r="B6" i="52"/>
  <c r="E9"/>
  <c r="B10"/>
  <c r="F33" i="12"/>
  <c r="F17" i="39"/>
  <c r="H17"/>
  <c r="F91"/>
  <c r="G91" s="1"/>
  <c r="J17"/>
  <c r="AC27" i="21"/>
  <c r="F27" i="39"/>
  <c r="F101"/>
  <c r="G101" s="1"/>
  <c r="U27"/>
  <c r="W27"/>
  <c r="F83"/>
  <c r="W29"/>
  <c r="AB29"/>
  <c r="AB25"/>
  <c r="S25"/>
  <c r="W25"/>
  <c r="W31"/>
  <c r="H35" i="21"/>
  <c r="F35"/>
  <c r="F108"/>
  <c r="G108" s="1"/>
  <c r="H108" s="1"/>
  <c r="I108" s="1"/>
  <c r="J108" s="1"/>
  <c r="K108" s="1"/>
  <c r="L108" s="1"/>
  <c r="M108" s="1"/>
  <c r="J35"/>
  <c r="W34" i="39"/>
  <c r="C16" i="12"/>
  <c r="H12" i="39"/>
  <c r="J12"/>
  <c r="F12"/>
  <c r="J12" i="40"/>
  <c r="H12"/>
  <c r="F12"/>
  <c r="AP16" i="1"/>
  <c r="F22" i="11" s="1"/>
  <c r="C42" i="1"/>
  <c r="D38" i="4"/>
  <c r="C39" s="1"/>
  <c r="C7" i="34"/>
  <c r="C59" s="1"/>
  <c r="G19" i="46"/>
  <c r="N67" i="9"/>
  <c r="C9" i="40"/>
  <c r="C65" s="1"/>
  <c r="C9" i="39"/>
  <c r="C70" s="1"/>
  <c r="C7" i="37"/>
  <c r="C52" s="1"/>
  <c r="C7" i="36"/>
  <c r="C46" s="1"/>
  <c r="C7" i="35"/>
  <c r="C48" s="1"/>
  <c r="C7" i="33"/>
  <c r="C58" s="1"/>
  <c r="C7" i="21"/>
  <c r="N1" i="65"/>
  <c r="C20" i="12"/>
  <c r="F24" i="43"/>
  <c r="C26" s="1"/>
  <c r="D24" s="1"/>
  <c r="E7" i="52"/>
  <c r="B14"/>
  <c r="B22"/>
  <c r="B5"/>
  <c r="B11"/>
  <c r="E4"/>
  <c r="E5"/>
  <c r="B16"/>
  <c r="E10"/>
  <c r="B8"/>
  <c r="B9"/>
  <c r="B7"/>
  <c r="L57" i="44"/>
  <c r="J54"/>
  <c r="J61"/>
  <c r="Q50" s="1"/>
  <c r="J58"/>
  <c r="J56" s="1"/>
  <c r="J59" s="1"/>
  <c r="Q52" s="1"/>
  <c r="I55"/>
  <c r="J60"/>
  <c r="C27" i="15"/>
  <c r="C6"/>
  <c r="L60" i="44"/>
  <c r="L59"/>
  <c r="M9"/>
  <c r="L58" i="15"/>
  <c r="L59"/>
  <c r="Q72"/>
  <c r="F50"/>
  <c r="C8" i="44"/>
  <c r="I54" i="15"/>
  <c r="J53"/>
  <c r="J57"/>
  <c r="J55" s="1"/>
  <c r="J58" s="1"/>
  <c r="Q51" s="1"/>
  <c r="L60"/>
  <c r="L56"/>
  <c r="L57"/>
  <c r="F63"/>
  <c r="F70"/>
  <c r="F65"/>
  <c r="F64"/>
  <c r="M7"/>
  <c r="J6" s="1"/>
  <c r="F49"/>
  <c r="C29" i="44"/>
  <c r="F67" i="15"/>
  <c r="J8" i="44"/>
  <c r="J22"/>
  <c r="Q73"/>
  <c r="C36"/>
  <c r="E20" i="46"/>
  <c r="J1" i="65"/>
  <c r="N7"/>
  <c r="C18" i="44"/>
  <c r="N3" i="65"/>
  <c r="E2"/>
  <c r="N6"/>
  <c r="N5"/>
  <c r="N4"/>
  <c r="C16" i="15"/>
  <c r="E3" i="65"/>
  <c r="AC19" i="39" l="1"/>
  <c r="B40" i="1"/>
  <c r="S42" i="21"/>
  <c r="AA42"/>
  <c r="AC42"/>
  <c r="W42"/>
  <c r="AB42"/>
  <c r="U42"/>
  <c r="AB19"/>
  <c r="U19"/>
  <c r="AA19"/>
  <c r="S19"/>
  <c r="AC19"/>
  <c r="W19"/>
  <c r="AC15"/>
  <c r="W15"/>
  <c r="AA15"/>
  <c r="S15"/>
  <c r="AB15"/>
  <c r="U15"/>
  <c r="U41" i="39"/>
  <c r="AB19"/>
  <c r="U19"/>
  <c r="S19"/>
  <c r="AA19"/>
  <c r="H6" i="3"/>
  <c r="E6" s="1"/>
  <c r="C13" i="43"/>
  <c r="L16" i="1"/>
  <c r="N16"/>
  <c r="C29" i="43" s="1"/>
  <c r="S22" i="6"/>
  <c r="H22"/>
  <c r="R22" s="1"/>
  <c r="M20"/>
  <c r="I20" s="1"/>
  <c r="S7" i="1"/>
  <c r="S24" i="6"/>
  <c r="H24"/>
  <c r="R24" s="1"/>
  <c r="I103" i="46"/>
  <c r="I105"/>
  <c r="I107"/>
  <c r="I109"/>
  <c r="I104"/>
  <c r="I106"/>
  <c r="I102"/>
  <c r="F102"/>
  <c r="F106"/>
  <c r="F103"/>
  <c r="F107"/>
  <c r="F104"/>
  <c r="F109"/>
  <c r="F105"/>
  <c r="N109"/>
  <c r="N103"/>
  <c r="N105"/>
  <c r="N107"/>
  <c r="N102"/>
  <c r="N104"/>
  <c r="N106"/>
  <c r="D103"/>
  <c r="D107"/>
  <c r="D104"/>
  <c r="D109"/>
  <c r="D105"/>
  <c r="D102"/>
  <c r="D106"/>
  <c r="O16" i="1"/>
  <c r="K27" i="6"/>
  <c r="S6" i="1"/>
  <c r="M19" i="6"/>
  <c r="S26"/>
  <c r="H26"/>
  <c r="R26" s="1"/>
  <c r="S21"/>
  <c r="H21"/>
  <c r="R21" s="1"/>
  <c r="M103" i="46"/>
  <c r="M105"/>
  <c r="M102"/>
  <c r="M109"/>
  <c r="M104"/>
  <c r="M106"/>
  <c r="M107"/>
  <c r="C102"/>
  <c r="C106"/>
  <c r="C103"/>
  <c r="C107"/>
  <c r="C104"/>
  <c r="C109"/>
  <c r="C105"/>
  <c r="J102"/>
  <c r="J104"/>
  <c r="J106"/>
  <c r="J109"/>
  <c r="J103"/>
  <c r="J105"/>
  <c r="J107"/>
  <c r="K104"/>
  <c r="K106"/>
  <c r="K107"/>
  <c r="K103"/>
  <c r="K105"/>
  <c r="K102"/>
  <c r="K109"/>
  <c r="D116"/>
  <c r="E116" s="1"/>
  <c r="F116" s="1"/>
  <c r="G116" s="1"/>
  <c r="H116" s="1"/>
  <c r="D118"/>
  <c r="E118" s="1"/>
  <c r="F118" s="1"/>
  <c r="I117"/>
  <c r="J117" s="1"/>
  <c r="K117" s="1"/>
  <c r="L117" s="1"/>
  <c r="M117" s="1"/>
  <c r="B116"/>
  <c r="C116" s="1"/>
  <c r="B117"/>
  <c r="C117" s="1"/>
  <c r="B118"/>
  <c r="C118" s="1"/>
  <c r="I116"/>
  <c r="J116" s="1"/>
  <c r="K116" s="1"/>
  <c r="L116" s="1"/>
  <c r="M116" s="1"/>
  <c r="D115"/>
  <c r="E115" s="1"/>
  <c r="F115" s="1"/>
  <c r="G115" s="1"/>
  <c r="H115" s="1"/>
  <c r="D117"/>
  <c r="E117" s="1"/>
  <c r="F117" s="1"/>
  <c r="G117" s="1"/>
  <c r="H117" s="1"/>
  <c r="I115"/>
  <c r="J115" s="1"/>
  <c r="K115" s="1"/>
  <c r="L115" s="1"/>
  <c r="M115" s="1"/>
  <c r="B115"/>
  <c r="G118"/>
  <c r="H118" s="1"/>
  <c r="I118"/>
  <c r="J118" s="1"/>
  <c r="K118" s="1"/>
  <c r="L118" s="1"/>
  <c r="M118" s="1"/>
  <c r="H104"/>
  <c r="H106"/>
  <c r="H102"/>
  <c r="H103"/>
  <c r="H105"/>
  <c r="H107"/>
  <c r="H109"/>
  <c r="P16" i="1"/>
  <c r="C13" i="12" s="1"/>
  <c r="S23" i="6"/>
  <c r="H23"/>
  <c r="R23" s="1"/>
  <c r="G104" i="46"/>
  <c r="G106"/>
  <c r="G102"/>
  <c r="G103"/>
  <c r="G105"/>
  <c r="G107"/>
  <c r="G109"/>
  <c r="E104"/>
  <c r="E109"/>
  <c r="E105"/>
  <c r="E102"/>
  <c r="E106"/>
  <c r="E103"/>
  <c r="E107"/>
  <c r="L104"/>
  <c r="L106"/>
  <c r="L107"/>
  <c r="L103"/>
  <c r="L105"/>
  <c r="L102"/>
  <c r="L109"/>
  <c r="W17" i="39"/>
  <c r="AC17"/>
  <c r="U17"/>
  <c r="AB17"/>
  <c r="AA17"/>
  <c r="S17"/>
  <c r="AA27"/>
  <c r="S27"/>
  <c r="G83"/>
  <c r="J13" s="1"/>
  <c r="AC35" i="21"/>
  <c r="W35"/>
  <c r="AA35"/>
  <c r="S35"/>
  <c r="AB35"/>
  <c r="U35"/>
  <c r="C4" i="65"/>
  <c r="B39" i="1" s="1"/>
  <c r="F11" i="15" s="1"/>
  <c r="C58" i="21"/>
  <c r="D58" s="1"/>
  <c r="E58" s="1"/>
  <c r="F58" s="1"/>
  <c r="G58" s="1"/>
  <c r="H58" s="1"/>
  <c r="I58" s="1"/>
  <c r="J58" s="1"/>
  <c r="K58" s="1"/>
  <c r="L58" s="1"/>
  <c r="M58" s="1"/>
  <c r="N58" s="1"/>
  <c r="O58" s="1"/>
  <c r="E7"/>
  <c r="I7"/>
  <c r="J7" s="1"/>
  <c r="G7"/>
  <c r="H7" s="1"/>
  <c r="D48" i="35"/>
  <c r="E48" s="1"/>
  <c r="F48" s="1"/>
  <c r="G48" s="1"/>
  <c r="H48" s="1"/>
  <c r="I48" s="1"/>
  <c r="J48" s="1"/>
  <c r="K48" s="1"/>
  <c r="L48" s="1"/>
  <c r="M48" s="1"/>
  <c r="N48" s="1"/>
  <c r="O48" s="1"/>
  <c r="D52" i="37"/>
  <c r="E52" s="1"/>
  <c r="F52" s="1"/>
  <c r="G52" s="1"/>
  <c r="H52" s="1"/>
  <c r="I52" s="1"/>
  <c r="J52" s="1"/>
  <c r="K52" s="1"/>
  <c r="L52" s="1"/>
  <c r="M52" s="1"/>
  <c r="N52" s="1"/>
  <c r="O52" s="1"/>
  <c r="J7"/>
  <c r="F7"/>
  <c r="D65" i="40"/>
  <c r="C67"/>
  <c r="P21" i="46"/>
  <c r="O19"/>
  <c r="P24"/>
  <c r="B68" i="40" s="1"/>
  <c r="P25" i="46"/>
  <c r="B73" i="39" s="1"/>
  <c r="P23" i="46"/>
  <c r="P22"/>
  <c r="M20"/>
  <c r="C19" s="1"/>
  <c r="U12" i="40"/>
  <c r="AB12"/>
  <c r="S12" i="39"/>
  <c r="AA12"/>
  <c r="AB12"/>
  <c r="U12"/>
  <c r="D58" i="33"/>
  <c r="E58" s="1"/>
  <c r="F58" s="1"/>
  <c r="G58" s="1"/>
  <c r="H58" s="1"/>
  <c r="I58" s="1"/>
  <c r="J58" s="1"/>
  <c r="K58" s="1"/>
  <c r="L58" s="1"/>
  <c r="M58" s="1"/>
  <c r="N58" s="1"/>
  <c r="O58" s="1"/>
  <c r="H7"/>
  <c r="F7"/>
  <c r="J7"/>
  <c r="D46" i="36"/>
  <c r="E46" s="1"/>
  <c r="F46" s="1"/>
  <c r="G46" s="1"/>
  <c r="H46" s="1"/>
  <c r="I46" s="1"/>
  <c r="J46" s="1"/>
  <c r="K46" s="1"/>
  <c r="L46" s="1"/>
  <c r="M46" s="1"/>
  <c r="N46" s="1"/>
  <c r="O46" s="1"/>
  <c r="J7"/>
  <c r="H7"/>
  <c r="F7"/>
  <c r="C72" i="39"/>
  <c r="D70"/>
  <c r="D59" i="34"/>
  <c r="E59" s="1"/>
  <c r="F59" s="1"/>
  <c r="G59" s="1"/>
  <c r="H59" s="1"/>
  <c r="I59" s="1"/>
  <c r="J59" s="1"/>
  <c r="K59" s="1"/>
  <c r="L59" s="1"/>
  <c r="M59" s="1"/>
  <c r="N59" s="1"/>
  <c r="O59" s="1"/>
  <c r="F7"/>
  <c r="H7"/>
  <c r="J7"/>
  <c r="C27" i="43"/>
  <c r="C31"/>
  <c r="C15"/>
  <c r="C30" i="44"/>
  <c r="C25" i="12"/>
  <c r="C34" s="1"/>
  <c r="D33" s="1"/>
  <c r="C28" i="15"/>
  <c r="C15" i="12"/>
  <c r="S12" i="40"/>
  <c r="AA12"/>
  <c r="AC12"/>
  <c r="W12"/>
  <c r="W12" i="39"/>
  <c r="AC12"/>
  <c r="L47" i="44"/>
  <c r="F17" i="11"/>
  <c r="C17" s="1"/>
  <c r="C19" s="1"/>
  <c r="F21" i="43"/>
  <c r="F26" i="44"/>
  <c r="C26" s="1"/>
  <c r="F24" i="15"/>
  <c r="C24" s="1"/>
  <c r="F26" i="12"/>
  <c r="C27" s="1"/>
  <c r="D26" s="1"/>
  <c r="C32" s="1"/>
  <c r="D30" s="1"/>
  <c r="C48" i="15"/>
  <c r="Q75"/>
  <c r="Q62"/>
  <c r="Q63" i="44"/>
  <c r="Q76"/>
  <c r="Q54"/>
  <c r="F1"/>
  <c r="P17" i="46"/>
  <c r="O17"/>
  <c r="N17"/>
  <c r="M17"/>
  <c r="Q67" i="15"/>
  <c r="Q58"/>
  <c r="F1"/>
  <c r="Q53"/>
  <c r="Q61"/>
  <c r="Q74"/>
  <c r="Q75" i="44"/>
  <c r="Q62"/>
  <c r="C17" i="15"/>
  <c r="AE7" i="1"/>
  <c r="C14" i="12" l="1"/>
  <c r="C17"/>
  <c r="C115" i="46"/>
  <c r="D113" s="1"/>
  <c r="S16" i="1"/>
  <c r="T6" s="1"/>
  <c r="S20" i="6"/>
  <c r="H20"/>
  <c r="R20" s="1"/>
  <c r="R7" i="1" s="1"/>
  <c r="I19" i="6"/>
  <c r="M27"/>
  <c r="C14" i="43"/>
  <c r="C17"/>
  <c r="W13" i="39"/>
  <c r="AC13"/>
  <c r="H83"/>
  <c r="I83" s="1"/>
  <c r="J83" s="1"/>
  <c r="K83" s="1"/>
  <c r="L83" s="1"/>
  <c r="M83" s="1"/>
  <c r="F13"/>
  <c r="H13"/>
  <c r="M13" i="44"/>
  <c r="J12" s="1"/>
  <c r="J7" s="1"/>
  <c r="J26" s="1"/>
  <c r="F13"/>
  <c r="C12" s="1"/>
  <c r="C7" s="1"/>
  <c r="C34" s="1"/>
  <c r="M11" i="15"/>
  <c r="J10" s="1"/>
  <c r="J5" s="1"/>
  <c r="J26" s="1"/>
  <c r="AB7" i="34"/>
  <c r="T49" s="1"/>
  <c r="G49" s="1"/>
  <c r="U7"/>
  <c r="AB7" i="36"/>
  <c r="T36" s="1"/>
  <c r="G36" s="1"/>
  <c r="U7"/>
  <c r="AA7" i="33"/>
  <c r="R48" s="1"/>
  <c r="S7"/>
  <c r="AA7" i="37"/>
  <c r="R42" s="1"/>
  <c r="S7"/>
  <c r="H7"/>
  <c r="H7" i="35"/>
  <c r="F7"/>
  <c r="AB7" i="21"/>
  <c r="T48" s="1"/>
  <c r="G48" s="1"/>
  <c r="U7"/>
  <c r="F7"/>
  <c r="AC7" i="34"/>
  <c r="V49" s="1"/>
  <c r="I49" s="1"/>
  <c r="W7"/>
  <c r="AA7"/>
  <c r="R49" s="1"/>
  <c r="S7"/>
  <c r="D72" i="39"/>
  <c r="E70"/>
  <c r="S7" i="36"/>
  <c r="AA7"/>
  <c r="R36" s="1"/>
  <c r="W7"/>
  <c r="AC7"/>
  <c r="V36" s="1"/>
  <c r="I36" s="1"/>
  <c r="W7" i="33"/>
  <c r="AC7"/>
  <c r="V48" s="1"/>
  <c r="I48" s="1"/>
  <c r="U7"/>
  <c r="AB7"/>
  <c r="T48" s="1"/>
  <c r="G48" s="1"/>
  <c r="T8" i="46"/>
  <c r="V8" s="1"/>
  <c r="T12"/>
  <c r="V12" s="1"/>
  <c r="T16"/>
  <c r="V16" s="1"/>
  <c r="T11"/>
  <c r="V11" s="1"/>
  <c r="T15"/>
  <c r="V15" s="1"/>
  <c r="C38"/>
  <c r="C34"/>
  <c r="C37"/>
  <c r="C33"/>
  <c r="T4"/>
  <c r="V4" s="1"/>
  <c r="T2"/>
  <c r="V2" s="1"/>
  <c r="T7"/>
  <c r="V7" s="1"/>
  <c r="T3"/>
  <c r="V3" s="1"/>
  <c r="T5"/>
  <c r="V5" s="1"/>
  <c r="T6"/>
  <c r="V6" s="1"/>
  <c r="C36"/>
  <c r="T10"/>
  <c r="V10" s="1"/>
  <c r="T14"/>
  <c r="V14" s="1"/>
  <c r="T9"/>
  <c r="V9" s="1"/>
  <c r="T13"/>
  <c r="V13" s="1"/>
  <c r="C39"/>
  <c r="C35"/>
  <c r="C29"/>
  <c r="D67" i="40"/>
  <c r="E65"/>
  <c r="AC7" i="37"/>
  <c r="V42" s="1"/>
  <c r="I42" s="1"/>
  <c r="W7"/>
  <c r="J7" i="35"/>
  <c r="AC7" i="21"/>
  <c r="V48" s="1"/>
  <c r="I48" s="1"/>
  <c r="W7"/>
  <c r="C23" i="43"/>
  <c r="D21" s="1"/>
  <c r="C52" i="15"/>
  <c r="C47" s="1"/>
  <c r="C10"/>
  <c r="C5" s="1"/>
  <c r="C20" i="11"/>
  <c r="C21" s="1"/>
  <c r="C22" s="1"/>
  <c r="C23" s="1"/>
  <c r="B2" s="1"/>
  <c r="M21" i="15"/>
  <c r="F41"/>
  <c r="F35"/>
  <c r="C18" i="43" l="1"/>
  <c r="C19" s="1"/>
  <c r="C25" s="1"/>
  <c r="C24" s="1"/>
  <c r="T7" i="1"/>
  <c r="C18" i="12"/>
  <c r="C23" s="1"/>
  <c r="F62" i="15"/>
  <c r="C61" s="1"/>
  <c r="C34"/>
  <c r="J20"/>
  <c r="H19" i="6"/>
  <c r="S19"/>
  <c r="S27" s="1"/>
  <c r="I27"/>
  <c r="T13" i="1"/>
  <c r="T12"/>
  <c r="T8"/>
  <c r="T11"/>
  <c r="T9"/>
  <c r="T10"/>
  <c r="J28" i="44"/>
  <c r="J31" s="1"/>
  <c r="Q58" s="1"/>
  <c r="C40"/>
  <c r="J18" i="15"/>
  <c r="J20" i="44"/>
  <c r="AA13" i="39"/>
  <c r="S13"/>
  <c r="AB13"/>
  <c r="U13"/>
  <c r="J24" i="15"/>
  <c r="AC7" i="35"/>
  <c r="V38" s="1"/>
  <c r="I38" s="1"/>
  <c r="W7"/>
  <c r="I46" i="37"/>
  <c r="J46" s="1"/>
  <c r="G35" i="46"/>
  <c r="I35" s="1"/>
  <c r="E35"/>
  <c r="G36"/>
  <c r="I36" s="1"/>
  <c r="E36"/>
  <c r="G37"/>
  <c r="I37" s="1"/>
  <c r="E37"/>
  <c r="G38"/>
  <c r="I38" s="1"/>
  <c r="E38"/>
  <c r="G52" i="33"/>
  <c r="H52" s="1"/>
  <c r="G53"/>
  <c r="H53" s="1"/>
  <c r="I52"/>
  <c r="J52" s="1"/>
  <c r="I40" i="36"/>
  <c r="J40" s="1"/>
  <c r="E36"/>
  <c r="R37"/>
  <c r="E72" i="39"/>
  <c r="F70"/>
  <c r="S7" i="21"/>
  <c r="AA7"/>
  <c r="R48" s="1"/>
  <c r="G52"/>
  <c r="H52" s="1"/>
  <c r="G53"/>
  <c r="H53" s="1"/>
  <c r="U7" i="35"/>
  <c r="AB7"/>
  <c r="T38" s="1"/>
  <c r="G38" s="1"/>
  <c r="E48" i="33"/>
  <c r="I53" s="1"/>
  <c r="J53" s="1"/>
  <c r="R49"/>
  <c r="G41" i="36"/>
  <c r="H41" s="1"/>
  <c r="G40"/>
  <c r="H40" s="1"/>
  <c r="I52" i="21"/>
  <c r="J52" s="1"/>
  <c r="E67" i="40"/>
  <c r="F65"/>
  <c r="C30" i="46"/>
  <c r="E30" s="1"/>
  <c r="E29"/>
  <c r="G39"/>
  <c r="I39" s="1"/>
  <c r="E39"/>
  <c r="G33"/>
  <c r="I33" s="1"/>
  <c r="E33"/>
  <c r="G34"/>
  <c r="I34" s="1"/>
  <c r="E34"/>
  <c r="E49" i="34"/>
  <c r="R50"/>
  <c r="I54"/>
  <c r="J54" s="1"/>
  <c r="I53"/>
  <c r="J53" s="1"/>
  <c r="AA7" i="35"/>
  <c r="R38" s="1"/>
  <c r="S7"/>
  <c r="U7" i="37"/>
  <c r="AB7"/>
  <c r="T42" s="1"/>
  <c r="G42" s="1"/>
  <c r="E42"/>
  <c r="R43"/>
  <c r="G54" i="34"/>
  <c r="H54" s="1"/>
  <c r="G53"/>
  <c r="H53" s="1"/>
  <c r="F68" i="15"/>
  <c r="J29"/>
  <c r="C65"/>
  <c r="C59"/>
  <c r="C60"/>
  <c r="B5" i="11"/>
  <c r="B3"/>
  <c r="B4"/>
  <c r="C38" i="15"/>
  <c r="C32"/>
  <c r="C33"/>
  <c r="C14"/>
  <c r="C16" i="44"/>
  <c r="F7" i="67"/>
  <c r="L52" i="44"/>
  <c r="Q67" l="1"/>
  <c r="C22" i="43"/>
  <c r="C21" s="1"/>
  <c r="C28" s="1"/>
  <c r="C30" s="1"/>
  <c r="C32" s="1"/>
  <c r="B2" s="1"/>
  <c r="B3" s="1"/>
  <c r="Q49" i="44"/>
  <c r="Q55" s="1"/>
  <c r="C18" i="15"/>
  <c r="C15"/>
  <c r="C17" i="44"/>
  <c r="C20"/>
  <c r="R19" i="6"/>
  <c r="H27"/>
  <c r="T16" i="1"/>
  <c r="L58" i="44"/>
  <c r="L61" s="1"/>
  <c r="Q59" s="1"/>
  <c r="Q64" s="1"/>
  <c r="Q69"/>
  <c r="E4" i="67"/>
  <c r="E46" i="37"/>
  <c r="F46" s="1"/>
  <c r="E47"/>
  <c r="F47" s="1"/>
  <c r="E38" i="35"/>
  <c r="R39"/>
  <c r="E54" i="34"/>
  <c r="F54" s="1"/>
  <c r="E53"/>
  <c r="F53" s="1"/>
  <c r="C27" i="46"/>
  <c r="C49" i="33"/>
  <c r="B3" s="1"/>
  <c r="B2" s="1"/>
  <c r="C48"/>
  <c r="G42" i="35"/>
  <c r="H42" s="1"/>
  <c r="G43"/>
  <c r="H43" s="1"/>
  <c r="E48" i="21"/>
  <c r="R49"/>
  <c r="F72" i="39"/>
  <c r="G70"/>
  <c r="C37" i="36"/>
  <c r="B3" s="1"/>
  <c r="B2" s="1"/>
  <c r="C36"/>
  <c r="I47" i="37"/>
  <c r="J47" s="1"/>
  <c r="C42"/>
  <c r="C43"/>
  <c r="B3" s="1"/>
  <c r="B2" s="1"/>
  <c r="G47"/>
  <c r="H47" s="1"/>
  <c r="G46"/>
  <c r="H46" s="1"/>
  <c r="C50" i="34"/>
  <c r="B3" s="1"/>
  <c r="B2" s="1"/>
  <c r="C49"/>
  <c r="C26" i="46"/>
  <c r="G65" i="40"/>
  <c r="F67"/>
  <c r="E52" i="33"/>
  <c r="F52" s="1"/>
  <c r="E53"/>
  <c r="F53" s="1"/>
  <c r="E40" i="36"/>
  <c r="F40" s="1"/>
  <c r="E41"/>
  <c r="F41" s="1"/>
  <c r="I41"/>
  <c r="J41" s="1"/>
  <c r="I43" i="35"/>
  <c r="J43" s="1"/>
  <c r="I42"/>
  <c r="J42" s="1"/>
  <c r="C31" i="15"/>
  <c r="C58"/>
  <c r="E7" i="67"/>
  <c r="Q68" i="44" l="1"/>
  <c r="Q77" s="1"/>
  <c r="B5" i="43"/>
  <c r="B4"/>
  <c r="C21" i="44"/>
  <c r="C22" s="1"/>
  <c r="C28" s="1"/>
  <c r="C19" i="15"/>
  <c r="C20" s="1"/>
  <c r="C26" s="1"/>
  <c r="R6" i="1"/>
  <c r="R16" s="1"/>
  <c r="R27" i="6"/>
  <c r="E3" i="67"/>
  <c r="G67" i="40"/>
  <c r="H65"/>
  <c r="E52" i="21"/>
  <c r="F52" s="1"/>
  <c r="E53"/>
  <c r="F53" s="1"/>
  <c r="I53"/>
  <c r="J53" s="1"/>
  <c r="E43" i="35"/>
  <c r="F43" s="1"/>
  <c r="E42"/>
  <c r="F42" s="1"/>
  <c r="B2" i="46"/>
  <c r="H70" i="39"/>
  <c r="G72"/>
  <c r="C49" i="21"/>
  <c r="B3" s="1"/>
  <c r="C48"/>
  <c r="C39" i="35"/>
  <c r="B3" s="1"/>
  <c r="B2" s="1"/>
  <c r="C38"/>
  <c r="B7" i="67"/>
  <c r="C25" i="44" l="1"/>
  <c r="C31" s="1"/>
  <c r="C35" s="1"/>
  <c r="C33" s="1"/>
  <c r="C23" i="15"/>
  <c r="C29" s="1"/>
  <c r="C38" i="44"/>
  <c r="B2" i="67"/>
  <c r="B2" i="21"/>
  <c r="C8" i="12"/>
  <c r="C10" s="1"/>
  <c r="H72" i="39"/>
  <c r="I70"/>
  <c r="D4" i="46"/>
  <c r="B3"/>
  <c r="B4"/>
  <c r="H67" i="40"/>
  <c r="I65"/>
  <c r="J21" i="44" l="1"/>
  <c r="J19" s="1"/>
  <c r="C15"/>
  <c r="Q72" s="1"/>
  <c r="Q51"/>
  <c r="J16"/>
  <c r="J15" s="1"/>
  <c r="J25" s="1"/>
  <c r="J59" i="15"/>
  <c r="J60" s="1"/>
  <c r="Q49" s="1"/>
  <c r="C36"/>
  <c r="C13"/>
  <c r="Q50"/>
  <c r="J14"/>
  <c r="J19"/>
  <c r="J17" s="1"/>
  <c r="C56"/>
  <c r="C63" s="1"/>
  <c r="C39" i="44"/>
  <c r="C32" s="1"/>
  <c r="C42" s="1"/>
  <c r="J65" i="40"/>
  <c r="I67"/>
  <c r="J70" i="39"/>
  <c r="I72"/>
  <c r="B3" i="67"/>
  <c r="B4"/>
  <c r="J24" i="44" l="1"/>
  <c r="J18" s="1"/>
  <c r="J27" s="1"/>
  <c r="C43"/>
  <c r="C44" s="1"/>
  <c r="C45" s="1"/>
  <c r="B2" s="1"/>
  <c r="J22" i="15"/>
  <c r="J13"/>
  <c r="J23" s="1"/>
  <c r="Q71"/>
  <c r="C37"/>
  <c r="C30" s="1"/>
  <c r="C39" s="1"/>
  <c r="J35"/>
  <c r="C55"/>
  <c r="C64" s="1"/>
  <c r="C57" s="1"/>
  <c r="C66" s="1"/>
  <c r="C67" s="1"/>
  <c r="Q71" i="44"/>
  <c r="Q70" s="1"/>
  <c r="K70" i="39"/>
  <c r="J72"/>
  <c r="K65" i="40"/>
  <c r="J67"/>
  <c r="L51" i="15"/>
  <c r="J16" l="1"/>
  <c r="J25" s="1"/>
  <c r="Q68"/>
  <c r="C40"/>
  <c r="C46" s="1"/>
  <c r="Q70"/>
  <c r="Q69" s="1"/>
  <c r="C70"/>
  <c r="J39"/>
  <c r="J40" s="1"/>
  <c r="B5" i="44"/>
  <c r="B4"/>
  <c r="B3"/>
  <c r="L65" i="40"/>
  <c r="K67"/>
  <c r="L70" i="39"/>
  <c r="K72"/>
  <c r="C43" i="15" l="1"/>
  <c r="Q48"/>
  <c r="Q54" s="1"/>
  <c r="B2"/>
  <c r="B3" s="1"/>
  <c r="D8" i="12" s="1"/>
  <c r="D10" s="1"/>
  <c r="C6" s="1"/>
  <c r="Q57" i="15"/>
  <c r="Q63" s="1"/>
  <c r="Q66"/>
  <c r="Q76" s="1"/>
  <c r="J42"/>
  <c r="J43" s="1"/>
  <c r="M70" i="39"/>
  <c r="L72"/>
  <c r="L67" i="40"/>
  <c r="M65"/>
  <c r="C29" i="12" l="1"/>
  <c r="C24"/>
  <c r="N70" i="39"/>
  <c r="N72" s="1"/>
  <c r="M72"/>
  <c r="N65" i="40"/>
  <c r="N67" s="1"/>
  <c r="M67"/>
  <c r="C28" i="12" l="1"/>
  <c r="C26" s="1"/>
  <c r="C31" s="1"/>
  <c r="C30" s="1"/>
  <c r="C35"/>
  <c r="C33" s="1"/>
  <c r="J9" i="40"/>
  <c r="H9"/>
  <c r="F9"/>
  <c r="J9" i="39"/>
  <c r="F9"/>
  <c r="H9"/>
  <c r="C36" i="12" l="1"/>
  <c r="B2" s="1"/>
  <c r="U9" i="39"/>
  <c r="AB9"/>
  <c r="T49" s="1"/>
  <c r="G49" s="1"/>
  <c r="W9"/>
  <c r="AC9"/>
  <c r="V49" s="1"/>
  <c r="I49" s="1"/>
  <c r="AB9" i="40"/>
  <c r="T44" s="1"/>
  <c r="G44" s="1"/>
  <c r="U9"/>
  <c r="AA9" i="39"/>
  <c r="R49" s="1"/>
  <c r="S9"/>
  <c r="AA9" i="40"/>
  <c r="R44" s="1"/>
  <c r="S9"/>
  <c r="AC9"/>
  <c r="V44" s="1"/>
  <c r="I44" s="1"/>
  <c r="W9"/>
  <c r="D19" i="9"/>
  <c r="L44" l="1"/>
  <c r="B3" i="12"/>
  <c r="B5"/>
  <c r="B4"/>
  <c r="I53" i="39"/>
  <c r="J53" s="1"/>
  <c r="G53"/>
  <c r="H53" s="1"/>
  <c r="G54"/>
  <c r="H54" s="1"/>
  <c r="I48" i="40"/>
  <c r="J48" s="1"/>
  <c r="R45"/>
  <c r="E44"/>
  <c r="E49" i="39"/>
  <c r="I54" s="1"/>
  <c r="J54" s="1"/>
  <c r="R50"/>
  <c r="G49" i="40"/>
  <c r="H49" s="1"/>
  <c r="G48"/>
  <c r="H48" s="1"/>
  <c r="D20" i="9"/>
  <c r="D21"/>
  <c r="C50" i="39" l="1"/>
  <c r="C49"/>
  <c r="E48" i="40"/>
  <c r="F48" s="1"/>
  <c r="E49"/>
  <c r="F49" s="1"/>
  <c r="E54" i="39"/>
  <c r="F54" s="1"/>
  <c r="E53"/>
  <c r="F53" s="1"/>
  <c r="C44" i="40"/>
  <c r="C45"/>
  <c r="I49"/>
  <c r="J49" s="1"/>
  <c r="B55" l="1"/>
  <c r="F55" s="1"/>
  <c r="B60"/>
  <c r="F60" s="1"/>
  <c r="B62"/>
  <c r="F62" s="1"/>
  <c r="B54"/>
  <c r="F54" s="1"/>
  <c r="B56"/>
  <c r="F56" s="1"/>
  <c r="B57"/>
  <c r="F57" s="1"/>
  <c r="B59"/>
  <c r="F59" s="1"/>
  <c r="B61"/>
  <c r="F61" s="1"/>
  <c r="B53"/>
  <c r="F53" s="1"/>
  <c r="B58"/>
  <c r="F58" s="1"/>
  <c r="F63"/>
  <c r="B2" s="1"/>
  <c r="B64" i="39"/>
  <c r="F64" s="1"/>
  <c r="B58"/>
  <c r="F58" s="1"/>
  <c r="B59"/>
  <c r="F59" s="1"/>
  <c r="B60"/>
  <c r="F60" s="1"/>
  <c r="B61"/>
  <c r="F61" s="1"/>
  <c r="B62"/>
  <c r="F62" s="1"/>
  <c r="B63"/>
  <c r="F63" s="1"/>
  <c r="B65"/>
  <c r="F65" s="1"/>
  <c r="B66"/>
  <c r="F66" s="1"/>
  <c r="B67"/>
  <c r="F67" s="1"/>
  <c r="F68" l="1"/>
  <c r="B2" s="1"/>
  <c r="B3" i="40"/>
  <c r="B5"/>
  <c r="B4"/>
  <c r="C19" i="9"/>
  <c r="L43" l="1"/>
  <c r="D22"/>
  <c r="G19"/>
  <c r="B5" i="39"/>
  <c r="B3"/>
  <c r="B4"/>
  <c r="C20" i="9"/>
  <c r="C21"/>
  <c r="G21" l="1"/>
  <c r="G20"/>
  <c r="N43"/>
  <c r="C32"/>
  <c r="G22"/>
  <c r="C35" l="1"/>
  <c r="F42" s="1"/>
  <c r="C34"/>
  <c r="O38"/>
  <c r="C42"/>
  <c r="O43"/>
  <c r="C33"/>
  <c r="D42" l="1"/>
  <c r="Q5" i="54" s="1"/>
  <c r="B47" i="63" s="1"/>
  <c r="N38" i="9"/>
  <c r="K28" s="1"/>
  <c r="N68"/>
  <c r="R5" i="54"/>
  <c r="B48" i="63" s="1"/>
  <c r="D63" i="9"/>
  <c r="D14" i="66"/>
  <c r="E42" i="9"/>
  <c r="P5" i="54" s="1"/>
  <c r="B46" i="63" s="1"/>
  <c r="M38" i="9"/>
  <c r="K27" s="1"/>
  <c r="K26"/>
  <c r="K25"/>
  <c r="F14" i="66" l="1"/>
  <c r="E14"/>
  <c r="B5"/>
  <c r="D71" i="9"/>
  <c r="D66" s="1"/>
  <c r="N72" s="1"/>
  <c r="C96"/>
  <c r="C91" s="1"/>
  <c r="D70"/>
  <c r="D77"/>
  <c r="N75" s="1"/>
  <c r="C103"/>
  <c r="C90"/>
  <c r="C97" s="1"/>
  <c r="C111"/>
  <c r="C104" s="1"/>
  <c r="C82"/>
  <c r="C81" s="1"/>
  <c r="C85" s="1"/>
  <c r="C86" s="1"/>
  <c r="D72" s="1"/>
  <c r="C113" l="1"/>
  <c r="C98"/>
  <c r="E98" s="1"/>
  <c r="E99" s="1"/>
  <c r="D5" i="66"/>
  <c r="C5"/>
  <c r="C99" i="9" l="1"/>
  <c r="C114"/>
  <c r="E114" s="1"/>
  <c r="E115" s="1"/>
  <c r="C115" l="1"/>
  <c r="D76" s="1"/>
  <c r="D74" s="1"/>
  <c r="N74" s="1"/>
  <c r="O77" s="1"/>
  <c r="O78" l="1"/>
  <c r="Q77"/>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<sst xmlns="http://schemas.openxmlformats.org/spreadsheetml/2006/main" count="7407" uniqueCount="3173">
  <si>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</si>
  <si>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</si>
  <si>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</si>
  <si>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</si>
  <si>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</si>
  <si>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</si>
  <si>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</si>
  <si>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</si>
  <si>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</si>
  <si>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</si>
  <si>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</si>
  <si>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</si>
  <si>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</si>
  <si>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</si>
  <si>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</si>
  <si>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</si>
  <si>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</si>
  <si>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</si>
  <si>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</si>
  <si>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</si>
  <si>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</si>
  <si>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</si>
  <si>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</si>
  <si>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</si>
  <si>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</si>
  <si>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</si>
  <si>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</si>
  <si>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</si>
  <si>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</si>
  <si>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</si>
  <si>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</si>
  <si>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</si>
  <si>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</si>
  <si>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</si>
  <si>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</si>
  <si>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</si>
  <si>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</si>
  <si>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</si>
  <si>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</si>
  <si>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</si>
  <si>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</si>
  <si>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</si>
  <si>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</si>
  <si>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</si>
  <si>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</si>
  <si>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</si>
  <si>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</si>
  <si>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</si>
  <si>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</si>
  <si>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</si>
  <si>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</si>
  <si>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</si>
  <si>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</si>
  <si>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</si>
  <si>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</si>
  <si>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</si>
  <si>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</si>
  <si>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</si>
  <si>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</si>
  <si>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</si>
  <si>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</si>
  <si>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</si>
  <si>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</si>
  <si>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</si>
  <si>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</si>
  <si>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</si>
  <si>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</si>
  <si>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</si>
  <si>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</si>
  <si>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</si>
  <si>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</si>
  <si>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</si>
  <si>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</si>
  <si>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</si>
  <si>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</si>
  <si>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</si>
  <si>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</si>
  <si>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</si>
  <si>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</si>
  <si>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</si>
  <si>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</si>
  <si>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</si>
  <si>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</si>
  <si>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</si>
  <si>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</si>
  <si>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</si>
  <si>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</si>
  <si>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</si>
  <si>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</si>
  <si>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</si>
  <si>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</si>
  <si>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</si>
  <si>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</si>
  <si>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</si>
  <si>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</si>
  <si>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</si>
  <si>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</si>
  <si>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</si>
  <si>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</si>
  <si>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</si>
  <si>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</si>
  <si>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</si>
  <si>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</si>
  <si>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</si>
  <si>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</si>
  <si>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</si>
  <si>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</si>
  <si>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</si>
  <si>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</si>
  <si>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</si>
  <si>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</si>
  <si>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</si>
  <si>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</si>
  <si>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</si>
  <si>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</si>
  <si>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</si>
  <si>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</si>
  <si>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</si>
  <si>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</si>
  <si>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</si>
  <si>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</si>
  <si>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</si>
  <si>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</si>
  <si>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</si>
  <si>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</si>
  <si>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</si>
  <si>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</si>
  <si>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</si>
  <si>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</si>
  <si>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</si>
  <si>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</si>
  <si>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</si>
  <si>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</si>
  <si>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</si>
  <si>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</si>
  <si>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</si>
  <si>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</si>
  <si>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</si>
  <si>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</si>
  <si>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</si>
  <si>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</si>
  <si>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</si>
  <si>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</si>
  <si>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</si>
  <si>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</si>
  <si>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</si>
  <si>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</si>
  <si>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</si>
  <si>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</si>
  <si>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</si>
  <si>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</si>
  <si>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</si>
  <si>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</si>
  <si>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</si>
  <si>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</si>
  <si>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</si>
  <si>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</si>
  <si>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</si>
  <si>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</si>
  <si>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</si>
  <si>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</si>
  <si>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</si>
  <si>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</si>
  <si>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</si>
  <si>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</si>
  <si>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</si>
  <si>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</si>
  <si>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</si>
  <si>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</si>
  <si>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</si>
  <si>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</si>
  <si>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</si>
  <si>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</si>
  <si>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</si>
  <si>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</si>
  <si>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</si>
  <si>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</si>
  <si>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</si>
  <si>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</si>
  <si>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</si>
  <si>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</si>
  <si>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</si>
  <si>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</si>
  <si>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</si>
  <si>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</si>
  <si>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</si>
  <si>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</si>
  <si>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</si>
  <si>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</si>
  <si>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</si>
  <si>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</si>
  <si>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</si>
  <si>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</si>
  <si>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</si>
  <si>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</si>
  <si>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</si>
  <si>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</si>
  <si>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</si>
  <si>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</si>
  <si>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</si>
  <si>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</si>
  <si>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</si>
  <si>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</si>
  <si>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</si>
  <si>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</si>
  <si>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</si>
  <si>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</si>
  <si>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</si>
  <si>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</si>
  <si>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</si>
  <si>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</si>
  <si>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</si>
  <si>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</si>
  <si>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</si>
  <si>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</si>
  <si>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</si>
  <si>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</si>
  <si>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</si>
  <si>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</si>
  <si>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</si>
  <si>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</si>
  <si>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</si>
  <si>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</si>
  <si>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</si>
  <si>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</si>
  <si>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</si>
  <si>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</si>
  <si>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</si>
  <si>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</si>
  <si>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</si>
  <si>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</si>
  <si>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</si>
  <si>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</si>
  <si>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</si>
  <si>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</si>
  <si>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</si>
  <si>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</si>
  <si>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</si>
  <si>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</si>
  <si>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</si>
  <si>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</si>
  <si>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</si>
  <si>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</si>
  <si>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</si>
  <si>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</si>
  <si>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</si>
  <si>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</si>
  <si>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</si>
  <si>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</si>
  <si>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</si>
  <si>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</si>
  <si>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</si>
  <si>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</si>
  <si>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</si>
  <si>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</si>
  <si>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</si>
  <si>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</si>
  <si>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</si>
  <si>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</si>
  <si>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</si>
  <si>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</si>
  <si>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</si>
  <si>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</si>
  <si>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</si>
  <si>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</si>
  <si>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</si>
  <si>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</si>
  <si>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</si>
  <si>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</si>
  <si>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</si>
  <si>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</si>
  <si>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</si>
  <si>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</si>
  <si>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</si>
  <si>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</si>
  <si>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</si>
  <si>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</si>
  <si>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</si>
  <si>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</si>
  <si>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</si>
  <si>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</si>
  <si>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</si>
  <si>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</si>
  <si>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</si>
  <si>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</si>
  <si>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</si>
  <si>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</si>
  <si>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</si>
  <si>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</si>
  <si>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</si>
  <si>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</si>
  <si>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</si>
  <si>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</si>
  <si>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</si>
  <si>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</si>
  <si>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</si>
  <si>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</si>
  <si>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</si>
  <si>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</si>
  <si>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</si>
  <si>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</si>
  <si>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</si>
  <si>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</si>
  <si>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</si>
  <si>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</si>
  <si>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</si>
  <si>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</si>
  <si>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</si>
  <si>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</si>
  <si>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</si>
  <si>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</si>
  <si>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</si>
  <si>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</si>
  <si>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</si>
  <si>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</si>
  <si>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</si>
  <si>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</si>
  <si>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</si>
  <si>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</si>
  <si>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</si>
  <si>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</si>
  <si>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</si>
  <si>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</si>
  <si>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</si>
  <si>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</si>
  <si>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</si>
  <si>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</si>
  <si>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</si>
  <si>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</si>
  <si>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</si>
  <si>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</si>
  <si>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</si>
  <si>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</si>
  <si>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</si>
  <si>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</si>
  <si>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</si>
  <si>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</si>
  <si>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</si>
  <si>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</si>
  <si>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</si>
  <si>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</si>
  <si>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</si>
  <si>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</si>
  <si>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</si>
  <si>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</si>
  <si>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</si>
  <si>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</si>
  <si>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</si>
  <si>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</si>
  <si>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</si>
  <si>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</si>
  <si>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</si>
  <si>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</si>
  <si>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</si>
  <si>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</si>
  <si>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</si>
  <si>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</si>
  <si>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</si>
  <si>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</si>
  <si>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</si>
  <si>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</si>
  <si>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</si>
  <si>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</si>
  <si>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</si>
  <si>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</si>
  <si>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</si>
  <si>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</si>
  <si>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</si>
  <si>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</si>
  <si>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</si>
  <si>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</si>
  <si>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</si>
  <si>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</si>
  <si>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</si>
  <si>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</si>
  <si>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</si>
  <si>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</si>
  <si>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</si>
  <si>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</si>
  <si>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</si>
  <si>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</si>
  <si>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</si>
  <si>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</si>
  <si>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</si>
  <si>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</si>
  <si>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</si>
  <si>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</si>
  <si>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</si>
  <si>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</si>
  <si>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</si>
  <si>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</si>
  <si>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</si>
  <si>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</si>
  <si>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</si>
  <si>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</si>
  <si>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</si>
  <si>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</si>
  <si>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</si>
  <si>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</si>
  <si>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</si>
  <si>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</si>
  <si>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</si>
  <si>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</si>
  <si>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</si>
  <si>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</si>
  <si>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</si>
  <si>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</si>
  <si>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</si>
  <si>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</si>
  <si>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</si>
  <si>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</si>
  <si>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</si>
  <si>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</si>
  <si>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</si>
  <si>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</si>
  <si>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</si>
  <si>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</si>
  <si>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</si>
  <si>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</si>
  <si>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</si>
  <si>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</si>
  <si>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</si>
  <si>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</si>
  <si>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</si>
  <si>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</si>
  <si>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</si>
  <si>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</si>
  <si>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</si>
  <si>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</si>
  <si>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</si>
  <si>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</si>
  <si>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</si>
  <si>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</si>
  <si>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</si>
  <si>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</si>
  <si>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</si>
  <si>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</si>
  <si>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</si>
  <si>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</si>
  <si>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</si>
  <si>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</si>
  <si>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</si>
  <si>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</si>
  <si>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</si>
  <si>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</si>
  <si>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</si>
  <si>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</si>
  <si>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</si>
  <si>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</si>
  <si>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</si>
  <si>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</si>
  <si>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</si>
  <si>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</si>
  <si>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</si>
  <si>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</si>
  <si>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</si>
  <si>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</si>
  <si>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</si>
  <si>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</si>
  <si>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</si>
  <si>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</si>
  <si>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</si>
  <si>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</si>
  <si>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</si>
  <si>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</si>
  <si>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</si>
  <si>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</si>
  <si>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</si>
  <si>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</si>
  <si>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</si>
  <si>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</si>
  <si>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</si>
  <si>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</si>
  <si>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</si>
  <si>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</si>
  <si>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</si>
  <si>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</si>
  <si>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</si>
  <si>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</si>
  <si>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</si>
  <si>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</si>
  <si>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</si>
  <si>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</si>
  <si>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</si>
  <si>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</si>
  <si>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</si>
  <si>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</si>
  <si>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</si>
  <si>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</si>
  <si>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</si>
  <si>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</si>
  <si>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</si>
  <si>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</si>
  <si>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</si>
  <si>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</si>
  <si>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</si>
  <si>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</si>
  <si>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</si>
  <si>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</si>
  <si>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</si>
  <si>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</si>
  <si>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</si>
  <si>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</si>
  <si>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</si>
  <si>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</si>
  <si>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</si>
  <si>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</si>
  <si>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</si>
  <si>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</si>
  <si>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</si>
  <si>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</si>
  <si>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</si>
  <si>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</si>
  <si>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</si>
  <si>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</si>
  <si>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</si>
  <si>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</si>
  <si>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</si>
  <si>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</si>
  <si>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</si>
  <si>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</si>
  <si>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</si>
  <si>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</si>
  <si>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</si>
  <si>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</si>
  <si>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</si>
  <si>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</si>
  <si>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</si>
  <si>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</si>
  <si>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</si>
  <si>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</si>
  <si>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</si>
  <si>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</si>
  <si>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</si>
  <si>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</si>
  <si>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</si>
  <si>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</si>
  <si>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</si>
  <si>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</si>
  <si>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</si>
  <si>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</si>
  <si>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</si>
  <si>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</si>
  <si>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</si>
  <si>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</si>
  <si>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</si>
  <si>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</si>
  <si>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</si>
  <si>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</si>
  <si>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</si>
  <si>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</si>
  <si>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</si>
  <si>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</si>
  <si>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</si>
  <si>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</si>
  <si>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</si>
  <si>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</si>
  <si>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</si>
  <si>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</si>
  <si>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</si>
  <si>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</si>
  <si>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</si>
  <si>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</si>
  <si>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</si>
  <si>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</si>
  <si>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</si>
  <si>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</si>
  <si>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</si>
  <si>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</si>
  <si>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</si>
  <si>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</si>
  <si>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</si>
  <si>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</si>
  <si>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</si>
  <si>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</si>
  <si>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</si>
  <si>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</si>
  <si>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</si>
  <si>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</si>
  <si>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</si>
  <si>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</si>
  <si>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</si>
  <si>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</si>
  <si>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</si>
  <si>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</si>
  <si>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</si>
  <si>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</si>
  <si>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</si>
  <si>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</si>
  <si>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</si>
  <si>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</si>
  <si>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</si>
  <si>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</si>
  <si>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</si>
  <si>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</si>
  <si>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</si>
  <si>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</si>
  <si>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</si>
  <si>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</si>
  <si>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</si>
  <si>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</si>
  <si>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</si>
  <si>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</si>
  <si>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</si>
  <si>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</si>
  <si>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</si>
  <si>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</si>
  <si>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</si>
  <si>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</si>
  <si>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</si>
  <si>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</si>
  <si>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</si>
  <si>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</si>
  <si>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</si>
  <si>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</si>
  <si>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</si>
  <si>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</si>
  <si>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</si>
  <si>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</si>
  <si>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</si>
  <si>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</si>
  <si>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</si>
  <si>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</si>
  <si>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</si>
  <si>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</si>
  <si>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</si>
  <si>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</si>
  <si>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</si>
  <si>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</si>
  <si>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</si>
  <si>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</si>
  <si>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</si>
  <si>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</si>
  <si>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</si>
  <si>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</si>
  <si>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</si>
  <si>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</si>
  <si>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</si>
  <si>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</si>
  <si>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</si>
  <si>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</si>
  <si>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</si>
  <si>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</si>
  <si>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</si>
  <si>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</si>
  <si>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</si>
  <si>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</si>
  <si>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</si>
  <si>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</si>
  <si>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</si>
  <si>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</si>
  <si>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</si>
  <si>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</si>
  <si>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</si>
  <si>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</si>
  <si>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</si>
  <si>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</si>
  <si>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</si>
  <si>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</si>
  <si>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</si>
  <si>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</si>
  <si>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</si>
  <si>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</si>
  <si>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</si>
  <si>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</si>
  <si>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</si>
  <si>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</si>
  <si>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</si>
  <si>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</si>
  <si>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</si>
  <si>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</si>
  <si>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</si>
  <si>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</si>
  <si>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</si>
  <si>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</si>
  <si>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</si>
  <si>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</si>
  <si>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</si>
  <si>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</si>
  <si>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</si>
  <si>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</si>
  <si>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</si>
  <si>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</si>
  <si>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</si>
  <si>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</si>
  <si>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</si>
  <si>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</si>
  <si>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</si>
  <si>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</si>
  <si>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</si>
  <si>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</si>
  <si>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</si>
  <si>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</si>
  <si>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</si>
  <si>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</si>
  <si>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</si>
  <si>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</si>
  <si>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</si>
  <si>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</si>
  <si>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</si>
  <si>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</si>
  <si>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</si>
  <si>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</si>
  <si>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</si>
  <si>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</si>
  <si>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</si>
  <si>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</si>
  <si>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</si>
  <si>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</si>
  <si>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</si>
  <si>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</si>
  <si>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</si>
  <si>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</si>
  <si>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</si>
  <si>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</si>
  <si>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</si>
  <si>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</si>
  <si>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</si>
  <si>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</si>
  <si>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</si>
  <si>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</si>
  <si>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</si>
  <si>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</si>
  <si>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</si>
  <si>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</si>
  <si>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</si>
  <si>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</si>
  <si>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</si>
  <si>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</si>
  <si>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</si>
  <si>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</si>
  <si>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</si>
  <si>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</si>
  <si>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</si>
  <si>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</si>
  <si>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</si>
  <si>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</si>
  <si>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</si>
  <si>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</si>
  <si>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</si>
  <si>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</si>
  <si>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</si>
  <si>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</si>
  <si>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</si>
  <si>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</si>
  <si>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</si>
  <si>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</si>
  <si>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</si>
  <si>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</si>
  <si>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</si>
  <si>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</si>
  <si>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</si>
  <si>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</si>
  <si>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</si>
  <si>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</si>
  <si>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</si>
  <si>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</si>
  <si>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</si>
  <si>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</si>
  <si>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</si>
  <si>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</si>
  <si>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</si>
  <si>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</si>
  <si>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</si>
  <si>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</si>
  <si>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</si>
  <si>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</si>
  <si>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</si>
  <si>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</si>
  <si>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</si>
  <si>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</si>
  <si>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</si>
  <si>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</si>
  <si>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</si>
  <si>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</si>
  <si>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</si>
  <si>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</si>
  <si>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</si>
  <si>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</si>
  <si>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</si>
  <si>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</si>
  <si>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</si>
  <si>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</si>
  <si>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</si>
  <si>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</si>
  <si>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</si>
  <si>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</si>
  <si>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</si>
  <si>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</si>
  <si>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</si>
  <si>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</si>
  <si>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</si>
  <si>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</si>
  <si>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</si>
  <si>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</si>
  <si>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</si>
  <si>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</si>
  <si>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</si>
  <si>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</si>
  <si>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</si>
  <si>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</si>
  <si>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</si>
  <si>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</si>
  <si>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</si>
  <si>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</si>
  <si>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</si>
  <si>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</si>
  <si>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</si>
  <si>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</si>
  <si>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</si>
  <si>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</si>
  <si>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</si>
  <si>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</si>
  <si>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</si>
  <si>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</si>
  <si>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</si>
  <si>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</si>
  <si>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</si>
  <si>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</si>
  <si>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</si>
  <si>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</si>
  <si>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</si>
  <si>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</si>
  <si>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</si>
  <si>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</si>
  <si>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</si>
  <si>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</si>
  <si>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</si>
  <si>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</si>
  <si>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</si>
  <si>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</si>
  <si>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</si>
  <si>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</si>
  <si>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</si>
  <si>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</si>
  <si>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</si>
  <si>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</si>
  <si>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</si>
  <si>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</si>
  <si>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</si>
  <si>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</si>
  <si>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</si>
  <si>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</si>
  <si>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</si>
  <si>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</si>
  <si>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</si>
  <si>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</si>
  <si>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</si>
  <si>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</si>
  <si>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</si>
  <si>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</si>
  <si>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</si>
  <si>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</si>
  <si>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</si>
  <si>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</si>
  <si>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</si>
  <si>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</si>
  <si>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</si>
  <si>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</si>
  <si>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</si>
  <si>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</si>
  <si>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</si>
  <si>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</si>
  <si>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</si>
  <si>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</si>
  <si>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</si>
  <si>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</si>
  <si>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</si>
  <si>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</si>
  <si>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</si>
  <si>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</si>
  <si>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</si>
  <si>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</si>
  <si>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</si>
  <si>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</si>
  <si>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</si>
  <si>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</si>
  <si>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</si>
  <si>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</si>
  <si>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</si>
  <si>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</si>
  <si>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</si>
  <si>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</si>
  <si>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</si>
  <si>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</si>
  <si>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</si>
  <si>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</si>
  <si>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</si>
  <si>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</si>
  <si>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</si>
  <si>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</si>
  <si>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</si>
  <si>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</si>
  <si>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</si>
  <si>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</si>
  <si>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</si>
  <si>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</si>
  <si>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</si>
  <si>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</si>
  <si>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</si>
  <si>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</si>
  <si>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</si>
  <si>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</si>
  <si>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</si>
  <si>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</si>
  <si>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</si>
  <si>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</si>
  <si>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</si>
  <si>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</si>
  <si>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</si>
  <si>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</si>
  <si>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</si>
  <si>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</si>
  <si>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</si>
  <si>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</si>
  <si>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</si>
  <si>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</si>
  <si>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</si>
  <si>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</si>
  <si>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</si>
  <si>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</si>
  <si>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</si>
  <si>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</si>
  <si>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</si>
  <si>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</si>
  <si>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</si>
  <si>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</si>
  <si>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</si>
  <si>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</si>
  <si>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</si>
  <si>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</si>
  <si>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</si>
  <si>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</si>
  <si>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</si>
  <si>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</si>
  <si>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</si>
  <si>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</si>
  <si>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</si>
  <si>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</si>
  <si>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</si>
  <si>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</si>
  <si>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</si>
  <si>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</si>
  <si>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</si>
  <si>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</si>
  <si>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</si>
  <si>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</si>
  <si>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</si>
  <si>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</si>
  <si>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</si>
  <si>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</si>
  <si>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</si>
  <si>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</si>
  <si>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</si>
  <si>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</si>
  <si>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</si>
  <si>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</si>
  <si>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</si>
  <si>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</si>
  <si>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</si>
  <si>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</si>
  <si>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</si>
  <si>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</si>
  <si>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</si>
  <si>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</si>
  <si>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</si>
  <si>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</si>
  <si>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</si>
  <si>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</si>
  <si>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</si>
  <si>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</si>
  <si>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</si>
  <si>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</si>
  <si>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</si>
  <si>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</si>
  <si>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</si>
  <si>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</si>
  <si>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</si>
  <si>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</si>
  <si>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</si>
  <si>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</si>
  <si>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</si>
  <si>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</si>
  <si>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</si>
  <si>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</si>
  <si>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</si>
  <si>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</si>
  <si>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</si>
  <si>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</si>
  <si>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</si>
  <si>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</si>
  <si>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</si>
  <si>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</si>
  <si>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</si>
  <si>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</si>
  <si>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</si>
  <si>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</si>
  <si>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</si>
  <si>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</si>
  <si>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</si>
  <si>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</si>
  <si>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</si>
  <si>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</si>
  <si>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</si>
  <si>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</si>
  <si>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</si>
  <si>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</si>
  <si>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</si>
  <si>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</si>
  <si>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</si>
  <si>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</si>
  <si>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</si>
  <si>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</si>
  <si>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</si>
  <si>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</si>
  <si>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</si>
  <si>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</si>
  <si>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</si>
  <si>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</si>
  <si>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</si>
  <si>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</si>
  <si>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</si>
  <si>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</si>
  <si>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</si>
  <si>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</si>
  <si>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</si>
  <si>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</si>
  <si>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</si>
  <si>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</si>
  <si>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</si>
  <si>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</si>
  <si>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</si>
  <si>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</si>
  <si>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</si>
  <si>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</si>
  <si>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</si>
  <si>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</si>
  <si>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</si>
  <si>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</si>
  <si>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</si>
  <si>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</si>
  <si>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</si>
  <si>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</si>
  <si>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</si>
  <si>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</si>
  <si>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</si>
  <si>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</si>
  <si>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</si>
  <si>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</si>
  <si>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</si>
  <si>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</si>
  <si>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</si>
  <si>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</si>
  <si>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</si>
  <si>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</si>
  <si>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</si>
  <si>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</si>
  <si>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</si>
  <si>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</si>
  <si>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</si>
  <si>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</si>
  <si>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</si>
  <si>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</si>
  <si>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</si>
  <si>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</si>
  <si>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</si>
  <si>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</si>
  <si>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</si>
  <si>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</si>
  <si>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</si>
  <si>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</si>
  <si>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</si>
  <si>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</si>
  <si>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</si>
  <si>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</si>
  <si>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</si>
  <si>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</si>
  <si>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</si>
  <si>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</si>
  <si>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</si>
  <si>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</si>
  <si>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</si>
  <si>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</si>
  <si>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</si>
  <si>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</si>
  <si>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</si>
  <si>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</si>
  <si>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</si>
  <si>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</si>
  <si>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</si>
  <si>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</si>
  <si>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</si>
  <si>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</si>
  <si>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</si>
  <si>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</si>
  <si>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</si>
  <si>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</si>
  <si>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</si>
  <si>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</si>
  <si>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</si>
  <si>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</si>
  <si>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</si>
  <si>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</si>
  <si>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</si>
  <si>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</si>
  <si>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</si>
  <si>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</si>
  <si>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</si>
  <si>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</si>
  <si>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</si>
  <si>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</si>
  <si>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</si>
  <si>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</si>
  <si>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</si>
  <si>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</si>
  <si>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</si>
  <si>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</si>
  <si>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</si>
  <si>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</si>
  <si>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</si>
  <si>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</si>
  <si>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</si>
  <si>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</si>
  <si>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</si>
  <si>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</si>
  <si>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</si>
  <si>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</si>
  <si>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</si>
  <si>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</si>
  <si>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</si>
  <si>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</si>
  <si>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</si>
  <si>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</si>
  <si>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</si>
  <si>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</si>
  <si>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</si>
  <si>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</si>
  <si>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</si>
  <si>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</si>
  <si>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</si>
  <si>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</si>
  <si>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</si>
  <si>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</si>
  <si>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</si>
  <si>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</si>
  <si>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</si>
  <si>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</si>
  <si>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</si>
  <si>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</si>
  <si>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</si>
  <si>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</si>
  <si>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</si>
  <si>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</si>
  <si>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</si>
  <si>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</si>
  <si>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</si>
  <si>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</si>
  <si>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</si>
  <si>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</si>
  <si>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</si>
  <si>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</si>
  <si>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</si>
  <si>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</si>
  <si>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</si>
  <si>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</si>
  <si>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</si>
  <si>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</si>
  <si>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</si>
  <si>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</si>
  <si>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</si>
  <si>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</si>
  <si>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</si>
  <si>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</si>
  <si>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</si>
  <si>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</si>
  <si>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</si>
  <si>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</si>
  <si>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</si>
  <si>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</si>
  <si>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</si>
  <si>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</si>
  <si>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</si>
  <si>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</si>
  <si>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</si>
  <si>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</si>
  <si>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</si>
  <si>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</si>
  <si>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</si>
  <si>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</si>
  <si>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</si>
  <si>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</si>
  <si>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</si>
  <si>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</si>
  <si>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</si>
  <si>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</si>
  <si>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</si>
  <si>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</si>
  <si>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</si>
  <si>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</si>
  <si>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</si>
  <si>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</si>
  <si>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</si>
  <si>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</si>
  <si>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</si>
  <si>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</si>
  <si>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</si>
  <si>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</si>
  <si>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</si>
  <si>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</si>
  <si>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</si>
  <si>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</si>
  <si>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</si>
  <si>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</si>
  <si>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</si>
  <si>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</si>
  <si>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</si>
  <si>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</si>
  <si>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</si>
  <si>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</si>
  <si>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</si>
  <si>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</si>
  <si>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</si>
  <si>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</si>
  <si>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</si>
  <si>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</si>
  <si>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</si>
  <si>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</si>
  <si>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</si>
  <si>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</si>
  <si>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</si>
  <si>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</si>
  <si>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</si>
  <si>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</si>
  <si>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</si>
  <si>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</si>
  <si>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</si>
  <si>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</si>
  <si>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</si>
  <si>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</si>
  <si>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</si>
  <si>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</si>
  <si>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</si>
  <si>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</si>
  <si>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</si>
  <si>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</si>
  <si>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</si>
  <si>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</si>
  <si>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</si>
  <si>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</si>
  <si>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</si>
  <si>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</si>
  <si>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</si>
  <si>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</si>
  <si>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</si>
  <si>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</si>
  <si>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</si>
  <si>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</si>
  <si>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</si>
  <si>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</si>
  <si>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</si>
  <si>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</si>
  <si>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</si>
  <si>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</si>
  <si>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</si>
  <si>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</si>
  <si>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</si>
  <si>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</si>
  <si>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</si>
  <si>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</si>
  <si>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</si>
  <si>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</si>
  <si>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</si>
  <si>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</si>
  <si>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</si>
  <si>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</si>
  <si>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</si>
  <si>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</si>
  <si>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</si>
  <si>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</si>
  <si>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</si>
  <si>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</si>
  <si>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</si>
  <si>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</si>
  <si>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</si>
  <si>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</si>
  <si>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</si>
  <si>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</si>
  <si>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</si>
  <si>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</si>
  <si>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</si>
  <si>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</si>
  <si>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</si>
  <si>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</si>
  <si>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</si>
  <si>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</si>
  <si>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</si>
  <si>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</si>
  <si>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</si>
  <si>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</si>
  <si>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</si>
  <si>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</si>
  <si>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</si>
  <si>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</si>
  <si>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</si>
  <si>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</si>
  <si>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</si>
  <si>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</si>
  <si>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</si>
  <si>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</si>
  <si>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</si>
  <si>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</si>
  <si>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</si>
  <si>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</si>
  <si>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</si>
  <si>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</si>
  <si>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</si>
  <si>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</si>
  <si>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</si>
  <si>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</si>
  <si>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</si>
  <si>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</si>
  <si>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</si>
  <si>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</si>
  <si>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</si>
  <si>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</si>
  <si>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</si>
  <si>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</si>
  <si>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</si>
  <si>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</si>
  <si>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</si>
  <si>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</si>
  <si>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</si>
  <si>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</si>
  <si>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</si>
  <si>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</si>
  <si>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</si>
  <si>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</si>
  <si>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</si>
  <si>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</si>
  <si>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</si>
  <si>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</si>
  <si>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</si>
  <si>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</si>
  <si>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</si>
  <si>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</si>
  <si>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</si>
  <si>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</si>
  <si>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</si>
  <si>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</si>
  <si>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</si>
  <si>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</si>
  <si>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</si>
  <si>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</si>
  <si>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</si>
  <si>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</si>
  <si>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</si>
  <si>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</si>
  <si>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</si>
  <si>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</si>
  <si>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</si>
  <si>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</si>
  <si>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</si>
  <si>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</si>
  <si>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</si>
  <si>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</si>
  <si>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</si>
  <si>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</si>
  <si>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</si>
  <si>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</si>
  <si>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</si>
  <si>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</si>
  <si>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</si>
  <si>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</si>
  <si>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</si>
  <si>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</si>
  <si>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</si>
  <si>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</si>
  <si>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</si>
  <si>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</si>
  <si>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</si>
  <si>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</si>
  <si>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</si>
  <si>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</si>
  <si>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</si>
  <si>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</si>
  <si>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</si>
  <si>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</si>
  <si>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</si>
  <si>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</si>
  <si>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</si>
  <si>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</si>
  <si>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</si>
  <si>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</si>
  <si>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</si>
  <si>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</si>
  <si>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</si>
  <si>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</si>
  <si>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</si>
  <si>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</si>
  <si>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</si>
  <si>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</si>
  <si>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</si>
  <si>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</si>
  <si>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</si>
  <si>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</si>
  <si>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</si>
  <si>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</si>
  <si>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</si>
  <si>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</si>
  <si>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</si>
  <si>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</si>
  <si>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</si>
  <si>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</si>
  <si>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</si>
  <si>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</si>
  <si>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</si>
  <si>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</si>
  <si>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</si>
  <si>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</si>
  <si>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</si>
  <si>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</si>
  <si>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</si>
  <si>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</si>
  <si>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</si>
  <si>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</si>
  <si>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</si>
  <si>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</si>
  <si>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</si>
  <si>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</si>
  <si>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</si>
  <si>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</si>
  <si>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</si>
  <si>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</si>
  <si>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</si>
  <si>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</si>
  <si>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</si>
  <si>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</si>
  <si>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</si>
  <si>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</si>
  <si>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</si>
  <si>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</si>
  <si>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</si>
  <si>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</si>
  <si>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</si>
  <si>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</si>
  <si>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</si>
  <si>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</si>
  <si>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</si>
  <si>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</si>
  <si>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</si>
  <si>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</si>
  <si>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</si>
  <si>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</si>
  <si>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</si>
  <si>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</si>
  <si>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</si>
  <si>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</si>
  <si>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</si>
  <si>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</si>
  <si>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</si>
  <si>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</si>
  <si>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</si>
  <si>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</si>
  <si>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</si>
  <si>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</si>
  <si>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</si>
  <si>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</si>
  <si>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</si>
  <si>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</si>
  <si>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</si>
  <si>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</si>
  <si>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</si>
  <si>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</si>
  <si>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</si>
  <si>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</si>
  <si>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</si>
  <si>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</si>
  <si>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</si>
  <si>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</si>
  <si>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</si>
  <si>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</si>
  <si>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</si>
  <si>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</si>
  <si>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</si>
  <si>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</si>
  <si>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</si>
  <si>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</si>
  <si>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</si>
  <si>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</si>
  <si>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</si>
  <si>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</si>
  <si>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</si>
  <si>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</si>
  <si>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</si>
  <si>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</si>
  <si>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</si>
  <si>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</si>
  <si>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</si>
  <si>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</si>
  <si>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</si>
  <si>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</si>
  <si>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</si>
  <si>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</si>
  <si>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</si>
  <si>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</si>
  <si>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</si>
  <si>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</si>
  <si>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</si>
  <si>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</si>
  <si>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</si>
  <si>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</si>
  <si>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</si>
  <si>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</si>
  <si>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</si>
  <si>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</si>
  <si>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</si>
  <si>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</si>
  <si>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</si>
  <si>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</si>
  <si>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</si>
  <si>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</si>
  <si>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</si>
  <si>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</si>
  <si>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</si>
  <si>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</si>
  <si>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</si>
  <si>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</si>
  <si>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</si>
  <si>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</si>
  <si>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</si>
  <si>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</si>
  <si>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</si>
  <si>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</si>
  <si>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</si>
  <si>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</si>
  <si>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</si>
  <si>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</si>
  <si>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</si>
  <si>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</si>
  <si>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</si>
  <si>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</si>
  <si>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</si>
  <si>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</si>
  <si>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</si>
  <si>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</si>
  <si>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</si>
  <si>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</si>
  <si>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</si>
  <si>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</si>
  <si>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</si>
  <si>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</si>
  <si>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</si>
  <si>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</si>
  <si>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</si>
  <si>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</si>
  <si>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</si>
  <si>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</si>
  <si>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</si>
  <si>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</si>
  <si>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</si>
  <si>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</si>
  <si>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</si>
  <si>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</si>
  <si>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</si>
  <si>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</si>
  <si>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</si>
  <si>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</si>
  <si>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</si>
  <si>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</si>
  <si>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</si>
  <si>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</si>
  <si>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</si>
  <si>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</si>
  <si>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</si>
  <si>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</si>
  <si>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</si>
  <si>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</si>
  <si>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</si>
  <si>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</si>
  <si>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</si>
  <si>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</si>
  <si>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</si>
  <si>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</si>
  <si>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</si>
  <si>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</si>
  <si>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</si>
  <si>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</si>
  <si>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</si>
  <si>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</si>
  <si>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</si>
  <si>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</si>
  <si>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</si>
  <si>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</si>
  <si>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</si>
  <si>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</si>
  <si>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</si>
  <si>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</si>
  <si>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</si>
  <si>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</si>
  <si>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</si>
  <si>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</si>
  <si>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</si>
  <si>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</si>
  <si>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</si>
  <si>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</si>
  <si>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</si>
  <si>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</si>
  <si>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</si>
  <si>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</si>
  <si>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</si>
  <si>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</si>
  <si>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</si>
  <si>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</si>
  <si>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</si>
  <si>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</si>
  <si>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</si>
  <si>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</si>
  <si>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</si>
  <si>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</si>
  <si>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</si>
  <si>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</si>
  <si>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</si>
  <si>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</si>
  <si>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</si>
  <si>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</si>
  <si>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</si>
  <si>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</si>
  <si>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</si>
  <si>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</si>
  <si>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</si>
  <si>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</si>
  <si>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</si>
  <si>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</si>
  <si>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</si>
  <si>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</si>
  <si>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</si>
  <si>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</si>
  <si>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</si>
  <si>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</si>
  <si>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</si>
  <si>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</si>
  <si>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</si>
  <si>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</si>
  <si>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</si>
  <si>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</si>
  <si>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</si>
  <si>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</si>
  <si>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</si>
  <si>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</si>
  <si>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</si>
  <si>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</si>
  <si>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</si>
  <si>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</si>
  <si>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</si>
  <si>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</si>
  <si>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</si>
  <si>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</si>
  <si>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</si>
  <si>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</si>
  <si>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</si>
  <si>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</si>
  <si>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</si>
  <si>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</si>
  <si>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</si>
  <si>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</si>
  <si>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</si>
  <si>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</si>
  <si>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</si>
  <si>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</si>
  <si>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</si>
  <si>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</si>
  <si>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</si>
  <si>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</si>
  <si>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</si>
  <si>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</si>
  <si>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</si>
  <si>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</si>
  <si>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</si>
  <si>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</si>
  <si>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</si>
  <si>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</si>
  <si>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</si>
  <si>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</si>
  <si>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</si>
  <si>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</si>
  <si>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</si>
  <si>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</si>
  <si>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</si>
  <si>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</si>
  <si>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</si>
  <si>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</si>
  <si>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</si>
  <si>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</si>
  <si>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</si>
  <si>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</si>
  <si>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</si>
  <si>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</si>
  <si>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</si>
  <si>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</si>
  <si>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</si>
  <si>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</si>
  <si>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</si>
  <si>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</si>
  <si>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</si>
  <si>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</si>
  <si>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</si>
  <si>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</si>
  <si>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</si>
  <si>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</si>
  <si>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</si>
  <si>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</si>
  <si>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</si>
  <si>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</si>
  <si>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</si>
  <si>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</si>
  <si>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</si>
  <si>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</si>
  <si>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</si>
  <si>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</si>
  <si>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</si>
  <si>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</si>
  <si>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</si>
  <si>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</si>
  <si>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</si>
  <si>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</si>
  <si>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</si>
  <si>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</si>
  <si>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</si>
  <si>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</si>
  <si>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</si>
  <si>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</si>
  <si>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</si>
  <si>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</si>
  <si>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</si>
  <si>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</si>
  <si>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</si>
  <si>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</si>
  <si>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</si>
  <si>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</si>
  <si>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</si>
  <si>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</si>
  <si>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</si>
  <si>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</si>
  <si>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</si>
  <si>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</si>
  <si>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</si>
  <si>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</si>
  <si>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</si>
  <si>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</si>
  <si>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</si>
  <si>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</si>
  <si>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</si>
  <si>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</si>
  <si>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</si>
  <si>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</si>
  <si>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</si>
  <si>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</si>
  <si>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</si>
  <si>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</si>
  <si>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</si>
  <si>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</si>
  <si>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</si>
  <si>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</si>
  <si>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</si>
  <si>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</si>
  <si>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</si>
  <si>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</si>
  <si>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</si>
  <si>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</si>
  <si>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</si>
  <si>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</si>
  <si>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</si>
  <si>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</si>
  <si>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</si>
  <si>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</si>
  <si>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</si>
  <si>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</si>
  <si>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</si>
  <si>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</si>
  <si>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</si>
  <si>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</si>
  <si>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</si>
  <si>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</si>
  <si>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</si>
  <si>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</si>
  <si>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</si>
  <si>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</si>
  <si>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</si>
  <si>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</si>
  <si>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</si>
  <si>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</si>
  <si>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</si>
  <si>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</si>
  <si>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</si>
  <si>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</si>
  <si>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</si>
  <si>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</si>
  <si>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</si>
  <si>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</si>
  <si>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</si>
  <si>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</si>
  <si>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</si>
  <si>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</si>
  <si>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</si>
  <si>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</si>
  <si>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</si>
  <si>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</si>
  <si>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</si>
  <si>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</si>
  <si>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</si>
  <si>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</si>
  <si>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</si>
  <si>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</si>
  <si>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</si>
  <si>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</si>
  <si>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</si>
  <si>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</si>
  <si>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</si>
  <si>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</si>
  <si>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</si>
  <si>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</si>
  <si>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</si>
  <si>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</si>
  <si>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</si>
  <si>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</si>
  <si>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</si>
  <si>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</si>
  <si>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</si>
  <si>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</si>
  <si>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</si>
  <si>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</si>
  <si>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</si>
  <si>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</si>
  <si>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</si>
  <si>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</si>
  <si>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</si>
  <si>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</si>
  <si>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</si>
  <si>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</si>
  <si>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</si>
  <si>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</si>
  <si>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</si>
  <si>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</si>
  <si>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</si>
  <si>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</si>
  <si>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</si>
  <si>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</si>
  <si>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</si>
  <si>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</si>
  <si>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</si>
  <si>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</si>
  <si>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</si>
  <si>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</si>
  <si>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</si>
  <si>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</si>
  <si>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</si>
  <si>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</si>
  <si>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</si>
  <si>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</si>
  <si>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</si>
  <si>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</si>
  <si>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</si>
  <si>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</si>
  <si>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</si>
  <si>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</si>
  <si>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</si>
  <si>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</si>
  <si>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</si>
  <si>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</si>
  <si>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</si>
  <si>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</si>
  <si>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</si>
  <si>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</si>
  <si>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</si>
  <si>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</si>
  <si>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</si>
  <si>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</si>
  <si>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</si>
  <si>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</si>
  <si>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</si>
  <si>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</si>
  <si>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</si>
  <si>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</si>
  <si>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</si>
  <si>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</si>
  <si>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</si>
  <si>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</si>
  <si>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</si>
  <si>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</si>
  <si>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</si>
  <si>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</si>
  <si>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</si>
  <si>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</si>
  <si>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</si>
  <si>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</si>
  <si>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</si>
  <si>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</si>
  <si>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</si>
  <si>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</si>
  <si>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</si>
  <si>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</si>
  <si>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</si>
  <si>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</si>
  <si>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</si>
  <si>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</si>
  <si>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</si>
  <si>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</si>
  <si>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</si>
  <si>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</si>
  <si>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</si>
  <si>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</si>
  <si>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</si>
  <si>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</si>
  <si>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</si>
  <si>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</si>
  <si>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</si>
  <si>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</si>
  <si>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</si>
  <si>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</si>
  <si>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</si>
  <si>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</si>
  <si>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</si>
  <si>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</si>
  <si>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</si>
  <si>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</si>
  <si>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</si>
  <si>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</si>
  <si>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</si>
  <si>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</si>
  <si>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</si>
  <si>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</si>
  <si>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</si>
  <si>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</si>
  <si>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</si>
  <si>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</si>
  <si>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</si>
  <si>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</si>
  <si>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</si>
  <si>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</si>
  <si>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</si>
  <si>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</si>
  <si>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</si>
  <si>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</si>
  <si>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</si>
  <si>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</si>
  <si>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</si>
  <si>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</si>
  <si>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</si>
  <si>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</si>
  <si>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</si>
  <si>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</si>
  <si>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</si>
  <si>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</si>
  <si>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</si>
  <si>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</si>
  <si>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</si>
  <si>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</si>
  <si>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</si>
  <si>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</si>
  <si>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</si>
  <si>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</si>
  <si>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</si>
  <si>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</si>
  <si>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</si>
  <si>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</si>
  <si>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</si>
  <si>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</si>
  <si>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</si>
  <si>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</si>
  <si>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</si>
  <si>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</si>
  <si>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</si>
  <si>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</si>
  <si>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</si>
  <si>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</si>
  <si>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</si>
  <si>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</si>
  <si>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</si>
  <si>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</si>
  <si>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</si>
  <si>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</si>
  <si>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</si>
  <si>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</si>
  <si>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</si>
  <si>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</si>
  <si>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</si>
  <si>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</si>
  <si>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</si>
  <si>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</si>
  <si>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</si>
  <si>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</si>
  <si>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</si>
  <si>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</si>
  <si>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</si>
  <si>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</si>
  <si>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</si>
  <si>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</si>
  <si>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</si>
  <si>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</si>
  <si>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</si>
  <si>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</si>
  <si>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</si>
  <si>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</si>
  <si>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</si>
  <si>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</si>
  <si>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</si>
  <si>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</si>
  <si>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</si>
  <si>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</si>
  <si>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</si>
  <si>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</si>
  <si>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</si>
  <si>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</si>
  <si>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</si>
  <si>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</si>
  <si>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</si>
  <si>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</si>
  <si>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</si>
  <si>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</si>
  <si>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</si>
  <si>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</si>
  <si>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</si>
  <si>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</si>
  <si>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</si>
  <si>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</si>
  <si>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</si>
  <si>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</si>
  <si>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</si>
  <si>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</si>
  <si>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</si>
  <si>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</si>
  <si>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</si>
  <si>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</si>
  <si>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</si>
  <si>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</si>
  <si>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</si>
  <si>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</si>
  <si>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</si>
  <si>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</si>
  <si>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</si>
  <si>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</si>
  <si>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</si>
  <si>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</si>
  <si>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</si>
  <si>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</si>
  <si>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</si>
  <si>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</si>
  <si>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</si>
  <si>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</si>
  <si>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</si>
  <si>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</si>
  <si>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</si>
  <si>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</si>
  <si>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</si>
  <si>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</si>
  <si>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</si>
  <si>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</si>
  <si>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</si>
  <si>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</si>
  <si>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</si>
  <si>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</si>
  <si>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</si>
  <si>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</si>
  <si>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</si>
  <si>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</si>
  <si>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</si>
  <si>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</si>
  <si>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</si>
  <si>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</si>
  <si>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</si>
  <si>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</si>
  <si>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</si>
  <si>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</si>
  <si>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</si>
  <si>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</si>
  <si>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</si>
  <si>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</si>
  <si>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</si>
  <si>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</si>
  <si>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</si>
  <si>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</si>
  <si>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</si>
  <si>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</si>
  <si>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</si>
  <si>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</si>
  <si>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</si>
  <si>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</si>
  <si>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</si>
  <si>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</si>
  <si>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</si>
  <si>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</si>
  <si>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</si>
  <si>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</si>
  <si>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</si>
  <si>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</si>
  <si>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</si>
  <si>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</si>
  <si>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</si>
  <si>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</si>
  <si>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</si>
  <si>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</si>
  <si>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</si>
  <si>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</si>
  <si>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</si>
  <si>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</si>
  <si>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</si>
  <si>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</si>
  <si>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</si>
  <si>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</si>
  <si>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</si>
  <si>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</si>
  <si>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</si>
  <si>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</si>
  <si>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</si>
  <si>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</si>
  <si>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</si>
  <si>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</si>
  <si>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</si>
  <si>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</si>
  <si>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</si>
  <si>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</si>
  <si>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</si>
  <si>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</si>
  <si>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</si>
  <si>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</si>
  <si>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</si>
  <si>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</si>
  <si>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</si>
  <si>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</si>
  <si>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</si>
  <si>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</si>
  <si>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</si>
  <si>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</si>
  <si>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</si>
  <si>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</si>
  <si>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</si>
  <si>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</si>
  <si>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</si>
  <si>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</si>
  <si>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</si>
  <si>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</si>
  <si>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</si>
  <si>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</si>
  <si>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</si>
  <si>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</si>
  <si>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</si>
  <si>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</si>
  <si>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</si>
  <si>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</si>
  <si>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</si>
  <si>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</si>
  <si>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</si>
  <si>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</si>
  <si>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</si>
  <si>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</si>
  <si>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</si>
  <si>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</si>
  <si>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</si>
  <si>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</si>
  <si>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</si>
  <si>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</si>
  <si>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</si>
  <si>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</si>
  <si>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</si>
  <si>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</si>
  <si>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</si>
  <si>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</si>
  <si>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</si>
  <si>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</si>
  <si>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</si>
  <si>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</si>
  <si>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</si>
  <si>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</si>
  <si>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</si>
  <si>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</si>
  <si>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</si>
  <si>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</si>
  <si>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</si>
  <si>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</si>
  <si>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</si>
  <si>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</si>
  <si>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</si>
  <si>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</si>
  <si>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</si>
  <si>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</si>
  <si>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</si>
  <si>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</si>
  <si>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</si>
  <si>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</si>
  <si>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</si>
  <si>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</si>
  <si>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</si>
  <si>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</si>
  <si>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</si>
  <si>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</si>
  <si>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</si>
  <si>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</si>
  <si>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</si>
  <si>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</si>
  <si>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</si>
  <si>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</si>
  <si>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</si>
  <si>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</si>
  <si>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</si>
  <si>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</si>
  <si>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</si>
  <si>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</si>
  <si>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</si>
  <si>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</si>
  <si>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</si>
  <si>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</si>
  <si>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</si>
  <si>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</si>
  <si>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</si>
  <si>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</si>
  <si>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</si>
  <si>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</si>
  <si>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</si>
  <si>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</si>
  <si>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</si>
  <si>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</si>
  <si>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</si>
  <si>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</si>
  <si>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</si>
  <si>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</si>
  <si>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</si>
  <si>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</si>
  <si>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</si>
  <si>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</si>
  <si>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</si>
  <si>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</si>
  <si>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</si>
  <si>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</si>
  <si>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</si>
  <si>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</si>
  <si>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</si>
  <si>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</si>
  <si>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</si>
  <si>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</si>
  <si>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</si>
  <si>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</si>
  <si>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</si>
  <si>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</si>
  <si>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</si>
  <si>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</si>
  <si>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</si>
  <si>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</si>
  <si>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</si>
  <si>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</si>
  <si>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</si>
  <si>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</si>
  <si>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</si>
  <si>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</si>
  <si>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</si>
  <si>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</si>
  <si>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</si>
  <si>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</si>
  <si>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</si>
  <si>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</si>
  <si>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</si>
  <si>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</si>
  <si>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</si>
  <si>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</si>
  <si>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</si>
  <si>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</si>
  <si>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</si>
  <si>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</si>
  <si>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</si>
  <si>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</si>
  <si>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</si>
  <si>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</si>
  <si>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</si>
  <si>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</si>
  <si>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</si>
  <si>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</si>
  <si>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</si>
  <si>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</si>
  <si>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</si>
  <si>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</si>
  <si>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</si>
  <si>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</si>
  <si>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</si>
  <si>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</si>
  <si>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</si>
  <si>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</si>
  <si>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</si>
  <si>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</si>
  <si>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</si>
  <si>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</si>
  <si>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</si>
  <si>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</si>
  <si>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</si>
  <si>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</si>
  <si>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</si>
  <si>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</si>
  <si>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</si>
  <si>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</si>
  <si>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</si>
  <si>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</si>
  <si>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</si>
  <si>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</si>
  <si>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</si>
  <si>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</si>
  <si>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</si>
  <si>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</si>
  <si>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</si>
  <si>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</si>
  <si>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</si>
  <si>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</si>
  <si>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</si>
  <si>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</si>
  <si>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</si>
  <si>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</si>
  <si>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</si>
  <si>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</si>
  <si>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</si>
  <si>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</si>
  <si>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</si>
  <si>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</si>
  <si>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</si>
  <si>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</si>
  <si>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</si>
  <si>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</si>
  <si>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</si>
  <si>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</si>
  <si>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</si>
  <si>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</si>
  <si>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</si>
  <si>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</si>
  <si>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</si>
  <si>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</si>
  <si>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</si>
  <si>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</si>
  <si>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</si>
  <si>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</si>
  <si>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</si>
  <si>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</si>
  <si>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</si>
  <si>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</si>
  <si>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</si>
  <si>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</si>
  <si>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</si>
  <si>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</si>
  <si>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</si>
  <si>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</si>
  <si>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</si>
  <si>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</si>
  <si>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</si>
  <si>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</si>
  <si>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</si>
  <si>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</si>
  <si>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</si>
  <si>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</si>
  <si>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</si>
  <si>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</si>
  <si>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</si>
  <si>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</si>
  <si>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</si>
  <si>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</si>
  <si>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</si>
  <si>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</si>
  <si>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</si>
  <si>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</si>
  <si>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</si>
  <si>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</si>
  <si>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</si>
  <si>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</si>
  <si>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</si>
  <si>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</si>
  <si>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</si>
  <si>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</si>
  <si>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</si>
  <si>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</si>
  <si>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</si>
  <si>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</si>
  <si>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</si>
  <si>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</si>
  <si>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</si>
  <si>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</si>
  <si>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</si>
  <si>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</si>
  <si>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</si>
  <si>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</si>
  <si>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</si>
  <si>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</si>
  <si>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</si>
  <si>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</si>
  <si>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</si>
  <si>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</si>
  <si>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</si>
  <si>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</si>
  <si>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</si>
  <si>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</si>
  <si>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</si>
  <si>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</si>
  <si>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</si>
  <si>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</si>
  <si>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</si>
  <si>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</si>
  <si>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</si>
  <si>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</si>
  <si>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</si>
  <si>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</si>
  <si>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</si>
  <si>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</si>
  <si>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</si>
  <si>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</si>
  <si>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</si>
  <si>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</si>
  <si>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</si>
  <si>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</si>
  <si>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</si>
  <si>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</si>
  <si>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</si>
  <si>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</si>
  <si>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</si>
  <si>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</si>
  <si>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</si>
  <si>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</si>
  <si>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</si>
  <si>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</si>
  <si>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</si>
  <si>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</si>
  <si>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</si>
  <si>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</si>
  <si>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</si>
  <si>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</si>
  <si>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</si>
  <si>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</si>
  <si>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</si>
  <si>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</si>
  <si>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</si>
  <si>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</si>
  <si>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</si>
  <si>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</si>
  <si>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</si>
  <si>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</si>
  <si>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</si>
  <si>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</si>
  <si>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</si>
  <si>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</si>
  <si>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</si>
  <si>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</si>
  <si>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</si>
  <si>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</si>
  <si>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</si>
  <si>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</si>
  <si>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</si>
  <si>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</si>
  <si>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</si>
  <si>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</si>
  <si>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</si>
  <si>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</si>
  <si>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</si>
  <si>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</si>
  <si>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</si>
  <si>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</si>
  <si>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</si>
  <si>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</si>
  <si>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</si>
  <si>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</si>
  <si>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</si>
  <si>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</si>
  <si>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</si>
  <si>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</si>
  <si>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</si>
  <si>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</si>
  <si>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</si>
  <si>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</si>
  <si>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</si>
  <si>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</si>
  <si>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</si>
  <si>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</si>
  <si>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</si>
  <si>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</si>
  <si>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</si>
  <si>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</si>
  <si>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</si>
  <si>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</si>
  <si>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</si>
  <si>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</si>
  <si>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</si>
  <si>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</si>
  <si>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</si>
  <si>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</si>
  <si>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</si>
  <si>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</si>
  <si>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</si>
  <si>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</si>
  <si>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</si>
  <si>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</si>
  <si>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</si>
  <si>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</si>
  <si>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</si>
  <si>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</si>
  <si>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</si>
  <si>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</si>
  <si>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</si>
  <si>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</si>
  <si>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</si>
  <si>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</si>
  <si>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</si>
  <si>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</si>
  <si>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</si>
  <si>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</si>
  <si>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</si>
  <si>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</si>
  <si>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</si>
  <si>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</si>
  <si>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</si>
  <si>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</si>
  <si>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</si>
  <si>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</si>
  <si>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</si>
  <si>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</si>
  <si>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</si>
  <si>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</si>
  <si>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</si>
  <si>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</si>
  <si>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</si>
  <si>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</si>
  <si>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</si>
  <si>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</si>
  <si>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</si>
  <si>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</si>
  <si>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</si>
  <si>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</si>
  <si>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</si>
  <si>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</si>
  <si>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</si>
  <si>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</si>
  <si>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</si>
  <si>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</si>
  <si>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</si>
  <si>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</si>
  <si>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</si>
  <si>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</si>
  <si>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</si>
  <si>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</si>
  <si>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</si>
  <si>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</si>
  <si>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</si>
  <si>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</si>
  <si>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</si>
  <si>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</si>
  <si>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</si>
  <si>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</si>
  <si>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</si>
  <si>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</si>
  <si>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</si>
  <si>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</si>
  <si>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</si>
  <si>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</si>
  <si>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</si>
  <si>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</si>
  <si>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</si>
  <si>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</si>
  <si>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</si>
  <si>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</si>
  <si>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</si>
  <si>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</si>
  <si>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</si>
  <si>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</si>
  <si>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</si>
  <si>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</si>
  <si>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</si>
  <si>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</si>
  <si>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</si>
  <si>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</si>
  <si>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</si>
  <si>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</si>
  <si>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</si>
  <si>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</si>
  <si>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</si>
  <si>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</si>
  <si>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</si>
  <si>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</si>
  <si>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</si>
  <si>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</si>
  <si>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</si>
  <si>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</si>
  <si>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</si>
  <si>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</si>
  <si>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</si>
  <si>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</si>
  <si>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</si>
  <si>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</si>
  <si>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</si>
  <si>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</si>
  <si>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</si>
  <si>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</si>
  <si>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</si>
  <si>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</si>
  <si>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</si>
  <si>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</si>
  <si>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</si>
  <si>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</si>
  <si>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</si>
  <si>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</si>
  <si>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</si>
  <si>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</si>
  <si>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</si>
  <si>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</si>
  <si>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</si>
  <si>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</si>
  <si>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</si>
  <si>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</si>
  <si>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</si>
  <si>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</si>
  <si>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</si>
  <si>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</si>
  <si>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</si>
  <si>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</si>
  <si>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</si>
  <si>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</si>
  <si>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</si>
  <si>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</si>
  <si>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</si>
  <si>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</si>
  <si>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</si>
  <si>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</si>
  <si>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</si>
  <si>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</si>
  <si>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</si>
  <si>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</si>
  <si>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</si>
  <si>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</si>
  <si>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</si>
  <si>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</si>
  <si>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</si>
  <si>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</si>
  <si>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</si>
  <si>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</si>
  <si>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</si>
  <si>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</si>
  <si>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</si>
  <si>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</si>
  <si>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</si>
  <si>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</si>
  <si>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</si>
  <si>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</si>
  <si>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</si>
  <si>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</si>
  <si>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</si>
  <si>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</si>
  <si>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</si>
  <si>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</si>
  <si>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</si>
  <si>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</si>
  <si>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</si>
  <si>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</si>
  <si>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</si>
  <si>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</si>
  <si>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</si>
  <si>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</si>
  <si>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</si>
  <si>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</si>
  <si>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</si>
  <si>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</si>
  <si>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</si>
  <si>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</si>
  <si>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</si>
  <si>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</si>
  <si>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</si>
  <si>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</si>
  <si>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</si>
  <si>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</si>
  <si>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</si>
  <si>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</si>
  <si>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</si>
  <si>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</si>
  <si>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</si>
  <si>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</si>
  <si>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</si>
  <si>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</si>
  <si>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</si>
  <si>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</si>
  <si>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</si>
  <si>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</si>
  <si>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</si>
  <si>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</si>
  <si>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</si>
  <si>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</si>
  <si>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</si>
  <si>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</si>
  <si>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</si>
  <si>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</si>
  <si>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</si>
  <si>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</si>
  <si>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</si>
  <si>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</si>
  <si>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</si>
  <si>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</si>
  <si>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</si>
  <si>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</si>
  <si>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</si>
  <si>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</si>
  <si>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</si>
  <si>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</si>
  <si>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</si>
  <si>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</si>
  <si>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</si>
  <si>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</si>
  <si>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</si>
  <si>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</si>
  <si>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</si>
  <si>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</si>
  <si>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</si>
  <si>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</si>
  <si>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</si>
  <si>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</si>
  <si>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</si>
  <si>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</si>
  <si>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</si>
  <si>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</si>
  <si>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</si>
  <si>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</si>
  <si>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</si>
  <si>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</si>
  <si>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</si>
  <si>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</si>
  <si>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</si>
  <si>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</si>
  <si>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</si>
  <si>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</si>
  <si>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</si>
  <si>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</si>
  <si>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</si>
  <si>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</si>
  <si>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</si>
  <si>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</si>
  <si>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</si>
  <si>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</si>
  <si>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</si>
  <si>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</si>
  <si>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</si>
  <si>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</si>
  <si>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</si>
  <si>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</si>
  <si>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</si>
  <si>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</si>
  <si>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</si>
  <si>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</si>
  <si>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</si>
  <si>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</si>
  <si>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</si>
  <si>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</si>
  <si>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</si>
  <si>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</si>
  <si>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</si>
  <si>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</si>
  <si>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</si>
  <si>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</si>
  <si>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</si>
  <si>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</si>
  <si>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</si>
  <si>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</si>
  <si>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</si>
  <si>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</si>
  <si>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</si>
  <si>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</si>
  <si>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</si>
  <si>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</si>
  <si>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</si>
  <si>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</si>
  <si>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</si>
  <si>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</si>
  <si>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</si>
  <si>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</si>
  <si>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</si>
  <si>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</si>
  <si>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</si>
  <si>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</si>
  <si>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</si>
  <si>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</si>
  <si>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</si>
  <si>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</si>
  <si>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</si>
  <si>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</si>
  <si>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</si>
  <si>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</si>
  <si>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</si>
  <si>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</si>
  <si>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</si>
  <si>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</si>
  <si>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</si>
  <si>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</si>
  <si>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</si>
  <si>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</si>
  <si>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</si>
  <si>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</si>
  <si>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</si>
  <si>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</si>
  <si>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</si>
  <si>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</si>
  <si>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</si>
  <si>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</si>
  <si>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</si>
  <si>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</si>
  <si>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</si>
  <si>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</si>
  <si>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</si>
  <si>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</si>
  <si>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</si>
  <si>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</si>
  <si>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</si>
  <si>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</si>
  <si>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</si>
  <si>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</si>
  <si>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</si>
  <si>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</si>
  <si>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</si>
  <si>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</si>
  <si>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</si>
  <si>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</si>
  <si>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</si>
  <si>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</si>
  <si>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</si>
  <si>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</si>
  <si>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</si>
  <si>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</si>
  <si>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</si>
  <si>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</si>
  <si>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</si>
  <si>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</si>
  <si>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</si>
  <si>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</si>
  <si>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</si>
  <si>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</si>
  <si>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</si>
  <si>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</si>
  <si>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</si>
  <si>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</si>
  <si>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</si>
  <si>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</si>
  <si>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</si>
  <si>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</si>
  <si>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</si>
  <si>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</si>
  <si>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</si>
  <si>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</si>
  <si>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</si>
  <si>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</si>
  <si>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</si>
  <si>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</si>
  <si>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</si>
  <si>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</si>
  <si>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</si>
  <si>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</si>
  <si>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</si>
  <si>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</si>
  <si>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</si>
  <si>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</si>
  <si>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</si>
  <si>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</si>
  <si>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</si>
  <si>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</si>
  <si>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</si>
  <si>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</si>
  <si>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</si>
  <si>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</si>
  <si>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</si>
  <si>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</si>
  <si>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</si>
  <si>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</si>
  <si>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</si>
  <si>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</si>
  <si>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</si>
  <si>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</si>
  <si>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</si>
  <si>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</si>
  <si>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</si>
  <si>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</si>
  <si>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</si>
  <si>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</si>
  <si>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</si>
  <si>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</si>
  <si>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</si>
  <si>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</si>
  <si>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</si>
  <si>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</si>
  <si>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</si>
  <si>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</si>
  <si>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</si>
  <si>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</si>
  <si>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</si>
  <si>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</si>
  <si>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</si>
  <si>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</si>
  <si>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</si>
  <si>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</si>
  <si>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</si>
  <si>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</si>
  <si>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</si>
  <si>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</si>
  <si>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</si>
  <si>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</si>
  <si>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</si>
  <si>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</si>
  <si>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</si>
  <si>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</si>
  <si>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</si>
  <si>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</si>
  <si>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</si>
  <si>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</si>
  <si>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</si>
  <si>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</si>
  <si>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</si>
  <si>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</si>
  <si>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</si>
  <si>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</si>
  <si>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</si>
  <si>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</si>
  <si>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</si>
  <si>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</si>
  <si>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</si>
  <si>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</si>
  <si>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</si>
  <si>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</si>
  <si>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</si>
  <si>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</si>
  <si>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</si>
  <si>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</si>
  <si>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</si>
  <si>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</si>
  <si>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</si>
  <si>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</si>
  <si>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</si>
  <si>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</si>
  <si>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</si>
  <si>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</si>
  <si>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</si>
  <si>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</si>
  <si>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</si>
  <si>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</si>
  <si>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</si>
  <si>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</si>
  <si>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</si>
  <si>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</si>
  <si>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</si>
  <si>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</si>
  <si>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</si>
  <si>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</si>
  <si>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</si>
  <si>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</si>
  <si>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</si>
  <si>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</si>
  <si>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</si>
  <si>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</si>
  <si>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</si>
  <si>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</si>
  <si>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</si>
  <si>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</si>
  <si>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</si>
  <si>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</si>
  <si>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</si>
  <si>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</si>
  <si>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</si>
  <si>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</si>
  <si>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</si>
  <si>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</si>
  <si>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</si>
  <si>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</si>
  <si>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</si>
  <si>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</si>
  <si>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</si>
  <si>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</si>
  <si>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</si>
  <si>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</si>
  <si>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</si>
  <si>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</si>
  <si>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</si>
  <si>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</si>
  <si>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</si>
  <si>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</si>
  <si>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</si>
  <si>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</si>
  <si>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</si>
  <si>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</si>
  <si>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</si>
  <si>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</si>
  <si>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</si>
  <si>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</si>
  <si>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</si>
  <si>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</si>
  <si>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</si>
  <si>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</si>
  <si>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</si>
  <si>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</si>
  <si>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</si>
  <si>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</si>
  <si>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</si>
  <si>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</si>
  <si>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</si>
  <si>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</si>
  <si>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居住项目</t>
  </si>
  <si>
    <t>地上</t>
  </si>
  <si>
    <t>洋房</t>
  </si>
  <si>
    <t>正常</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</si>
  <si>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</si>
  <si>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</si>
  <si>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</si>
  <si>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</si>
  <si>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</si>
  <si>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</si>
  <si>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</si>
  <si>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</si>
  <si>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</si>
  <si>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</si>
  <si>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</si>
  <si>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</si>
  <si>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</si>
  <si>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</si>
  <si>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</si>
  <si>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</si>
  <si>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</si>
  <si>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</si>
  <si>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</si>
  <si>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</si>
  <si>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</si>
  <si>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</si>
  <si>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</si>
  <si>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</si>
  <si>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</si>
  <si>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</si>
  <si>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</si>
  <si>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</si>
  <si>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</si>
  <si>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</si>
  <si>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</si>
  <si>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</si>
  <si>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</si>
  <si>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</si>
  <si>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</si>
  <si>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</si>
  <si>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</si>
  <si>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</si>
  <si>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</si>
  <si>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</si>
  <si>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</si>
  <si>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</si>
  <si>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</si>
  <si>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</si>
  <si>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</si>
  <si>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</si>
  <si>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</si>
  <si>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</si>
  <si>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</si>
  <si>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不动产收益法</t>
  </si>
  <si>
    <t>土地（套用方法）</t>
  </si>
  <si>
    <t>否</t>
  </si>
  <si>
    <t>底商</t>
  </si>
  <si>
    <t>估价方法</t>
  </si>
  <si>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</si>
  <si>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</si>
  <si>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</si>
  <si>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</si>
  <si>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</si>
  <si>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</si>
  <si>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phoneticPr fontId="21" type="noConversion"/>
  </si>
  <si>
    <t>单位面积地价</t>
  </si>
  <si>
    <t>按租金收入计税</t>
  </si>
  <si>
    <t>七通</t>
  </si>
  <si>
    <t>板楼</t>
  </si>
  <si>
    <t>板楼</t>
    <phoneticPr fontId="21" type="noConversion"/>
  </si>
  <si>
    <t>塔楼</t>
    <phoneticPr fontId="21" type="noConversion"/>
  </si>
  <si>
    <t>高新区文昌东路南侧、兴南路北侧</t>
  </si>
  <si>
    <t>泰州市</t>
  </si>
  <si>
    <t>＞1,＜2</t>
  </si>
  <si>
    <t>2017-07-28</t>
  </si>
  <si>
    <t>泰兴市祥瑞置业有限公司</t>
  </si>
  <si>
    <t>医药高新区兴泰南路东侧、永兴路北侧</t>
  </si>
  <si>
    <t>≥1.1且≤1.3</t>
  </si>
  <si>
    <t>2016-12-29</t>
  </si>
  <si>
    <t>上海新碧房地产开发有限公司</t>
  </si>
  <si>
    <t>医药高新区海陵南路东侧、药城大道北侧</t>
  </si>
  <si>
    <t>≥1.42且≤1.62</t>
  </si>
  <si>
    <t>2016-12-01</t>
  </si>
  <si>
    <t>泰州华盛投资开发有限公司</t>
  </si>
  <si>
    <t>医药高新区海陵南路东侧、药城大道南侧</t>
  </si>
  <si>
    <t>大于或等于2.8并且小于或等于3</t>
  </si>
  <si>
    <t>2016-05-05</t>
  </si>
  <si>
    <t>泰州华信药业投资有限公司</t>
  </si>
  <si>
    <t>医药高新区药城大道南侧、工业邻里中心西侧</t>
  </si>
  <si>
    <t>医药高新区海陵南路东侧约300米、药城大道南侧</t>
  </si>
  <si>
    <t>医药高新区仲野路北侧、会展路东侧</t>
  </si>
  <si>
    <t>医药高新区药城大道南侧、会展路东侧</t>
  </si>
  <si>
    <t>≥2.8,≤3</t>
  </si>
  <si>
    <t>2016-02-25</t>
  </si>
  <si>
    <t>泰州市新滨江开发有限责任公司</t>
  </si>
  <si>
    <t>医药高新区药城大道南侧、会展6号支路西侧</t>
  </si>
  <si>
    <t>医药高新区泰镇路东侧约100米、疏港路北侧</t>
  </si>
  <si>
    <t>医药高新区引江河路东侧、疏港路北侧</t>
  </si>
  <si>
    <t>医药高新区泰镇路东侧约200米、时仙路北侧</t>
  </si>
  <si>
    <t>医药高新区鼓楼南路西侧、周山河南侧</t>
  </si>
  <si>
    <t>泰州新区新农村建设投资发展有限公司</t>
  </si>
  <si>
    <t>医药高新区鼓楼南路西侧、周山河北侧</t>
  </si>
  <si>
    <t>2015-12-24</t>
  </si>
  <si>
    <t>医药高新区鼓楼南路东侧、周山河南侧</t>
  </si>
  <si>
    <t>医药高新区泰州大道西侧、周山河南侧</t>
  </si>
  <si>
    <t>医药高新区前进河东侧约60米、周山河北侧</t>
  </si>
  <si>
    <t>医药高新区周山河南侧、泰白线东侧</t>
  </si>
  <si>
    <t>医药高新区泰州大道西侧、周山河北侧</t>
  </si>
  <si>
    <t>≥2,≤2.2</t>
  </si>
  <si>
    <t>海陵区金东路东侧、规划周桥路北侧</t>
  </si>
  <si>
    <t>2018-08-23</t>
  </si>
  <si>
    <t>泰州市泰政交通投资有限公司</t>
  </si>
  <si>
    <t>周山河街区东风南路西侧、永定东路北侧</t>
  </si>
  <si>
    <t>≥1.592,≤1.781</t>
  </si>
  <si>
    <t>2018-08-16</t>
  </si>
  <si>
    <t>江苏海湖地产有限公司</t>
  </si>
  <si>
    <t>海陵区育才路北侧、春晖路西侧</t>
  </si>
  <si>
    <t>≥1.5,≤1.7</t>
  </si>
  <si>
    <t>上海创霁企业管理有限公司</t>
  </si>
  <si>
    <t>周山河街区引江路北侧、东周港路西侧</t>
  </si>
  <si>
    <t>2018-08-02</t>
  </si>
  <si>
    <t>泰州市碧桂园房地产开发有限公司</t>
  </si>
  <si>
    <t>泰州经济开发区凤凰西路北侧、天虹路西侧</t>
  </si>
  <si>
    <t>≥1.001,≤1.2</t>
  </si>
  <si>
    <t>2017-12-07</t>
  </si>
  <si>
    <t>泰州凤城河建设发展有限公司</t>
  </si>
  <si>
    <t>海陵区东风北路东侧、森园路北侧</t>
  </si>
  <si>
    <t>≥1.74,≤1.93</t>
  </si>
  <si>
    <t>泰州市玉城置业有限公司</t>
  </si>
  <si>
    <t>泰州经济开发区青年南路西侧、苏源花园南侧</t>
  </si>
  <si>
    <t>≥1.6,≤1.8</t>
  </si>
  <si>
    <t>海陵区梅兰西路北侧、青年南路西侧</t>
  </si>
  <si>
    <t>2017-06-29</t>
  </si>
  <si>
    <t>盐城雄建房地产开发有限公司</t>
  </si>
  <si>
    <t>≥1.9,≤2.1</t>
  </si>
  <si>
    <t>天地源</t>
  </si>
  <si>
    <t>海陵区迎宾路南侧、春晖路东侧</t>
  </si>
  <si>
    <t>江苏凯尔置业有限公司</t>
  </si>
  <si>
    <t>海陵区南通路北侧约60米、海陵北路东侧</t>
  </si>
  <si>
    <t>≥1.17且≤1.37</t>
  </si>
  <si>
    <t>海陵区海陵北路东侧、森园路南侧</t>
  </si>
  <si>
    <t>≥1.4且≤1.6</t>
  </si>
  <si>
    <t>泰州经济开发区梅兰西路北侧、天虹路西侧</t>
  </si>
  <si>
    <t>≥1且≤1.2</t>
  </si>
  <si>
    <t>2016-12-08</t>
  </si>
  <si>
    <t>泰州市鑫通置业有限公司</t>
  </si>
  <si>
    <t>泰州经济开发区梅兰西路南侧、南官河西侧</t>
  </si>
  <si>
    <t>≥1.2且≤1.29</t>
  </si>
  <si>
    <t>2016-07-21</t>
  </si>
  <si>
    <t>江苏金领投资管理有限公司</t>
  </si>
  <si>
    <t>泰州市海陵资产经营有限公司</t>
  </si>
  <si>
    <t>海陵区海阳东路北侧、规划智堡路西侧</t>
  </si>
  <si>
    <t>≥3.1,≤3.3</t>
  </si>
  <si>
    <t>泰州市海陵房产开发公司</t>
  </si>
  <si>
    <t>海陵区森园路南侧、江州北路东侧</t>
  </si>
  <si>
    <t>海陵区九龙镇龙翔路东侧、西堤阳光小区北侧</t>
  </si>
  <si>
    <t>泰州市海润国有资产经营公司</t>
  </si>
  <si>
    <t>海陵区九龙镇引江河西侧约250米、西堤阳光小区北侧</t>
  </si>
  <si>
    <t>海陵区九龙镇龙翔路东侧、规划18米道路北侧约50米</t>
  </si>
  <si>
    <t>海陵区九龙镇振兴路北侧、龙园路西侧</t>
  </si>
  <si>
    <t>周山汇水</t>
    <phoneticPr fontId="21" type="noConversion"/>
  </si>
  <si>
    <t>华泽天下</t>
    <phoneticPr fontId="21" type="noConversion"/>
  </si>
  <si>
    <t>恒大华府</t>
    <phoneticPr fontId="21" type="noConversion"/>
  </si>
  <si>
    <t>次干道</t>
    <phoneticPr fontId="21" type="noConversion"/>
  </si>
  <si>
    <t>商业</t>
    <phoneticPr fontId="3" type="noConversion"/>
  </si>
  <si>
    <t>海陵区东风北路东侧、森园路北侧</t>
    <phoneticPr fontId="233" type="noConversion"/>
  </si>
  <si>
    <t>周山河街区引江路南侧、东周港路西测</t>
    <phoneticPr fontId="233" type="noConversion"/>
  </si>
  <si>
    <r>
      <rPr>
        <sz val="10"/>
        <rFont val="宋体"/>
        <family val="3"/>
        <charset val="134"/>
      </rPr>
      <t>周山河街区海军大道北侧约</t>
    </r>
    <r>
      <rPr>
        <sz val="10"/>
        <rFont val="Arial"/>
        <family val="2"/>
      </rPr>
      <t>50</t>
    </r>
    <r>
      <rPr>
        <sz val="10"/>
        <rFont val="宋体"/>
        <family val="3"/>
        <charset val="134"/>
      </rPr>
      <t>米、东周港路西侧</t>
    </r>
    <phoneticPr fontId="233" type="noConversion"/>
  </si>
  <si>
    <t>六通</t>
  </si>
  <si>
    <t>规则</t>
  </si>
  <si>
    <t>规则</t>
    <phoneticPr fontId="26" type="noConversion"/>
  </si>
  <si>
    <t>较规则</t>
    <phoneticPr fontId="26" type="noConversion"/>
  </si>
  <si>
    <t>较不规则</t>
  </si>
  <si>
    <t>较不规则</t>
    <phoneticPr fontId="26" type="noConversion"/>
  </si>
  <si>
    <t>不规则</t>
    <phoneticPr fontId="26" type="noConversion"/>
  </si>
  <si>
    <t>住宅、商业</t>
  </si>
  <si>
    <t>住宅、商业</t>
    <phoneticPr fontId="26" type="noConversion"/>
  </si>
  <si>
    <t>住宅</t>
    <phoneticPr fontId="26"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</si>
</sst>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86" fillId="0" borderId="0" xfId="15"/>
    <xf numFmtId="0" fontId="86" fillId="18" borderId="0" xfId="15" applyFill="1"/>
    <xf numFmtId="0" fontId="0" fillId="18" borderId="0" xfId="0" applyFill="1" applyAlignment="1"/>
    <xf numFmtId="0" fontId="0" fillId="18" borderId="0" xfId="0" applyFill="1">
      <alignment vertical="center"/>
    </xf>
    <xf numFmtId="0" fontId="86" fillId="0" borderId="0" xfId="15"/>
    <xf numFmtId="0" fontId="86" fillId="0" borderId="0" xfId="15"/>
    <xf numFmtId="0" fontId="86" fillId="19" borderId="0" xfId="15" applyFill="1"/>
    <xf numFmtId="0" fontId="0" fillId="19" borderId="0" xfId="0" applyFill="1">
      <alignment vertical="center"/>
    </xf>
    <xf numFmtId="0" fontId="86" fillId="15" borderId="0" xfId="15" applyFill="1"/>
    <xf numFmtId="0" fontId="0" fillId="15" borderId="0" xfId="0" applyFill="1">
      <alignment vertical="center"/>
    </xf>
    <xf numFmtId="0" fontId="146" fillId="0" borderId="0" xfId="0" applyFont="1">
      <alignment vertical="center"/>
    </xf>
    <xf numFmtId="0" fontId="127" fillId="18" borderId="0" xfId="15" applyFont="1" applyFill="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2" borderId="3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10458450"/>
          <a:ext cx="8257143" cy="4676191"/>
        </a:xfrm>
        <a:prstGeom prst="rect">
          <a:avLst/>
        </a:prstGeom>
      </xdr:spPr>
    </xdr:pic>
    <xdr:clientData/>
  </xdr:twoCellAnchor>
  <xdr:twoCellAnchor editAs="oneCell">
    <xdr:from>
      <xdr:col>0</xdr:col>
      <xdr:colOff>0</xdr:colOff>
      <xdr:row>0</xdr:row>
      <xdr:rowOff>0</xdr:rowOff>
    </xdr:from>
    <xdr:to>
      <xdr:col>13</xdr:col>
      <xdr:colOff>170315</xdr:colOff>
      <xdr:row>8</xdr:row>
      <xdr:rowOff>133162</xdr:rowOff>
    </xdr:to>
    <xdr:pic>
      <xdr:nvPicPr>
        <xdr:cNvPr id="8" name="图片 7"/>
        <xdr:cNvPicPr>
          <a:picLocks noChangeAspect="1"/>
        </xdr:cNvPicPr>
      </xdr:nvPicPr>
      <xdr:blipFill>
        <a:blip xmlns:r="http://schemas.openxmlformats.org/officeDocument/2006/relationships" r:embed="rId2"/>
        <a:stretch>
          <a:fillRect/>
        </a:stretch>
      </xdr:blipFill>
      <xdr:spPr>
        <a:xfrm>
          <a:off x="0" y="0"/>
          <a:ext cx="9085715" cy="1504762"/>
        </a:xfrm>
        <a:prstGeom prst="rect">
          <a:avLst/>
        </a:prstGeom>
      </xdr:spPr>
    </xdr:pic>
    <xdr:clientData/>
  </xdr:twoCellAnchor>
  <xdr:twoCellAnchor editAs="oneCell">
    <xdr:from>
      <xdr:col>0</xdr:col>
      <xdr:colOff>0</xdr:colOff>
      <xdr:row>10</xdr:row>
      <xdr:rowOff>9525</xdr:rowOff>
    </xdr:from>
    <xdr:to>
      <xdr:col>13</xdr:col>
      <xdr:colOff>541744</xdr:colOff>
      <xdr:row>18</xdr:row>
      <xdr:rowOff>85544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724025"/>
          <a:ext cx="9457144" cy="1447619"/>
        </a:xfrm>
        <a:prstGeom prst="rect">
          <a:avLst/>
        </a:prstGeom>
      </xdr:spPr>
    </xdr:pic>
    <xdr:clientData/>
  </xdr:twoCellAnchor>
  <xdr:twoCellAnchor editAs="oneCell">
    <xdr:from>
      <xdr:col>0</xdr:col>
      <xdr:colOff>0</xdr:colOff>
      <xdr:row>19</xdr:row>
      <xdr:rowOff>0</xdr:rowOff>
    </xdr:from>
    <xdr:to>
      <xdr:col>12</xdr:col>
      <xdr:colOff>656115</xdr:colOff>
      <xdr:row>27</xdr:row>
      <xdr:rowOff>76019</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3257550"/>
          <a:ext cx="8885715" cy="1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47336平方米。根据《建设工程规划许可证》[]、《出让合同》[]，估价对象规划建筑面积为142008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2018年12月12日（评估专业人员勘察现场之日）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根据《国有土地使用证》[]，估价对象（分摊）出让国有建设用地使用权面积为47336平方米。根据《建设工程规划许可证》[]、《出让合同》[]，估价对象规划建筑面积为142008平方米。</v>
      </c>
    </row>
    <row r="16" spans="1:55" s="2876" customFormat="1">
      <c r="A16" s="2877" t="s">
        <v>2671</v>
      </c>
      <c r="B16" s="2878" t="str">
        <f>'预评函-1'!A22</f>
        <v>本次估价对象为出让国有建设用地使用权，《国有土地使用证》[]证载土地终止日期为住宅2086年3月24日、商业2056年3月24日。截至估价期日，出让国有建设用地使用权剩余土地使用年限为。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估价期日：2018年12月12日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47336</v>
      </c>
    </row>
    <row r="44" spans="1:2">
      <c r="A44" s="2877" t="s">
        <v>2742</v>
      </c>
      <c r="B44" s="2878" t="str">
        <f>'预评函-2'!O3</f>
        <v>规划建筑面积/㎡</v>
      </c>
    </row>
    <row r="45" spans="1:2">
      <c r="A45" s="2877" t="s">
        <v>2724</v>
      </c>
      <c r="B45" s="2878">
        <f>'预评函-2'!O5</f>
        <v>142008</v>
      </c>
    </row>
    <row r="46" spans="1:2">
      <c r="A46" s="2877" t="s">
        <v>2725</v>
      </c>
      <c r="B46" s="2878">
        <f ca="1">'预评函-2'!P5</f>
        <v>13361</v>
      </c>
    </row>
    <row r="47" spans="1:2">
      <c r="A47" s="2877" t="s">
        <v>2726</v>
      </c>
      <c r="B47" s="2878">
        <f ca="1">'预评函-2'!Q5</f>
        <v>4454</v>
      </c>
    </row>
    <row r="48" spans="1:2">
      <c r="A48" s="2877" t="s">
        <v>2727</v>
      </c>
      <c r="B48" s="2878">
        <f ca="1">'预评函-2'!R5</f>
        <v>63247</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89" customWidth="1"/>
    <col min="2" max="2" width="11.375" style="1689" customWidth="1"/>
    <col min="3" max="3" width="12.6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9" t="str">
        <f>IF(B10="北京市","北京市",C10)&amp;F10&amp;B16&amp;"国有建设用地使用权"&amp;B9&amp;"预评估"</f>
        <v>出让国有建设用地使用权抵押价格预评估</v>
      </c>
      <c r="C1" s="3250"/>
      <c r="D1" s="3250"/>
      <c r="E1" s="3250"/>
      <c r="F1" s="3250"/>
      <c r="G1" s="3250"/>
      <c r="H1" s="3250"/>
      <c r="I1" s="3251"/>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43446</v>
      </c>
      <c r="C3" s="1661" t="s">
        <v>1997</v>
      </c>
      <c r="D3" s="1660">
        <f>B3</f>
        <v>43446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55"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56"/>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52"/>
      <c r="C12" s="3253"/>
      <c r="D12" s="3254"/>
      <c r="E12" s="1697" t="s">
        <v>2063</v>
      </c>
      <c r="F12" s="3270" t="s">
        <v>2892</v>
      </c>
      <c r="G12" s="3271"/>
      <c r="H12" s="3271"/>
      <c r="I12" s="3272"/>
      <c r="J12" s="1692"/>
      <c r="K12" s="1772"/>
      <c r="L12" s="1721"/>
      <c r="M12" s="1721"/>
      <c r="N12" s="1692"/>
      <c r="O12" s="1693"/>
      <c r="P12" s="1692"/>
      <c r="Q12" s="1692"/>
      <c r="R12" s="1692"/>
      <c r="S12" s="1692"/>
      <c r="T12" s="1692"/>
      <c r="U12" s="1692"/>
    </row>
    <row r="13" spans="1:21">
      <c r="A13" s="1685" t="s">
        <v>2061</v>
      </c>
      <c r="B13" s="3252"/>
      <c r="C13" s="3253"/>
      <c r="D13" s="3254"/>
      <c r="E13" s="1697" t="s">
        <v>2063</v>
      </c>
      <c r="F13" s="3270" t="s">
        <v>2893</v>
      </c>
      <c r="G13" s="3271"/>
      <c r="H13" s="3271"/>
      <c r="I13" s="3272"/>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2994</v>
      </c>
      <c r="F16" s="1720"/>
      <c r="G16" s="1720"/>
      <c r="H16" s="1720"/>
      <c r="I16" s="1684" t="s">
        <v>1956</v>
      </c>
      <c r="J16" s="1692"/>
      <c r="K16" s="2455" t="str">
        <f>IF(D17="","",D16&amp;TEXT(D17,"yyyy年m月d日;;"))</f>
        <v>住宅2086年3月24日</v>
      </c>
      <c r="L16" s="1697" t="str">
        <f>IF(OR(K16="",M16=""),"","、")</f>
        <v>、</v>
      </c>
      <c r="M16" s="2455" t="str">
        <f>IF(E17="","",E16&amp;TEXT(E17,"yyyy年m月d日;;"))</f>
        <v>商业2056年3月24日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68020</v>
      </c>
      <c r="E17" s="1698">
        <v>57063</v>
      </c>
      <c r="F17" s="1698"/>
      <c r="G17" s="1698"/>
      <c r="H17" s="1698"/>
      <c r="I17" s="1698"/>
      <c r="J17" s="1692"/>
      <c r="K17" s="2454" t="str">
        <f>CONCATENATE(K16,L16,M16,N16,O16,P16,Q16,R16,S16,T16,,U16)</f>
        <v>住宅2086年3月24日、商业2056年3月24日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67.319999999999993</v>
      </c>
      <c r="E19" s="1683">
        <f>IF(B16="出让",IF(E17="","",ROUNDDOWN(MIN((E17-$D$3)/365,E18),2)),E18)</f>
        <v>37.299999999999997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7"/>
      <c r="E20" s="3268"/>
      <c r="F20" s="3268"/>
      <c r="G20" s="3268"/>
      <c r="H20" s="3268"/>
      <c r="I20" s="3269"/>
      <c r="J20" s="1692"/>
      <c r="K20" s="1772"/>
      <c r="L20" s="1721"/>
      <c r="M20" s="1721"/>
      <c r="N20" s="1692"/>
      <c r="O20" s="1693"/>
      <c r="P20" s="1692"/>
      <c r="Q20" s="1692"/>
      <c r="R20" s="1692"/>
      <c r="S20" s="1692"/>
      <c r="T20" s="1692"/>
      <c r="U20" s="1692"/>
    </row>
    <row r="21" spans="1:21">
      <c r="A21" s="1761" t="s">
        <v>1960</v>
      </c>
      <c r="B21" s="1762" t="s">
        <v>1961</v>
      </c>
      <c r="C21" s="1757">
        <f>'数据-汇总表'!E3</f>
        <v>142008</v>
      </c>
      <c r="D21" s="1758" t="s">
        <v>1962</v>
      </c>
      <c r="E21" s="3257" t="s">
        <v>2000</v>
      </c>
      <c r="F21" s="3258"/>
      <c r="G21" s="3258"/>
      <c r="H21" s="3258"/>
      <c r="I21" s="3259"/>
      <c r="J21" s="1692"/>
      <c r="K21" s="1772"/>
      <c r="L21" s="1721"/>
      <c r="M21" s="1721"/>
      <c r="N21" s="1692"/>
      <c r="O21" s="1693"/>
      <c r="P21" s="1692"/>
      <c r="Q21" s="1692"/>
      <c r="R21" s="1692"/>
      <c r="S21" s="1692"/>
      <c r="T21" s="1692"/>
      <c r="U21" s="1692"/>
    </row>
    <row r="22" spans="1:21">
      <c r="A22" s="3147" t="s">
        <v>951</v>
      </c>
      <c r="B22" s="1659" t="s">
        <v>1963</v>
      </c>
      <c r="C22" s="1684">
        <f>'数据-汇总表'!D3</f>
        <v>47336</v>
      </c>
      <c r="D22" s="1685" t="s">
        <v>1962</v>
      </c>
      <c r="E22" s="3257" t="s">
        <v>2894</v>
      </c>
      <c r="F22" s="3258"/>
      <c r="G22" s="3258"/>
      <c r="H22" s="3258"/>
      <c r="I22" s="3259"/>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60" t="s">
        <v>1968</v>
      </c>
      <c r="C24" s="3261"/>
      <c r="D24" s="3262" t="s">
        <v>1969</v>
      </c>
      <c r="E24" s="3263"/>
      <c r="F24" s="1706" t="s">
        <v>1970</v>
      </c>
      <c r="G24" s="1692"/>
      <c r="H24" s="1692"/>
      <c r="I24" s="1705"/>
      <c r="J24" s="1692"/>
      <c r="K24" s="3248"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34" t="s">
        <v>2003</v>
      </c>
      <c r="B31" s="1762" t="s">
        <v>2004</v>
      </c>
      <c r="C31" s="3273" t="s">
        <v>2995</v>
      </c>
      <c r="D31" s="3274"/>
      <c r="E31" s="1692"/>
      <c r="F31" s="1692"/>
      <c r="G31" s="1692"/>
      <c r="H31" s="1692"/>
      <c r="I31" s="1705"/>
      <c r="J31" s="1692"/>
      <c r="K31" s="2457"/>
      <c r="L31" s="1692"/>
      <c r="M31" s="1692"/>
      <c r="N31" s="1692"/>
      <c r="O31" s="1692"/>
      <c r="P31" s="1692"/>
      <c r="Q31" s="1692"/>
      <c r="R31" s="1692"/>
      <c r="S31" s="1692"/>
      <c r="T31" s="1692"/>
      <c r="U31" s="1692"/>
    </row>
    <row r="32" spans="1:21">
      <c r="A32" s="3234"/>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34"/>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35"/>
      <c r="B34" s="1659" t="s">
        <v>2007</v>
      </c>
      <c r="C34" s="3236"/>
      <c r="D34" s="3237"/>
      <c r="E34" s="1692"/>
      <c r="F34" s="1692"/>
      <c r="G34" s="1692"/>
      <c r="H34" s="1692"/>
      <c r="I34" s="1705"/>
      <c r="J34" s="1692"/>
      <c r="K34" s="2457"/>
      <c r="L34" s="1692"/>
      <c r="M34" s="1692"/>
      <c r="N34" s="1692"/>
      <c r="O34" s="1692"/>
      <c r="P34" s="1692"/>
      <c r="Q34" s="1692"/>
      <c r="R34" s="1692"/>
      <c r="S34" s="1692"/>
      <c r="T34" s="1692"/>
      <c r="U34" s="1692"/>
    </row>
    <row r="35" spans="1:21">
      <c r="A35" s="3238" t="s">
        <v>846</v>
      </c>
      <c r="B35" s="1720"/>
      <c r="C35" s="1774" t="str">
        <f>IF(B35="场地平整","——","具体情况：")</f>
        <v>具体情况：</v>
      </c>
      <c r="D35" s="3240"/>
      <c r="E35" s="3241"/>
      <c r="F35" s="3241"/>
      <c r="G35" s="3241"/>
      <c r="H35" s="3241"/>
      <c r="I35" s="3242"/>
      <c r="J35" s="1692"/>
      <c r="K35" s="1773"/>
      <c r="L35" s="1721"/>
      <c r="M35" s="1721"/>
      <c r="N35" s="1692"/>
      <c r="O35" s="1693"/>
      <c r="P35" s="1692"/>
      <c r="Q35" s="1692"/>
      <c r="R35" s="1692"/>
      <c r="S35" s="1692"/>
      <c r="T35" s="1692"/>
      <c r="U35" s="1692"/>
    </row>
    <row r="36" spans="1:21">
      <c r="A36" s="3234"/>
      <c r="B36" s="3243" t="s">
        <v>2056</v>
      </c>
      <c r="C36" s="3244"/>
      <c r="D36" s="1790"/>
      <c r="E36" s="3245"/>
      <c r="F36" s="3245"/>
      <c r="G36" s="1685" t="str">
        <f>IF(B35="场地未平整","估价结果处理","")</f>
        <v/>
      </c>
      <c r="H36" s="3246"/>
      <c r="I36" s="3246"/>
      <c r="J36" s="1692"/>
      <c r="K36" s="1773"/>
      <c r="L36" s="1721"/>
      <c r="M36" s="1721"/>
      <c r="N36" s="1692"/>
      <c r="O36" s="1693"/>
      <c r="P36" s="1692"/>
      <c r="Q36" s="1692"/>
      <c r="R36" s="1692"/>
      <c r="S36" s="1692"/>
      <c r="T36" s="1692"/>
      <c r="U36" s="1692"/>
    </row>
    <row r="37" spans="1:21" ht="28.5">
      <c r="A37" s="3234"/>
      <c r="B37" s="326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34"/>
      <c r="B38" s="3265"/>
      <c r="C38" s="1667" t="s">
        <v>849</v>
      </c>
      <c r="D38" s="1789">
        <f>ROUNDDOWN(MIN(('数据-取费表'!$B$2-D37)/365,D34),1)</f>
        <v>119</v>
      </c>
      <c r="E38" s="1725" t="s">
        <v>850</v>
      </c>
      <c r="F38" s="1692"/>
      <c r="G38" s="1692"/>
      <c r="H38" s="1692"/>
      <c r="I38" s="1705"/>
      <c r="J38" s="1692"/>
      <c r="K38" s="1773"/>
      <c r="L38" s="1692"/>
      <c r="M38" s="1692"/>
      <c r="N38" s="1692"/>
      <c r="O38" s="1692"/>
      <c r="P38" s="1692"/>
      <c r="Q38" s="1692"/>
      <c r="R38" s="1692"/>
      <c r="S38" s="1692"/>
      <c r="T38" s="1692"/>
      <c r="U38" s="1692"/>
    </row>
    <row r="39" spans="1:21">
      <c r="A39" s="3235"/>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47" t="s">
        <v>1987</v>
      </c>
      <c r="T40" s="1729" t="str">
        <f>NUMBERSTRING(7-K40,1)&amp;"通"</f>
        <v>七通</v>
      </c>
      <c r="U40" s="1692"/>
    </row>
    <row r="41" spans="1:21">
      <c r="A41" s="1661"/>
      <c r="B41" s="3239" t="s">
        <v>1721</v>
      </c>
      <c r="C41" s="3239"/>
      <c r="D41" s="3239"/>
      <c r="E41" s="3239"/>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7"/>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32" sqref="E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47336</v>
      </c>
      <c r="B3" s="22">
        <f>IF(C3="否",G5-AT5,G5)</f>
        <v>142008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142008</v>
      </c>
      <c r="H5" s="27">
        <f t="shared" ref="H5:AT5" si="0">SUM(H13:H641)</f>
        <v>142008</v>
      </c>
      <c r="I5" s="27">
        <f t="shared" si="0"/>
        <v>113606</v>
      </c>
      <c r="J5" s="27">
        <f t="shared" si="0"/>
        <v>0</v>
      </c>
      <c r="K5" s="27">
        <f t="shared" si="0"/>
        <v>28402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142008</v>
      </c>
      <c r="BA5" s="29">
        <f t="shared" si="1"/>
        <v>142008</v>
      </c>
      <c r="BB5" s="29">
        <f t="shared" si="1"/>
        <v>113606</v>
      </c>
      <c r="BC5" s="29">
        <f t="shared" si="1"/>
        <v>28402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47336</v>
      </c>
      <c r="F6" s="27" t="s">
        <v>1</v>
      </c>
      <c r="G6" s="27" t="s">
        <v>2</v>
      </c>
      <c r="H6" s="33">
        <f>SUMIF(I$12:AB$12,"总值",I6:AB6)</f>
        <v>47336</v>
      </c>
      <c r="I6" s="27">
        <f t="shared" ref="I6:AB6" si="2">ROUND($A$3*I5/$B$3,2)</f>
        <v>37868.67</v>
      </c>
      <c r="J6" s="27">
        <f t="shared" si="2"/>
        <v>0</v>
      </c>
      <c r="K6" s="27">
        <f t="shared" si="2"/>
        <v>9467.33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47336</v>
      </c>
      <c r="AZ6" s="27" t="s">
        <v>3</v>
      </c>
      <c r="BA6" s="27">
        <f>ROUND($AY$6*BA5/$AZ$5,2)</f>
        <v>47336</v>
      </c>
      <c r="BB6" s="27">
        <f>ROUND($AY$6*BB5/$AZ$5,2)</f>
        <v>37868.67</v>
      </c>
      <c r="BC6" s="27">
        <f t="shared" ref="BC6:BH6" si="4">ROUND($AY$6*BC5/$AZ$5,2)</f>
        <v>9467.33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2996</v>
      </c>
      <c r="J9" s="51"/>
      <c r="K9" s="3017" t="s">
        <v>2996</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922</v>
      </c>
      <c r="J10" s="51"/>
      <c r="K10" s="3019" t="s">
        <v>2994</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2997</v>
      </c>
      <c r="J11" s="71"/>
      <c r="K11" s="3018" t="s">
        <v>3051</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1951</v>
      </c>
      <c r="D13" s="3013" t="s">
        <v>1678</v>
      </c>
      <c r="E13" s="27">
        <f t="shared" ref="E13:E20" si="6">IF($C$3="是",ROUND($A$3*G13/$B$3,2),ROUND($A$3*(G13-AT13)/$B$3,2))</f>
        <v>37868.67</v>
      </c>
      <c r="F13" s="81"/>
      <c r="G13" s="82">
        <f t="shared" ref="G13:G20" si="7">H13+AC13+AT13</f>
        <v>113606</v>
      </c>
      <c r="H13" s="33">
        <f t="shared" ref="H13:H20" si="8">SUMIF(I$12:AB$12,"总值",I13:AB13)</f>
        <v>113606</v>
      </c>
      <c r="I13" s="3016">
        <v>113606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5">
        <f t="shared" ref="AY13:AY20" si="11">ROUND($AY$6*AZ13/$AZ$5,2)</f>
        <v>37868.67</v>
      </c>
      <c r="AZ13" s="27">
        <f t="shared" ref="AZ13:AZ20" si="12">BA13+BL13</f>
        <v>113606</v>
      </c>
      <c r="BA13" s="27">
        <f t="shared" ref="BA13:BA20" si="13">SUM(BB13:BK13)</f>
        <v>113606</v>
      </c>
      <c r="BB13" s="27">
        <f t="shared" ref="BB13:BB20" si="14">IF($D13="是",I13-J13,0)</f>
        <v>113606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3159</v>
      </c>
      <c r="D14" s="3013" t="s">
        <v>1678</v>
      </c>
      <c r="E14" s="27">
        <f t="shared" si="6"/>
        <v>9467.33</v>
      </c>
      <c r="F14" s="81"/>
      <c r="G14" s="82">
        <f t="shared" si="7"/>
        <v>28402</v>
      </c>
      <c r="H14" s="33">
        <f t="shared" si="8"/>
        <v>28402</v>
      </c>
      <c r="I14" s="3016"/>
      <c r="J14" s="3016"/>
      <c r="K14" s="3016">
        <v>28402</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5">
        <f t="shared" si="11"/>
        <v>9467.33</v>
      </c>
      <c r="AZ14" s="27">
        <f t="shared" si="12"/>
        <v>28402</v>
      </c>
      <c r="BA14" s="27">
        <f t="shared" si="13"/>
        <v>28402</v>
      </c>
      <c r="BB14" s="27">
        <f t="shared" si="14"/>
        <v>0</v>
      </c>
      <c r="BC14" s="27">
        <f t="shared" si="15"/>
        <v>28402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6" t="s">
        <v>203</v>
      </c>
      <c r="B2" s="3286"/>
      <c r="C2" s="3286"/>
      <c r="D2" s="1974" t="s">
        <v>204</v>
      </c>
      <c r="E2" s="106" t="s">
        <v>205</v>
      </c>
      <c r="F2" s="1983"/>
      <c r="G2" s="1197"/>
      <c r="H2" s="1198"/>
      <c r="I2" s="1199" t="s">
        <v>856</v>
      </c>
      <c r="J2" s="1983"/>
      <c r="K2" s="1983"/>
      <c r="L2" s="1983"/>
    </row>
    <row r="3" spans="1:16" ht="15.75" thickBot="1">
      <c r="A3" s="3287" t="s">
        <v>206</v>
      </c>
      <c r="B3" s="3287"/>
      <c r="C3" s="3287"/>
      <c r="D3" s="107">
        <f>'数据-基础表'!AY6</f>
        <v>47336</v>
      </c>
      <c r="E3" s="107">
        <f>'数据-基础表'!AZ5</f>
        <v>142008</v>
      </c>
      <c r="F3" s="1983"/>
      <c r="G3" s="280" t="s">
        <v>857</v>
      </c>
      <c r="H3" s="275" t="s">
        <v>858</v>
      </c>
      <c r="I3" s="1975">
        <f>ROUND('数据-基础表'!B3/'数据-基础表'!A3,2)</f>
        <v>3</v>
      </c>
      <c r="J3" s="1983"/>
      <c r="K3" s="1983"/>
      <c r="L3" s="1983"/>
    </row>
    <row r="4" spans="1:16" ht="15">
      <c r="A4" s="3288"/>
      <c r="B4" s="3289"/>
      <c r="C4" s="3290"/>
      <c r="D4" s="108" t="s">
        <v>204</v>
      </c>
      <c r="E4" s="109" t="s">
        <v>205</v>
      </c>
      <c r="F4" s="1983"/>
      <c r="G4" s="1200"/>
      <c r="H4" s="275" t="s">
        <v>859</v>
      </c>
      <c r="I4" s="1975">
        <f>ROUND(SUMIF('数据-基础表'!I9:AS9,"地上",'数据-基础表'!I5:AS5)/'数据-基础表'!A3,2)</f>
        <v>3</v>
      </c>
      <c r="J4" s="1983"/>
      <c r="K4" s="1983"/>
      <c r="L4" s="1983"/>
    </row>
    <row r="5" spans="1:16">
      <c r="A5" s="110" t="s">
        <v>207</v>
      </c>
      <c r="B5" s="3291" t="s">
        <v>230</v>
      </c>
      <c r="C5" s="3291"/>
      <c r="D5" s="111">
        <f>ROUND($D$3*E5/$E$3,2)</f>
        <v>37868.67</v>
      </c>
      <c r="E5" s="112">
        <f>SUMIF('数据-基础表'!$11:$11,"住宅",'数据-基础表'!$5:$5)</f>
        <v>113606</v>
      </c>
      <c r="F5" s="1983"/>
      <c r="G5" s="280" t="s">
        <v>860</v>
      </c>
      <c r="H5" s="275" t="s">
        <v>858</v>
      </c>
      <c r="I5" s="1975">
        <f>ROUND(E31/D31,2)</f>
        <v>3</v>
      </c>
      <c r="J5" s="1983"/>
      <c r="K5" s="1983"/>
      <c r="L5" s="1983"/>
    </row>
    <row r="6" spans="1:16" ht="15" thickBot="1">
      <c r="A6" s="113"/>
      <c r="B6" s="3291" t="s">
        <v>208</v>
      </c>
      <c r="C6" s="3291"/>
      <c r="D6" s="111">
        <f>ROUND($D$3*E6/$E$3,2)</f>
        <v>9467.33</v>
      </c>
      <c r="E6" s="112">
        <f>E3-E5</f>
        <v>28402</v>
      </c>
      <c r="F6" s="1983"/>
      <c r="G6" s="1200"/>
      <c r="H6" s="275" t="s">
        <v>859</v>
      </c>
      <c r="I6" s="1975">
        <f>ROUND(F31/D31,2)</f>
        <v>3</v>
      </c>
      <c r="J6" s="1983"/>
      <c r="K6" s="1983"/>
      <c r="L6" s="1983"/>
    </row>
    <row r="7" spans="1:16" ht="15">
      <c r="A7" s="3283"/>
      <c r="B7" s="3284"/>
      <c r="C7" s="3285"/>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47336</v>
      </c>
      <c r="E8" s="116">
        <f>SUMIF('数据-基础表'!BB10:BK10,"地上",'数据-基础表'!BB5:BK5)</f>
        <v>142008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47336</v>
      </c>
      <c r="E16" s="120">
        <f>SUM(E8:E15)</f>
        <v>142008</v>
      </c>
      <c r="F16" s="1983"/>
      <c r="G16" s="1985"/>
      <c r="H16" s="968" t="s">
        <v>219</v>
      </c>
      <c r="I16" s="969"/>
      <c r="J16" s="1983"/>
      <c r="K16" s="3277" t="s">
        <v>2568</v>
      </c>
      <c r="L16" s="3278"/>
      <c r="M16" s="3278"/>
      <c r="N16" s="3278"/>
      <c r="O16" s="3278"/>
      <c r="P16" s="3279"/>
    </row>
    <row r="17" spans="1:19" ht="15">
      <c r="A17" s="121" t="s">
        <v>216</v>
      </c>
      <c r="B17" s="122" t="s">
        <v>217</v>
      </c>
      <c r="C17" s="2297" t="s">
        <v>2315</v>
      </c>
      <c r="D17" s="108" t="s">
        <v>204</v>
      </c>
      <c r="E17" s="124" t="s">
        <v>205</v>
      </c>
      <c r="F17" s="125"/>
      <c r="G17" s="1365"/>
      <c r="H17" s="970" t="s">
        <v>218</v>
      </c>
      <c r="I17" s="971" t="s">
        <v>2314</v>
      </c>
      <c r="J17" s="1983"/>
      <c r="K17" s="3280" t="s">
        <v>2569</v>
      </c>
      <c r="L17" s="3281"/>
      <c r="M17" s="3282"/>
      <c r="N17" s="3280" t="s">
        <v>2570</v>
      </c>
      <c r="O17" s="3281"/>
      <c r="P17" s="3282"/>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tr">
        <f>'数据-基础表'!C13</f>
        <v>住宅</v>
      </c>
      <c r="D19" s="111">
        <f t="shared" ref="D19:D26" si="1">ROUND($D$3*E19/$E$3,2)</f>
        <v>37868.67</v>
      </c>
      <c r="E19" s="134">
        <f t="shared" ref="E19:E26" si="2">SUM(F19:G19)</f>
        <v>113606</v>
      </c>
      <c r="F19" s="135">
        <f>'数据-基础表'!I13</f>
        <v>113606</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37868.67</v>
      </c>
      <c r="S19" s="2300">
        <f t="shared" si="5"/>
        <v>113606</v>
      </c>
    </row>
    <row r="20" spans="1:19">
      <c r="A20" s="138"/>
      <c r="B20" s="115" t="s">
        <v>226</v>
      </c>
      <c r="C20" s="3023" t="str">
        <f>'数据-基础表'!C14</f>
        <v>商业</v>
      </c>
      <c r="D20" s="111">
        <f t="shared" si="1"/>
        <v>9467.33</v>
      </c>
      <c r="E20" s="134">
        <f t="shared" si="2"/>
        <v>28402</v>
      </c>
      <c r="F20" s="135">
        <f>'数据-基础表'!K14</f>
        <v>28402</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9467.33</v>
      </c>
      <c r="S20" s="2300">
        <f t="shared" si="5"/>
        <v>28402</v>
      </c>
    </row>
    <row r="21" spans="1:19">
      <c r="A21" s="138"/>
      <c r="B21" s="115" t="s">
        <v>226</v>
      </c>
      <c r="C21" s="3023"/>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47336</v>
      </c>
      <c r="E27" s="143">
        <f>IF(SUM(E19:E26)='数据-基础表'!BA5,SUM(E19:E26),IF(F27="地上面积有误","面积有误","地下面积有误"))</f>
        <v>142008</v>
      </c>
      <c r="F27" s="134">
        <f>IF(SUM(F19:F26)=E8,SUM(F19:F26),"地上面积有误")</f>
        <v>142008</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47336</v>
      </c>
      <c r="S27" s="275">
        <f>IF(SUM(S19:S26)=$E$3,SUM(S19:S26),SUM(S19:S26)&amp;"误差"&amp;ROUND(SUM(S19:S26)-E3,2))</f>
        <v>142008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47336</v>
      </c>
      <c r="E31" s="1371">
        <f>E27+E30</f>
        <v>142008</v>
      </c>
      <c r="F31" s="1372">
        <f>F27+F30</f>
        <v>142008</v>
      </c>
      <c r="G31" s="1373">
        <f>G27+G30</f>
        <v>0</v>
      </c>
      <c r="H31" s="1983"/>
      <c r="I31" s="1983"/>
      <c r="J31" s="1983"/>
      <c r="K31" s="1983"/>
      <c r="L31" s="1983"/>
    </row>
    <row r="32" spans="1:19">
      <c r="A32" s="1983"/>
      <c r="B32" s="2362" t="s">
        <v>2323</v>
      </c>
      <c r="C32" s="2646"/>
      <c r="D32" s="1200"/>
      <c r="E32" s="1200">
        <f>SUMIF(C19:C26,"*住宅*",E19:E26)</f>
        <v>113606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21" sqref="AK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43446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68020</v>
      </c>
      <c r="F6" s="174">
        <f>SUMIF(项目基本情况!D$15:I$15,C6,项目基本情况!D$19:I$19)</f>
        <v>67.319999999999993</v>
      </c>
      <c r="G6" s="175">
        <f>IF(ISERROR(ROUND(POWER(1+H6,D6-F6)*(POWER(1+H6,F6)-1)/(POWER(1+H6,D6)-1),3)),0,ROUND(POWER(1+H6,D6-F6)*(POWER(1+H6,F6)-1)/(POWER(1+H6,D6)-1),3))</f>
        <v>0.99399999999999999</v>
      </c>
      <c r="H6" s="3024">
        <v>4.4999999999999998E-2</v>
      </c>
      <c r="I6" s="3024">
        <v>0.05</v>
      </c>
      <c r="J6" s="176">
        <v>8.5000000000000006E-2</v>
      </c>
      <c r="K6" s="179">
        <f>SUMIF('数据-汇总表'!C$19:C$33,'数据-取费表'!A6,'数据-汇总表'!E$19:E$33)</f>
        <v>113606</v>
      </c>
      <c r="L6" s="3025">
        <v>2200</v>
      </c>
      <c r="M6" s="177">
        <f t="shared" ref="M6:M14" si="0">ROUND(K6*L6/10000,0)</f>
        <v>24993</v>
      </c>
      <c r="N6" s="3026">
        <v>0</v>
      </c>
      <c r="O6" s="177">
        <f>IF($N$5="成新度","——",ROUND(M6*N6,0))</f>
        <v>0</v>
      </c>
      <c r="P6" s="178">
        <f>IF($N$5="成新度","——",M6-O6)</f>
        <v>24993</v>
      </c>
      <c r="Q6" s="3027">
        <v>0.2</v>
      </c>
      <c r="R6" s="179">
        <f>SUMIF('数据-汇总表'!C$19:C$33,A6,'数据-汇总表'!R$19:R$33)</f>
        <v>37868.67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t="e">
        <f ca="1">IF(AN6="",0,SUMIF(INDIRECT("'"&amp;AN6&amp;"'"&amp;"!E:E"),$AE$5,INDIRECT("'"&amp;AN6&amp;"'"&amp;"!F:F")))</f>
        <v>#REF!</v>
      </c>
      <c r="AF6" s="141"/>
      <c r="AG6" s="1212">
        <f>IF(AF6="",0,AE6-AF6)</f>
        <v>0</v>
      </c>
      <c r="AH6" s="141"/>
      <c r="AI6" s="187">
        <v>365</v>
      </c>
      <c r="AJ6" s="188"/>
      <c r="AK6" s="189">
        <v>1.4999999999999999E-2</v>
      </c>
      <c r="AL6" s="190">
        <v>1.5E-3</v>
      </c>
      <c r="AM6" s="3038">
        <v>0.02</v>
      </c>
      <c r="AN6" s="2391" t="s">
        <v>3052</v>
      </c>
      <c r="AO6" s="1999"/>
      <c r="AP6" s="1203">
        <f>ROUND(1-1/(1+H6)^F6,3)</f>
        <v>0.94799999999999995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2994</v>
      </c>
      <c r="D7" s="2307">
        <f>SUMIF(项目基本情况!D$15:I$15,C7,项目基本情况!D$18:I$18)</f>
        <v>40</v>
      </c>
      <c r="E7" s="2308">
        <f>IF(B7="","",SUMIF(项目基本情况!D$15:I$15,C7,项目基本情况!D$17:I$17))</f>
        <v>57063</v>
      </c>
      <c r="F7" s="174">
        <f>SUMIF(项目基本情况!D$15:I$15,C7,项目基本情况!D$19:I$19)</f>
        <v>37.299999999999997</v>
      </c>
      <c r="G7" s="175">
        <f t="shared" ref="G7:G11" si="2">IF(ISERROR(ROUND(POWER(1+H7,D7-F7)*(POWER(1+H7,F7)-1)/(POWER(1+H7,D7)-1),3)),0,ROUND(POWER(1+H7,D7-F7)*(POWER(1+H7,F7)-1)/(POWER(1+H7,D7)-1),3))</f>
        <v>0.97699999999999998</v>
      </c>
      <c r="H7" s="3024">
        <v>0.05</v>
      </c>
      <c r="I7" s="3024">
        <v>5.5E-2</v>
      </c>
      <c r="J7" s="176">
        <v>8.5000000000000006E-2</v>
      </c>
      <c r="K7" s="179">
        <f>SUMIF('数据-汇总表'!C$19:C$33,'数据-取费表'!A7,'数据-汇总表'!E$19:E$33)</f>
        <v>28402</v>
      </c>
      <c r="L7" s="3025">
        <v>3000</v>
      </c>
      <c r="M7" s="177">
        <f t="shared" si="0"/>
        <v>8521</v>
      </c>
      <c r="N7" s="3026">
        <v>0</v>
      </c>
      <c r="O7" s="177">
        <f t="shared" ref="O7:O14" si="3">IF($N$5="成新度","——",ROUND(M7*N7,0))</f>
        <v>0</v>
      </c>
      <c r="P7" s="178">
        <f t="shared" ref="P7:P14" si="4">IF($N$5="成新度","——",M7-O7)</f>
        <v>8521</v>
      </c>
      <c r="Q7" s="3027">
        <v>0.2</v>
      </c>
      <c r="R7" s="179">
        <f>SUMIF('数据-汇总表'!C$19:C$33,A7,'数据-汇总表'!R$19:R$33)</f>
        <v>9467.33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2.5000000000000001E-2</v>
      </c>
      <c r="W7" s="181">
        <v>0.1</v>
      </c>
      <c r="X7" s="2320"/>
      <c r="Y7" s="182"/>
      <c r="Z7" s="183"/>
      <c r="AA7" s="176"/>
      <c r="AB7" s="176"/>
      <c r="AC7" s="2323"/>
      <c r="AD7" s="184"/>
      <c r="AE7" s="972">
        <f t="shared" ref="AE7:AE13" ca="1" si="6">IF(AN7="",0,SUMIF(INDIRECT("'"&amp;AN7&amp;"'"&amp;"!E:E"),$AE$5,INDIRECT("'"&amp;AN7&amp;"'"&amp;"!F:F")))</f>
        <v>35.299999999999997</v>
      </c>
      <c r="AF7" s="141"/>
      <c r="AG7" s="1212">
        <f t="shared" ref="AG7:AG13" si="7">IF(AF7="",0,AE7-AF7)</f>
        <v>0</v>
      </c>
      <c r="AH7" s="141"/>
      <c r="AI7" s="187">
        <v>365</v>
      </c>
      <c r="AJ7" s="188"/>
      <c r="AK7" s="189">
        <v>1.4999999999999999E-2</v>
      </c>
      <c r="AL7" s="190">
        <v>1.5E-3</v>
      </c>
      <c r="AM7" s="3038">
        <v>0.02</v>
      </c>
      <c r="AN7" s="2391" t="s">
        <v>3048</v>
      </c>
      <c r="AO7" s="1999"/>
      <c r="AP7" s="1203">
        <f t="shared" ref="AP7:AP13" si="8">ROUND(1-1/(1+H7)^F7,3)</f>
        <v>0.83799999999999997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0.99099999999999999</v>
      </c>
      <c r="H16" s="203">
        <f>ROUND(SUMPRODUCT(H6:H13,K6:K13)/SUMPRODUCT((H6:H13&gt;0)*(K6:K13)),3)</f>
        <v>4.5999999999999999E-2</v>
      </c>
      <c r="I16" s="204"/>
      <c r="J16" s="204"/>
      <c r="K16" s="205">
        <f>SUM(K6:K15)</f>
        <v>142008</v>
      </c>
      <c r="L16" s="206">
        <f>ROUND(M16*10000/SUM(K6:K14),0)</f>
        <v>2360</v>
      </c>
      <c r="M16" s="206">
        <f>SUM(M6:M14)</f>
        <v>33514</v>
      </c>
      <c r="N16" s="207">
        <f>ROUND(SUMPRODUCT(M6:M14,N6:N14)/M16,3)</f>
        <v>0</v>
      </c>
      <c r="O16" s="206">
        <f>SUM(O6:O14)</f>
        <v>0</v>
      </c>
      <c r="P16" s="206">
        <f>SUM(P6:P14)</f>
        <v>33514</v>
      </c>
      <c r="Q16" s="208">
        <f>ROUND(SUMPRODUCT(Q6:Q13,K6:K13)/SUMPRODUCT((Q6:Q13&gt;0)*(K6:K13)),2)</f>
        <v>0.2</v>
      </c>
      <c r="R16" s="2310">
        <f>SUM(R6:R13)</f>
        <v>47336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0.92600000000000005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2">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3">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1">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5.3000000000000005E-2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3.0000000000000001E-3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0.01</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924</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v>12</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1663</v>
      </c>
      <c r="B1" s="3293"/>
      <c r="C1" s="3293"/>
      <c r="D1" s="3293"/>
      <c r="E1" s="3293"/>
      <c r="F1" s="3293"/>
      <c r="G1" s="3293"/>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0" t="s">
        <v>2925</v>
      </c>
      <c r="D3" s="2008"/>
      <c r="E3" s="1228" t="s">
        <v>1666</v>
      </c>
      <c r="F3" s="1229" t="s">
        <v>1654</v>
      </c>
      <c r="G3" s="3084" t="s">
        <v>2924</v>
      </c>
      <c r="H3" s="2007"/>
      <c r="I3" s="2007"/>
      <c r="J3" s="2007"/>
      <c r="K3" s="2007"/>
      <c r="L3" s="2007"/>
      <c r="M3" s="2007"/>
      <c r="N3" s="2007"/>
      <c r="O3" s="2007"/>
      <c r="P3" s="2007"/>
      <c r="Q3" s="2007"/>
      <c r="R3" s="2007"/>
    </row>
    <row r="4" spans="1:18" ht="41.25">
      <c r="A4" s="1228"/>
      <c r="B4" s="1230" t="s">
        <v>1667</v>
      </c>
      <c r="C4" s="3081" t="s">
        <v>2926</v>
      </c>
      <c r="D4" s="2008"/>
      <c r="E4" s="1231"/>
      <c r="F4" s="1232" t="s">
        <v>1668</v>
      </c>
      <c r="G4" s="3082" t="s">
        <v>2921</v>
      </c>
      <c r="H4" s="2007"/>
      <c r="I4" s="2007"/>
      <c r="J4" s="2007"/>
      <c r="K4" s="2007"/>
      <c r="L4" s="2007"/>
      <c r="M4" s="2007"/>
      <c r="N4" s="2007"/>
      <c r="O4" s="2007"/>
      <c r="P4" s="2007"/>
      <c r="Q4" s="2007"/>
      <c r="R4" s="2007"/>
    </row>
    <row r="5" spans="1:18" ht="41.25">
      <c r="A5" s="1228"/>
      <c r="B5" s="1230" t="s">
        <v>1669</v>
      </c>
      <c r="C5" s="3081" t="s">
        <v>2927</v>
      </c>
      <c r="D5" s="2008"/>
      <c r="E5" s="1231"/>
      <c r="F5" s="1230" t="s">
        <v>2548</v>
      </c>
      <c r="G5" s="3082" t="s">
        <v>2922</v>
      </c>
      <c r="H5" s="2007"/>
      <c r="I5" s="2007"/>
      <c r="J5" s="2007"/>
      <c r="K5" s="2007"/>
      <c r="L5" s="2007"/>
      <c r="M5" s="2007"/>
      <c r="N5" s="2007"/>
      <c r="O5" s="2007"/>
      <c r="P5" s="2007"/>
      <c r="Q5" s="2007"/>
      <c r="R5" s="2007"/>
    </row>
    <row r="6" spans="1:18" ht="54">
      <c r="A6" s="1228"/>
      <c r="B6" s="1230" t="s">
        <v>1655</v>
      </c>
      <c r="C6" s="3082" t="s">
        <v>2921</v>
      </c>
      <c r="D6" s="2008"/>
      <c r="E6" s="1231"/>
      <c r="F6" s="1230" t="s">
        <v>2549</v>
      </c>
      <c r="G6" s="3082" t="s">
        <v>2919</v>
      </c>
      <c r="H6" s="2007"/>
      <c r="I6" s="2007"/>
      <c r="J6" s="2007"/>
      <c r="K6" s="2007"/>
      <c r="L6" s="2007"/>
      <c r="M6" s="2007"/>
      <c r="N6" s="2007"/>
      <c r="O6" s="2007"/>
      <c r="P6" s="2007"/>
      <c r="Q6" s="2007"/>
      <c r="R6" s="2007"/>
    </row>
    <row r="7" spans="1:18" ht="41.25" thickBot="1">
      <c r="A7" s="1228"/>
      <c r="B7" s="1230" t="s">
        <v>2548</v>
      </c>
      <c r="C7" s="3082" t="s">
        <v>2922</v>
      </c>
      <c r="D7" s="2009"/>
      <c r="E7" s="1233"/>
      <c r="F7" s="1234" t="s">
        <v>1670</v>
      </c>
      <c r="G7" s="3085" t="s">
        <v>2923</v>
      </c>
      <c r="H7" s="2007"/>
      <c r="I7" s="2007"/>
      <c r="J7" s="2007"/>
      <c r="K7" s="2007"/>
      <c r="L7" s="2007"/>
      <c r="M7" s="2007"/>
      <c r="N7" s="2007"/>
      <c r="O7" s="2007"/>
      <c r="P7" s="2007"/>
      <c r="Q7" s="2007"/>
      <c r="R7" s="2007"/>
    </row>
    <row r="8" spans="1:18" ht="27">
      <c r="A8" s="1228"/>
      <c r="B8" s="1230" t="s">
        <v>2549</v>
      </c>
      <c r="C8" s="3082" t="s">
        <v>2919</v>
      </c>
      <c r="D8" s="2009"/>
      <c r="E8" s="2009"/>
      <c r="F8" s="1552"/>
      <c r="G8" s="1552"/>
      <c r="H8" s="2007"/>
      <c r="I8" s="2007"/>
      <c r="J8" s="2007"/>
      <c r="K8" s="2007"/>
      <c r="L8" s="2007"/>
      <c r="M8" s="2007"/>
      <c r="N8" s="2007"/>
      <c r="O8" s="2007"/>
      <c r="P8" s="2007"/>
      <c r="Q8" s="2007"/>
      <c r="R8" s="2007"/>
    </row>
    <row r="9" spans="1:18" ht="40.5">
      <c r="A9" s="1228"/>
      <c r="B9" s="1230" t="s">
        <v>1656</v>
      </c>
      <c r="C9" s="3081"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3"/>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6"/>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6"/>
      <c r="E23" s="2586"/>
      <c r="F23" s="1247" t="s">
        <v>1675</v>
      </c>
      <c r="G23" s="3087"/>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2846</v>
      </c>
      <c r="B1" s="3044">
        <f>SUM(B14:B23)</f>
        <v>142008</v>
      </c>
      <c r="C1" s="3045"/>
      <c r="D1" s="3045"/>
      <c r="E1" s="3045"/>
      <c r="F1" s="3045"/>
    </row>
    <row r="2" spans="1:9" ht="16.5">
      <c r="A2" s="3044" t="s">
        <v>2847</v>
      </c>
      <c r="B2" s="3044">
        <f>SUM(C14:C23)</f>
        <v>47336</v>
      </c>
      <c r="C2" s="3045"/>
      <c r="D2" s="3045"/>
      <c r="E2" s="3045"/>
      <c r="F2" s="3045"/>
    </row>
    <row r="3" spans="1:9" ht="16.5">
      <c r="A3" s="3044" t="s">
        <v>2848</v>
      </c>
      <c r="B3" s="3046">
        <f>项目基本情况!D3</f>
        <v>43446</v>
      </c>
      <c r="C3" s="3045"/>
      <c r="D3" s="3045"/>
      <c r="E3" s="3045"/>
      <c r="F3" s="3045"/>
    </row>
    <row r="4" spans="1:9" ht="33">
      <c r="A4" s="3044" t="s">
        <v>2849</v>
      </c>
      <c r="B4" s="3044" t="s">
        <v>2850</v>
      </c>
      <c r="C4" s="3044" t="s">
        <v>2851</v>
      </c>
      <c r="D4" s="3044" t="s">
        <v>2852</v>
      </c>
      <c r="E4" s="3045"/>
      <c r="F4" s="3045"/>
    </row>
    <row r="5" spans="1:9" ht="16.5">
      <c r="A5" s="3044" t="s">
        <v>2853</v>
      </c>
      <c r="B5" s="3044">
        <f ca="1">SUM(D14:D23)</f>
        <v>63247</v>
      </c>
      <c r="C5" s="3044">
        <f ca="1">ROUND(B5*10000/$B$1,0)</f>
        <v>4454</v>
      </c>
      <c r="D5" s="3044">
        <f ca="1">ROUND(B5*10000/$B$2,0)</f>
        <v>13361</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142008</v>
      </c>
      <c r="C14" s="3048">
        <f>结果表!K38</f>
        <v>47336</v>
      </c>
      <c r="D14" s="3048">
        <f ca="1">结果表!C42</f>
        <v>63247</v>
      </c>
      <c r="E14" s="3048">
        <f ca="1">ROUND(D14*10000/B14,0)</f>
        <v>4454</v>
      </c>
      <c r="F14" s="3048">
        <f ca="1">ROUND(D14*10000/C14,0)</f>
        <v>13361</v>
      </c>
      <c r="G14" s="3048" t="str">
        <f>结果表!C44</f>
        <v>——</v>
      </c>
      <c r="H14" s="3048" t="str">
        <f>结果表!C45</f>
        <v>——</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G28" sqref="G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23" t="s">
        <v>298</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25">
      <c r="A4" s="258" t="s">
        <v>299</v>
      </c>
      <c r="B4" s="259" t="s">
        <v>300</v>
      </c>
      <c r="C4" s="260" t="s">
        <v>3044</v>
      </c>
      <c r="D4" s="260" t="s">
        <v>3043</v>
      </c>
      <c r="E4" s="3295" t="s">
        <v>301</v>
      </c>
      <c r="F4" s="3296"/>
      <c r="G4" s="3296"/>
      <c r="H4" s="3296"/>
      <c r="I4" s="332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4" t="s">
        <v>302</v>
      </c>
      <c r="B5" s="3320">
        <v>25</v>
      </c>
      <c r="C5" s="3318"/>
      <c r="D5" s="3322"/>
      <c r="E5" s="261" t="s">
        <v>303</v>
      </c>
      <c r="F5" s="262"/>
      <c r="G5" s="262"/>
      <c r="H5" s="262"/>
      <c r="I5" s="263"/>
      <c r="J5" s="2029"/>
      <c r="K5" s="2028"/>
      <c r="L5" s="2028"/>
      <c r="M5" s="2028"/>
      <c r="N5" s="2028"/>
      <c r="O5" s="2028"/>
      <c r="P5" s="2028"/>
      <c r="Q5" s="2028"/>
      <c r="R5" s="2028"/>
      <c r="S5" s="2028"/>
      <c r="T5" s="2028"/>
      <c r="U5" s="2028"/>
      <c r="V5" s="2028"/>
    </row>
    <row r="6" spans="1:22" ht="14.25">
      <c r="A6" s="3294"/>
      <c r="B6" s="3320"/>
      <c r="C6" s="3321"/>
      <c r="D6" s="3322"/>
      <c r="E6" s="261" t="s">
        <v>304</v>
      </c>
      <c r="F6" s="262"/>
      <c r="G6" s="262"/>
      <c r="H6" s="262"/>
      <c r="I6" s="263"/>
      <c r="J6" s="2029"/>
      <c r="K6" s="2028"/>
      <c r="L6" s="2028"/>
      <c r="M6" s="2028"/>
      <c r="N6" s="2028"/>
      <c r="O6" s="2028"/>
      <c r="P6" s="2028"/>
      <c r="Q6" s="2028"/>
      <c r="R6" s="2028"/>
      <c r="S6" s="2028"/>
      <c r="T6" s="2028"/>
      <c r="U6" s="2028"/>
      <c r="V6" s="2028"/>
    </row>
    <row r="7" spans="1:22" ht="14.25">
      <c r="A7" s="3294"/>
      <c r="B7" s="3320"/>
      <c r="C7" s="3319"/>
      <c r="D7" s="3322"/>
      <c r="E7" s="261" t="s">
        <v>305</v>
      </c>
      <c r="F7" s="262"/>
      <c r="G7" s="262"/>
      <c r="H7" s="262"/>
      <c r="I7" s="263"/>
      <c r="J7" s="2029"/>
      <c r="K7" s="2028"/>
      <c r="L7" s="2028"/>
      <c r="M7" s="2028"/>
      <c r="N7" s="2028"/>
      <c r="O7" s="2028"/>
      <c r="P7" s="2028"/>
      <c r="Q7" s="2028"/>
      <c r="R7" s="2028"/>
      <c r="S7" s="2028"/>
      <c r="T7" s="2028"/>
      <c r="U7" s="2028"/>
      <c r="V7" s="2028"/>
    </row>
    <row r="8" spans="1:22" ht="14.25">
      <c r="A8" s="3294" t="s">
        <v>306</v>
      </c>
      <c r="B8" s="3320">
        <v>15</v>
      </c>
      <c r="C8" s="3318"/>
      <c r="D8" s="3322"/>
      <c r="E8" s="261" t="s">
        <v>307</v>
      </c>
      <c r="F8" s="262"/>
      <c r="G8" s="262"/>
      <c r="H8" s="262"/>
      <c r="I8" s="263"/>
      <c r="J8" s="2029"/>
      <c r="K8" s="2028"/>
      <c r="L8" s="2028"/>
      <c r="M8" s="2028"/>
      <c r="N8" s="2028"/>
      <c r="O8" s="2028"/>
      <c r="P8" s="2028"/>
      <c r="Q8" s="2028"/>
      <c r="R8" s="2028"/>
      <c r="S8" s="2028"/>
      <c r="T8" s="2028"/>
      <c r="U8" s="2028"/>
      <c r="V8" s="2028"/>
    </row>
    <row r="9" spans="1:22" ht="14.25">
      <c r="A9" s="3294"/>
      <c r="B9" s="3320"/>
      <c r="C9" s="3319"/>
      <c r="D9" s="3322"/>
      <c r="E9" s="261" t="s">
        <v>308</v>
      </c>
      <c r="F9" s="262"/>
      <c r="G9" s="262"/>
      <c r="H9" s="262"/>
      <c r="I9" s="263"/>
      <c r="J9" s="2029"/>
      <c r="K9" s="2028"/>
      <c r="L9" s="2028"/>
      <c r="M9" s="2028"/>
      <c r="N9" s="2028"/>
      <c r="O9" s="2028"/>
      <c r="P9" s="2028"/>
      <c r="Q9" s="2028"/>
      <c r="R9" s="2028"/>
      <c r="S9" s="2028"/>
      <c r="T9" s="2028"/>
      <c r="U9" s="2028"/>
      <c r="V9" s="2028"/>
    </row>
    <row r="10" spans="1:22" ht="14.25">
      <c r="A10" s="3294" t="s">
        <v>309</v>
      </c>
      <c r="B10" s="3320">
        <v>15</v>
      </c>
      <c r="C10" s="3318"/>
      <c r="D10" s="3322"/>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4"/>
      <c r="B11" s="3320"/>
      <c r="C11" s="3319"/>
      <c r="D11" s="3322"/>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4" t="s">
        <v>312</v>
      </c>
      <c r="B12" s="3320">
        <v>15</v>
      </c>
      <c r="C12" s="3318"/>
      <c r="D12" s="3322"/>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4"/>
      <c r="B13" s="3320"/>
      <c r="C13" s="3319"/>
      <c r="D13" s="3322"/>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4" t="s">
        <v>315</v>
      </c>
      <c r="B14" s="3320">
        <v>30</v>
      </c>
      <c r="C14" s="3318">
        <v>5</v>
      </c>
      <c r="D14" s="332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4"/>
      <c r="B15" s="3320"/>
      <c r="C15" s="3321"/>
      <c r="D15" s="3322"/>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4"/>
      <c r="B16" s="3320"/>
      <c r="C16" s="3319"/>
      <c r="D16" s="332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63804</v>
      </c>
      <c r="D19" s="271">
        <f ca="1">SUMIF(INDIRECT("'"&amp;D4&amp;"'"&amp;"!A:A"),结果表!B19,INDIRECT("'"&amp;D4&amp;"'"&amp;"!B:B"))</f>
        <v>70263</v>
      </c>
      <c r="E19" s="268" t="s">
        <v>323</v>
      </c>
      <c r="F19" s="269" t="s">
        <v>322</v>
      </c>
      <c r="G19" s="272">
        <f ca="1">ROUND(C19*$C$18+D19*$D$18,0)</f>
        <v>67034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4493</v>
      </c>
      <c r="D20" s="277">
        <f ca="1">SUMIF(INDIRECT("'"&amp;D4&amp;"'"&amp;"!A:A"),结果表!B20,INDIRECT("'"&amp;D4&amp;"'"&amp;"!B:B"))</f>
        <v>4948</v>
      </c>
      <c r="E20" s="274"/>
      <c r="F20" s="275" t="s">
        <v>325</v>
      </c>
      <c r="G20" s="278">
        <f ca="1">ROUND(C20*$C$18+D20*$D$18,0)</f>
        <v>4721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13479</v>
      </c>
      <c r="D21" s="151">
        <f ca="1">SUMIF(INDIRECT("'"&amp;D4&amp;"'"&amp;"!A:A"),结果表!B21,INDIRECT("'"&amp;D4&amp;"'"&amp;"!B:B"))</f>
        <v>14843</v>
      </c>
      <c r="E21" s="274"/>
      <c r="F21" s="280" t="s">
        <v>327</v>
      </c>
      <c r="G21" s="282">
        <f ca="1">ROUND(C21*$C$18+D21*$D$18,0)</f>
        <v>14161</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0.10123189768666552</v>
      </c>
      <c r="E22" s="284"/>
      <c r="F22" s="285"/>
      <c r="G22" s="286">
        <f ca="1">ROUND(G19/('数据-汇总表'!D3/666.67),0)</f>
        <v>944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330</v>
      </c>
      <c r="B24" s="269" t="s">
        <v>322</v>
      </c>
      <c r="C24" s="288">
        <f>IF(B30=0,0,D30)</f>
        <v>3787</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1"/>
      <c r="B25" s="1320" t="s">
        <v>3060</v>
      </c>
      <c r="C25" s="290">
        <f>IF(B30=0,0,C30)</f>
        <v>0</v>
      </c>
      <c r="D25" s="291"/>
      <c r="E25" s="311"/>
      <c r="F25" s="311"/>
      <c r="G25" s="311"/>
      <c r="H25" s="311"/>
      <c r="I25" s="311"/>
      <c r="J25" s="2028"/>
      <c r="K25" s="1254" t="str">
        <f ca="1">项目基本情况!B16&amp;"国有建设用地使用权价格："&amp;O38&amp;"万元"</f>
        <v>出让国有建设用地使用权价格：63247万元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大写金额：人民币陆亿叁仟贰佰肆拾柒万元整</v>
      </c>
      <c r="L26" s="1251"/>
      <c r="M26" s="1251"/>
      <c r="N26" s="1251"/>
      <c r="O26" s="1250"/>
      <c r="P26" s="2028"/>
      <c r="Q26" s="2028"/>
      <c r="R26" s="2028"/>
      <c r="S26" s="2028"/>
      <c r="T26" s="2028"/>
      <c r="U26" s="2028"/>
      <c r="V26" s="2028"/>
      <c r="W26" s="292"/>
      <c r="X26" s="292"/>
      <c r="Y26" s="292"/>
      <c r="Z26" s="292"/>
    </row>
    <row r="27" spans="1:26" ht="18">
      <c r="A27" s="293"/>
      <c r="B27" s="294">
        <f>'数据-基础表'!A3</f>
        <v>47336</v>
      </c>
      <c r="C27" s="294">
        <v>800</v>
      </c>
      <c r="D27" s="295">
        <f>ROUND(B27*C27/10000,0)</f>
        <v>3787</v>
      </c>
      <c r="E27" s="311"/>
      <c r="F27" s="311"/>
      <c r="G27" s="311"/>
      <c r="H27" s="311"/>
      <c r="I27" s="311"/>
      <c r="J27" s="2028"/>
      <c r="K27" s="1257" t="str">
        <f ca="1">"单位面积地价："&amp;M38&amp;"元/平方米"</f>
        <v>单位面积地价：13361元/平方米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楼面地价：4454元/平方米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29" t="s">
        <v>335</v>
      </c>
      <c r="B30" s="309">
        <f>B27</f>
        <v>47336</v>
      </c>
      <c r="C30" s="309"/>
      <c r="D30" s="310">
        <f>D27</f>
        <v>3787</v>
      </c>
      <c r="E30" s="3130"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63247</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4454</v>
      </c>
      <c r="D33" s="1384" t="s">
        <v>1691</v>
      </c>
      <c r="E33" s="3300"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13361</v>
      </c>
      <c r="D34" s="1386" t="s">
        <v>1691</v>
      </c>
      <c r="E34" s="3341"/>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891</v>
      </c>
      <c r="D35" s="1389" t="s">
        <v>1693</v>
      </c>
      <c r="E35" s="3342"/>
      <c r="F35" s="301" t="s">
        <v>341</v>
      </c>
      <c r="G35" s="981"/>
      <c r="H35" s="980" t="s">
        <v>342</v>
      </c>
      <c r="I35" s="311"/>
      <c r="J35" s="2028"/>
      <c r="K35" s="3315" t="s">
        <v>349</v>
      </c>
      <c r="L35" s="3315" t="s">
        <v>350</v>
      </c>
      <c r="M35" s="1263" t="s">
        <v>351</v>
      </c>
      <c r="N35" s="3315" t="s">
        <v>352</v>
      </c>
      <c r="O35" s="3315" t="s">
        <v>353</v>
      </c>
      <c r="P35" s="2028"/>
      <c r="V35" s="2028"/>
    </row>
    <row r="36" spans="1:26" ht="16.5" customHeight="1">
      <c r="A36" s="303" t="s">
        <v>343</v>
      </c>
      <c r="B36" s="304" t="s">
        <v>332</v>
      </c>
      <c r="C36" s="305" t="s">
        <v>344</v>
      </c>
      <c r="D36" s="305" t="s">
        <v>345</v>
      </c>
      <c r="E36" s="306" t="s">
        <v>346</v>
      </c>
      <c r="F36" s="311"/>
      <c r="G36" s="311"/>
      <c r="H36" s="311"/>
      <c r="I36" s="311"/>
      <c r="J36" s="2030"/>
      <c r="K36" s="3316"/>
      <c r="L36" s="3316"/>
      <c r="M36" s="1265" t="s">
        <v>354</v>
      </c>
      <c r="N36" s="3316"/>
      <c r="O36" s="3316"/>
      <c r="P36" s="2028"/>
      <c r="V36" s="2028"/>
    </row>
    <row r="37" spans="1:26" ht="16.5" customHeight="1" thickBot="1">
      <c r="A37" s="1259" t="s">
        <v>347</v>
      </c>
      <c r="B37" s="307"/>
      <c r="C37" s="294"/>
      <c r="D37" s="294"/>
      <c r="E37" s="295"/>
      <c r="F37" s="311"/>
      <c r="G37" s="311"/>
      <c r="H37" s="311"/>
      <c r="I37" s="311"/>
      <c r="J37" s="2030"/>
      <c r="K37" s="3317"/>
      <c r="L37" s="3317"/>
      <c r="M37" s="1266"/>
      <c r="N37" s="3317"/>
      <c r="O37" s="3317"/>
      <c r="P37" s="2028"/>
      <c r="V37" s="2028"/>
    </row>
    <row r="38" spans="1:26" ht="16.5" customHeight="1" thickBot="1">
      <c r="A38" s="1259" t="s">
        <v>348</v>
      </c>
      <c r="B38" s="307"/>
      <c r="C38" s="294"/>
      <c r="D38" s="294"/>
      <c r="E38" s="295"/>
      <c r="F38" s="311"/>
      <c r="G38" s="311"/>
      <c r="H38" s="311"/>
      <c r="I38" s="311"/>
      <c r="J38" s="2030"/>
      <c r="K38" s="1267">
        <f>'数据-汇总表'!D3</f>
        <v>47336</v>
      </c>
      <c r="L38" s="1268">
        <f>'数据-汇总表'!E3</f>
        <v>142008</v>
      </c>
      <c r="M38" s="1268">
        <f ca="1">C34</f>
        <v>13361</v>
      </c>
      <c r="N38" s="1268">
        <f ca="1">C33</f>
        <v>4454</v>
      </c>
      <c r="O38" s="1269">
        <f ca="1">C32</f>
        <v>63247</v>
      </c>
      <c r="P38" s="2028"/>
      <c r="V38" s="2028"/>
    </row>
    <row r="39" spans="1:26" ht="16.5" customHeight="1" thickBot="1">
      <c r="A39" s="1264"/>
      <c r="B39" s="308"/>
      <c r="C39" s="309"/>
      <c r="D39" s="309"/>
      <c r="E39" s="310"/>
      <c r="F39" s="311"/>
      <c r="G39" s="311"/>
      <c r="H39" s="311"/>
      <c r="I39" s="311"/>
      <c r="J39" s="2030"/>
      <c r="K39" s="3360" t="str">
        <f>MID(A44,3,LEN(A44)-2)</f>
        <v/>
      </c>
      <c r="L39" s="3361"/>
      <c r="M39" s="3361"/>
      <c r="N39" s="3362"/>
      <c r="O39" s="1391" t="str">
        <f>C44</f>
        <v>——</v>
      </c>
      <c r="P39" s="2028"/>
      <c r="V39" s="2028"/>
    </row>
    <row r="40" spans="1:26" ht="19.5" thickBot="1">
      <c r="A40" s="104" t="s">
        <v>872</v>
      </c>
      <c r="B40" s="311"/>
      <c r="C40" s="311"/>
      <c r="D40" s="311"/>
      <c r="E40" s="311"/>
      <c r="F40" s="311"/>
      <c r="G40" s="311"/>
      <c r="H40" s="311"/>
      <c r="I40" s="311"/>
      <c r="J40" s="2030"/>
      <c r="K40" s="3360" t="str">
        <f t="shared" ref="K40:K41" si="0">MID(A45,3,LEN(A45)-2)</f>
        <v/>
      </c>
      <c r="L40" s="3361"/>
      <c r="M40" s="3361"/>
      <c r="N40" s="3362"/>
      <c r="O40" s="1391" t="str">
        <f>C45</f>
        <v>——</v>
      </c>
      <c r="P40" s="2028"/>
      <c r="V40" s="2028"/>
    </row>
    <row r="41" spans="1:26" ht="16.5" thickBot="1">
      <c r="A41" s="312" t="s">
        <v>355</v>
      </c>
      <c r="B41" s="313"/>
      <c r="C41" s="314" t="s">
        <v>356</v>
      </c>
      <c r="D41" s="315" t="s">
        <v>357</v>
      </c>
      <c r="E41" s="315" t="s">
        <v>358</v>
      </c>
      <c r="F41" s="316" t="s">
        <v>359</v>
      </c>
      <c r="G41" s="311"/>
      <c r="H41" s="311"/>
      <c r="I41" s="311"/>
      <c r="J41" s="2030"/>
      <c r="K41" s="3360" t="str">
        <f t="shared" si="0"/>
        <v/>
      </c>
      <c r="L41" s="3361"/>
      <c r="M41" s="3361"/>
      <c r="N41" s="3362"/>
      <c r="O41" s="1391" t="str">
        <f>C46</f>
        <v>——</v>
      </c>
      <c r="P41" s="2028"/>
      <c r="V41" s="2028"/>
    </row>
    <row r="42" spans="1:26" ht="29.25">
      <c r="A42" s="3302" t="s">
        <v>2069</v>
      </c>
      <c r="B42" s="3303"/>
      <c r="C42" s="264">
        <f ca="1">C32</f>
        <v>63247</v>
      </c>
      <c r="D42" s="317">
        <f ca="1">C33</f>
        <v>4454</v>
      </c>
      <c r="E42" s="317">
        <f ca="1">C34</f>
        <v>13361</v>
      </c>
      <c r="F42" s="318">
        <f ca="1">C35</f>
        <v>891</v>
      </c>
      <c r="G42" s="311"/>
      <c r="H42" s="311"/>
      <c r="I42" s="319"/>
      <c r="J42" s="2030"/>
      <c r="K42" s="1270" t="s">
        <v>360</v>
      </c>
      <c r="L42" s="2047" t="s">
        <v>361</v>
      </c>
      <c r="M42" s="1271" t="s">
        <v>362</v>
      </c>
      <c r="N42" s="2048" t="s">
        <v>363</v>
      </c>
      <c r="O42" s="2049" t="s">
        <v>364</v>
      </c>
      <c r="P42" s="2028"/>
      <c r="V42" s="2028"/>
    </row>
    <row r="43" spans="1:26" ht="30">
      <c r="A43" s="3313" t="s">
        <v>2732</v>
      </c>
      <c r="B43" s="3314"/>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63804</v>
      </c>
      <c r="M43" s="1274">
        <f>C18</f>
        <v>0.5</v>
      </c>
      <c r="N43" s="1275">
        <f ca="1">IF(N42="测算结果/万元",G19,G20)</f>
        <v>67034</v>
      </c>
      <c r="O43" s="1276">
        <f ca="1">IF(O42="最终结果/万元",C32,C33)</f>
        <v>63247</v>
      </c>
      <c r="P43" s="2028"/>
      <c r="V43" s="2028"/>
    </row>
    <row r="44" spans="1:26" ht="30.75" thickBot="1">
      <c r="A44" s="3302" t="str">
        <f>IF(OR(项目基本情况!E8="抵押价格",项目基本情况!E8="已注销及未注销"),"3.抵押价格","——")</f>
        <v>——</v>
      </c>
      <c r="B44" s="3303"/>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70263</v>
      </c>
      <c r="M44" s="1279">
        <f>D18</f>
        <v>0.5</v>
      </c>
      <c r="N44" s="1280"/>
      <c r="O44" s="1281"/>
      <c r="P44" s="2028"/>
      <c r="V44" s="2028"/>
    </row>
    <row r="45" spans="1:26" ht="15">
      <c r="A45" s="3308" t="str">
        <f>IF(项目基本情况!E8="已注销及未注销","4.抵押担保权已注销时的抵押价格",IF(项目基本情况!E8="已注销","3.抵押担保权已注销时的抵押价格","——"))</f>
        <v>——</v>
      </c>
      <c r="B45" s="330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9" t="s">
        <v>373</v>
      </c>
      <c r="B63" s="3350"/>
      <c r="C63" s="3351"/>
      <c r="D63" s="341">
        <f ca="1">ROUND(C42*F63,0)</f>
        <v>37948</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10" t="s">
        <v>377</v>
      </c>
      <c r="B64" s="3311"/>
      <c r="C64" s="3311"/>
      <c r="D64" s="3311"/>
      <c r="E64" s="3311"/>
      <c r="F64" s="3311"/>
      <c r="G64" s="3312"/>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06" t="s">
        <v>385</v>
      </c>
      <c r="B66" s="3307"/>
      <c r="C66" s="3307"/>
      <c r="D66" s="261">
        <f ca="1">IF(H66="情况1",0,IF(H66="情况2",D70,IF(H66="情况3",D71,IF(H66="情况4",D72))))</f>
        <v>1915</v>
      </c>
      <c r="E66" s="992" t="str">
        <f>IF(H66="情况4","(销售额-原购置价)×税（费）率","销售额×税（费）率")</f>
        <v>销售额×税（费）率</v>
      </c>
      <c r="F66" s="350">
        <f>IF(H66="情况1","免征",'数据-取费表'!B41)</f>
        <v>5.3000000000000005E-2</v>
      </c>
      <c r="G66" s="351" t="s">
        <v>386</v>
      </c>
      <c r="H66" s="191" t="s">
        <v>387</v>
      </c>
      <c r="I66" s="1287"/>
      <c r="J66" s="2034"/>
      <c r="K66" s="1290">
        <v>1</v>
      </c>
      <c r="L66" s="3364" t="s">
        <v>384</v>
      </c>
      <c r="M66" s="3365"/>
      <c r="N66" s="2458"/>
      <c r="O66" s="2459"/>
      <c r="P66" s="2460"/>
      <c r="Q66" s="2028"/>
      <c r="R66" s="2028"/>
      <c r="S66" s="2028"/>
      <c r="T66" s="2028"/>
      <c r="U66" s="2028"/>
      <c r="V66" s="2028"/>
    </row>
    <row r="67" spans="1:22" ht="25.5" customHeight="1">
      <c r="A67" s="352" t="s">
        <v>389</v>
      </c>
      <c r="B67" s="3297" t="s">
        <v>390</v>
      </c>
      <c r="C67" s="3297"/>
      <c r="D67" s="353">
        <v>0</v>
      </c>
      <c r="E67" s="41" t="s">
        <v>391</v>
      </c>
      <c r="F67" s="62" t="s">
        <v>21</v>
      </c>
      <c r="G67" s="3352"/>
      <c r="H67" s="311"/>
      <c r="I67" s="1291"/>
      <c r="J67" s="2035"/>
      <c r="K67" s="1976">
        <v>2</v>
      </c>
      <c r="L67" s="3363" t="s">
        <v>388</v>
      </c>
      <c r="M67" s="3363"/>
      <c r="N67" s="1324">
        <f>'数据-取费表'!B2</f>
        <v>43446</v>
      </c>
      <c r="O67" s="1324"/>
      <c r="P67" s="1324"/>
      <c r="Q67" s="2028"/>
      <c r="R67" s="2028"/>
      <c r="S67" s="2028"/>
      <c r="T67" s="2028"/>
      <c r="U67" s="2028"/>
      <c r="V67" s="2028"/>
    </row>
    <row r="68" spans="1:22" ht="25.5" customHeight="1">
      <c r="A68" s="354"/>
      <c r="B68" s="3297" t="s">
        <v>393</v>
      </c>
      <c r="C68" s="3297"/>
      <c r="D68" s="355"/>
      <c r="E68" s="77"/>
      <c r="F68" s="356"/>
      <c r="G68" s="3353"/>
      <c r="H68" s="311"/>
      <c r="I68" s="1291"/>
      <c r="J68" s="2035"/>
      <c r="K68" s="1976">
        <v>3</v>
      </c>
      <c r="L68" s="3363" t="s">
        <v>392</v>
      </c>
      <c r="M68" s="3363"/>
      <c r="N68" s="1292">
        <f ca="1">C42</f>
        <v>63247</v>
      </c>
      <c r="O68" s="1292"/>
      <c r="P68" s="1292"/>
      <c r="Q68" s="2028"/>
      <c r="R68" s="2028"/>
      <c r="S68" s="2028"/>
      <c r="T68" s="2028"/>
      <c r="U68" s="2028"/>
      <c r="V68" s="2028"/>
    </row>
    <row r="69" spans="1:22" ht="12" customHeight="1">
      <c r="A69" s="357"/>
      <c r="B69" s="3297" t="s">
        <v>394</v>
      </c>
      <c r="C69" s="3297"/>
      <c r="D69" s="358"/>
      <c r="E69" s="73"/>
      <c r="F69" s="356"/>
      <c r="G69" s="3354"/>
      <c r="H69" s="311"/>
      <c r="I69" s="1291"/>
      <c r="J69" s="2035"/>
      <c r="K69" s="1293">
        <v>4</v>
      </c>
      <c r="L69" s="3368" t="s">
        <v>2885</v>
      </c>
      <c r="M69" s="3369"/>
      <c r="N69" s="1294" t="str">
        <f>C44</f>
        <v>——</v>
      </c>
      <c r="O69" s="1294"/>
      <c r="P69" s="1294"/>
      <c r="Q69" s="2028"/>
      <c r="R69" s="2028"/>
      <c r="S69" s="2028"/>
      <c r="T69" s="2028"/>
      <c r="U69" s="2028"/>
      <c r="V69" s="2028"/>
    </row>
    <row r="70" spans="1:22" ht="24" customHeight="1">
      <c r="A70" s="359" t="s">
        <v>395</v>
      </c>
      <c r="B70" s="3297" t="s">
        <v>396</v>
      </c>
      <c r="C70" s="3297"/>
      <c r="D70" s="358">
        <f ca="1">ROUND(D63*'数据-取费表'!B41/(1+'数据-取费表'!C42),0)</f>
        <v>1915</v>
      </c>
      <c r="E70" s="17" t="s">
        <v>397</v>
      </c>
      <c r="F70" s="360">
        <f>'数据-取费表'!B41</f>
        <v>5.3000000000000005E-2</v>
      </c>
      <c r="G70" s="361"/>
      <c r="H70" s="311"/>
      <c r="I70" s="1291"/>
      <c r="J70" s="2035"/>
      <c r="K70" s="3061"/>
      <c r="L70" s="3062"/>
      <c r="M70" s="3062"/>
      <c r="N70" s="3063" t="s">
        <v>2890</v>
      </c>
      <c r="O70" s="3062"/>
      <c r="P70" s="3064"/>
      <c r="Q70" s="2028"/>
      <c r="R70" s="2028"/>
      <c r="S70" s="2028"/>
      <c r="T70" s="2028"/>
      <c r="U70" s="2028"/>
      <c r="V70" s="2028"/>
    </row>
    <row r="71" spans="1:22" ht="12" customHeight="1">
      <c r="A71" s="359" t="s">
        <v>403</v>
      </c>
      <c r="B71" s="3298" t="s">
        <v>404</v>
      </c>
      <c r="C71" s="3299"/>
      <c r="D71" s="358">
        <f ca="1">ROUND(D63*'数据-取费表'!B41/(1+'数据-取费表'!C42),0)</f>
        <v>1915</v>
      </c>
      <c r="E71" s="17" t="s">
        <v>397</v>
      </c>
      <c r="F71" s="360">
        <f>'数据-取费表'!B41</f>
        <v>5.3000000000000005E-2</v>
      </c>
      <c r="G71" s="361"/>
      <c r="H71" s="311"/>
      <c r="I71" s="1291"/>
      <c r="J71" s="2035"/>
      <c r="K71" s="3060" t="s">
        <v>398</v>
      </c>
      <c r="L71" s="3370" t="s">
        <v>399</v>
      </c>
      <c r="M71" s="3370"/>
      <c r="N71" s="3060" t="s">
        <v>400</v>
      </c>
      <c r="O71" s="3060" t="s">
        <v>401</v>
      </c>
      <c r="P71" s="3060" t="s">
        <v>402</v>
      </c>
      <c r="Q71" s="2028"/>
      <c r="R71" s="2028"/>
      <c r="S71" s="2028"/>
      <c r="T71" s="2028"/>
      <c r="U71" s="2028"/>
      <c r="V71" s="2028"/>
    </row>
    <row r="72" spans="1:22" ht="12" customHeight="1">
      <c r="A72" s="359" t="s">
        <v>406</v>
      </c>
      <c r="B72" s="3298" t="s">
        <v>407</v>
      </c>
      <c r="C72" s="3299"/>
      <c r="D72" s="358">
        <f ca="1">C86</f>
        <v>1809</v>
      </c>
      <c r="E72" s="73" t="s">
        <v>408</v>
      </c>
      <c r="F72" s="360">
        <f>'数据-取费表'!B41</f>
        <v>5.3000000000000005E-2</v>
      </c>
      <c r="G72" s="361"/>
      <c r="H72" s="1297"/>
      <c r="I72" s="1291"/>
      <c r="J72" s="2035"/>
      <c r="K72" s="1976">
        <v>1</v>
      </c>
      <c r="L72" s="3345" t="s">
        <v>405</v>
      </c>
      <c r="M72" s="3345"/>
      <c r="N72" s="1295">
        <f ca="1">D66</f>
        <v>1915</v>
      </c>
      <c r="O72" s="1859" t="str">
        <f>E66</f>
        <v>销售额×税（费）率</v>
      </c>
      <c r="P72" s="1296">
        <f>F66</f>
        <v>5.3000000000000005E-2</v>
      </c>
      <c r="Q72" s="2028"/>
      <c r="R72" s="2028"/>
      <c r="S72" s="2028"/>
      <c r="T72" s="2028"/>
      <c r="U72" s="2028"/>
      <c r="V72" s="2028"/>
    </row>
    <row r="73" spans="1:22" ht="24" customHeight="1">
      <c r="A73" s="3339" t="s">
        <v>410</v>
      </c>
      <c r="B73" s="3307"/>
      <c r="C73" s="3307"/>
      <c r="D73" s="362">
        <f>IF(H73="个人住宅",0,ROUND(D63*I73,0))</f>
        <v>0</v>
      </c>
      <c r="E73" s="17" t="s">
        <v>411</v>
      </c>
      <c r="F73" s="360" t="str">
        <f>IF(H73="正常",I73,"免征")</f>
        <v>免征</v>
      </c>
      <c r="G73" s="361"/>
      <c r="H73" s="191" t="s">
        <v>2457</v>
      </c>
      <c r="I73" s="360">
        <f>'数据-取费表'!B49</f>
        <v>5.0000000000000001E-4</v>
      </c>
      <c r="J73" s="2035"/>
      <c r="K73" s="1976">
        <v>2</v>
      </c>
      <c r="L73" s="3345" t="s">
        <v>409</v>
      </c>
      <c r="M73" s="3345"/>
      <c r="N73" s="1295">
        <f t="shared" ref="N73:P74" si="1">D73</f>
        <v>0</v>
      </c>
      <c r="O73" s="1859" t="str">
        <f t="shared" si="1"/>
        <v>销售额×税（费）率</v>
      </c>
      <c r="P73" s="1296" t="str">
        <f t="shared" si="1"/>
        <v>免征</v>
      </c>
      <c r="Q73" s="2028"/>
      <c r="R73" s="2028"/>
      <c r="S73" s="2028"/>
      <c r="T73" s="2028"/>
      <c r="U73" s="2028"/>
      <c r="V73" s="2028"/>
    </row>
    <row r="74" spans="1:22" ht="24.75">
      <c r="A74" s="3339" t="s">
        <v>414</v>
      </c>
      <c r="B74" s="3307"/>
      <c r="C74" s="3307"/>
      <c r="D74" s="362">
        <f ca="1">IF(H74="个人住宅",D75,D76)</f>
        <v>20927</v>
      </c>
      <c r="E74" s="17" t="s">
        <v>415</v>
      </c>
      <c r="F74" s="360" t="str">
        <f>IF(H74="正常",F76,"免征")</f>
        <v>——</v>
      </c>
      <c r="G74" s="982" t="s">
        <v>416</v>
      </c>
      <c r="H74" s="363" t="s">
        <v>412</v>
      </c>
      <c r="I74" s="42"/>
      <c r="J74" s="2035"/>
      <c r="K74" s="1976">
        <v>3</v>
      </c>
      <c r="L74" s="3345" t="s">
        <v>413</v>
      </c>
      <c r="M74" s="3345"/>
      <c r="N74" s="1295">
        <f t="shared" ca="1" si="1"/>
        <v>20927</v>
      </c>
      <c r="O74" s="1859" t="str">
        <f t="shared" si="1"/>
        <v>增值额×税（费）率</v>
      </c>
      <c r="P74" s="1298" t="str">
        <f t="shared" si="1"/>
        <v>——</v>
      </c>
      <c r="Q74" s="2028"/>
      <c r="R74" s="2028"/>
      <c r="S74" s="2028"/>
      <c r="T74" s="2028"/>
      <c r="U74" s="2028"/>
      <c r="V74" s="2028"/>
    </row>
    <row r="75" spans="1:22" ht="24">
      <c r="A75" s="359" t="s">
        <v>417</v>
      </c>
      <c r="B75" s="3295" t="s">
        <v>418</v>
      </c>
      <c r="C75" s="3325"/>
      <c r="D75" s="364">
        <v>0</v>
      </c>
      <c r="E75" s="41" t="s">
        <v>419</v>
      </c>
      <c r="F75" s="365"/>
      <c r="G75" s="361"/>
      <c r="H75" s="42"/>
      <c r="I75" s="42"/>
      <c r="J75" s="2035"/>
      <c r="K75" s="3053">
        <f>IF(H77="非个人房产","",4)</f>
        <v>4</v>
      </c>
      <c r="L75" s="3345" t="str">
        <f>IF(H77="非个人房产","——","个人所得税")</f>
        <v>个人所得税</v>
      </c>
      <c r="M75" s="3345"/>
      <c r="N75" s="1299">
        <f ca="1">D77</f>
        <v>379</v>
      </c>
      <c r="O75" s="1872" t="str">
        <f>E77</f>
        <v>销售额×税（费）率</v>
      </c>
      <c r="P75" s="1300">
        <f>F77</f>
        <v>0.01</v>
      </c>
      <c r="Q75" s="2028"/>
      <c r="R75" s="2028"/>
      <c r="S75" s="2028"/>
      <c r="T75" s="2028"/>
      <c r="U75" s="2028"/>
      <c r="V75" s="2028"/>
    </row>
    <row r="76" spans="1:22" ht="24.75">
      <c r="A76" s="359" t="s">
        <v>395</v>
      </c>
      <c r="B76" s="3295" t="s">
        <v>421</v>
      </c>
      <c r="C76" s="3296"/>
      <c r="D76" s="362">
        <f ca="1">IF(H76="转让取得",C99,C115)</f>
        <v>20927</v>
      </c>
      <c r="E76" s="17" t="s">
        <v>422</v>
      </c>
      <c r="F76" s="53" t="s">
        <v>21</v>
      </c>
      <c r="G76" s="361"/>
      <c r="H76" s="363" t="s">
        <v>423</v>
      </c>
      <c r="I76" s="42"/>
      <c r="J76" s="2035"/>
      <c r="K76" s="3053"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6.25" thickBot="1">
      <c r="A77" s="3347" t="s">
        <v>425</v>
      </c>
      <c r="B77" s="3348"/>
      <c r="C77" s="3348"/>
      <c r="D77" s="366">
        <f ca="1">IF(H77="非个人房产","——",IF(H77="个人住宅",0,ROUND(D63*I77,0)))</f>
        <v>379</v>
      </c>
      <c r="E77" s="367" t="str">
        <f>IF(H77="非个人房产","——","销售额×税（费）率")</f>
        <v>销售额×税（费）率</v>
      </c>
      <c r="F77" s="368">
        <f>IF(H77="非个人房产","——",IF(H77="个人住宅","免征",I77))</f>
        <v>0.01</v>
      </c>
      <c r="G77" s="983" t="s">
        <v>416</v>
      </c>
      <c r="H77" s="363" t="s">
        <v>2886</v>
      </c>
      <c r="I77" s="369">
        <v>0.01</v>
      </c>
      <c r="J77" s="2035"/>
      <c r="K77" s="3346">
        <f>IF(AND(K75="",K76=""),4,IF(项目基本情况!K6="上海银行",K76+1,K75+1))</f>
        <v>5</v>
      </c>
      <c r="L77" s="3345" t="s">
        <v>2887</v>
      </c>
      <c r="M77" s="3059" t="s">
        <v>420</v>
      </c>
      <c r="N77" s="1301"/>
      <c r="O77" s="1302">
        <f ca="1">SUMIF(N72:N76,"&lt;9e307")</f>
        <v>23221</v>
      </c>
      <c r="P77" s="1303"/>
      <c r="Q77" s="3057" t="e">
        <f ca="1">O77/N69</f>
        <v>#VALUE!</v>
      </c>
      <c r="R77" s="2028"/>
      <c r="S77" s="2028"/>
      <c r="T77" s="2028"/>
      <c r="U77" s="2028"/>
      <c r="V77" s="2028"/>
    </row>
    <row r="78" spans="1:22" ht="12" customHeight="1">
      <c r="A78" s="1304"/>
      <c r="B78" s="311"/>
      <c r="C78" s="311"/>
      <c r="D78" s="311"/>
      <c r="E78" s="42"/>
      <c r="F78" s="42"/>
      <c r="G78" s="42"/>
      <c r="H78" s="1002"/>
      <c r="I78" s="311"/>
      <c r="J78" s="2035"/>
      <c r="K78" s="3346"/>
      <c r="L78" s="3345"/>
      <c r="M78" s="3059" t="s">
        <v>424</v>
      </c>
      <c r="N78" s="1301"/>
      <c r="O78" s="1302" t="str">
        <f ca="1">NUMBERSTRING(INT(O77*10000),2)&amp;"元整"</f>
        <v>贰亿叁仟贰佰贰拾壹万元整</v>
      </c>
      <c r="P78" s="1303"/>
      <c r="Q78" s="2028"/>
      <c r="R78" s="2028"/>
      <c r="S78" s="2028"/>
      <c r="T78" s="2028"/>
      <c r="U78" s="2028"/>
      <c r="V78" s="2028"/>
    </row>
    <row r="79" spans="1:22" ht="13.5" thickBot="1">
      <c r="A79" s="3340" t="s">
        <v>426</v>
      </c>
      <c r="B79" s="3340"/>
      <c r="C79" s="3340"/>
      <c r="D79" s="3340"/>
      <c r="E79" s="3340"/>
      <c r="F79" s="42"/>
      <c r="G79" s="42"/>
      <c r="H79" s="1002"/>
      <c r="I79" s="311"/>
      <c r="J79" s="2035"/>
      <c r="K79" s="3366">
        <f>K77+1</f>
        <v>6</v>
      </c>
      <c r="L79" s="3345" t="s">
        <v>2888</v>
      </c>
      <c r="M79" s="3059" t="s">
        <v>420</v>
      </c>
      <c r="N79" s="1301"/>
      <c r="O79" s="1302" t="e">
        <f ca="1">N69-O77</f>
        <v>#VALUE!</v>
      </c>
      <c r="P79" s="1303"/>
      <c r="Q79" s="2028"/>
      <c r="R79" s="2028"/>
      <c r="S79" s="2028"/>
      <c r="T79" s="2028"/>
      <c r="U79" s="2028"/>
      <c r="V79" s="2028"/>
    </row>
    <row r="80" spans="1:22" ht="12.75">
      <c r="A80" s="3335" t="s">
        <v>427</v>
      </c>
      <c r="B80" s="3336"/>
      <c r="C80" s="993"/>
      <c r="D80" s="993" t="s">
        <v>428</v>
      </c>
      <c r="E80" s="370" t="s">
        <v>429</v>
      </c>
      <c r="F80" s="42"/>
      <c r="G80" s="42"/>
      <c r="H80" s="1002"/>
      <c r="I80" s="311"/>
      <c r="J80" s="2028"/>
      <c r="K80" s="3367"/>
      <c r="L80" s="3345"/>
      <c r="M80" s="3059"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36141</v>
      </c>
      <c r="D81" s="373"/>
      <c r="E81" s="374"/>
      <c r="F81" s="42"/>
      <c r="G81" s="42"/>
      <c r="H81" s="1002"/>
      <c r="I81" s="311"/>
      <c r="J81" s="2028"/>
      <c r="K81" s="3053">
        <f>K79+1</f>
        <v>7</v>
      </c>
      <c r="L81" s="3343" t="s">
        <v>2889</v>
      </c>
      <c r="M81" s="3344"/>
      <c r="N81" s="1305"/>
      <c r="O81" s="1306" t="e">
        <f ca="1">ROUND(O79*10000/'数据-汇总表'!E3,0)</f>
        <v>#VALUE!</v>
      </c>
      <c r="P81" s="1307"/>
      <c r="Q81" s="2028"/>
      <c r="R81" s="2028"/>
      <c r="S81" s="2028"/>
      <c r="T81" s="2028"/>
      <c r="U81" s="2028"/>
      <c r="V81" s="2028"/>
    </row>
    <row r="82" spans="1:26" ht="13.5" thickTop="1">
      <c r="A82" s="375" t="s">
        <v>1824</v>
      </c>
      <c r="B82" s="376" t="s">
        <v>431</v>
      </c>
      <c r="C82" s="377">
        <f ca="1">D63</f>
        <v>37948</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55"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433</v>
      </c>
      <c r="C84" s="383">
        <v>2000</v>
      </c>
      <c r="D84" s="384" t="s">
        <v>19</v>
      </c>
      <c r="E84" s="3100" t="s">
        <v>2946</v>
      </c>
      <c r="F84" s="42"/>
      <c r="G84" s="42"/>
      <c r="H84" s="1002"/>
      <c r="I84" s="311"/>
      <c r="J84" s="2028"/>
      <c r="K84" s="3355"/>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34141</v>
      </c>
      <c r="D85" s="378" t="s">
        <v>19</v>
      </c>
      <c r="E85" s="379"/>
      <c r="F85" s="42"/>
      <c r="G85" s="42"/>
      <c r="H85" s="1002"/>
      <c r="I85" s="311"/>
      <c r="J85" s="2028"/>
      <c r="K85" s="3355"/>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1809</v>
      </c>
      <c r="D86" s="389">
        <f>'数据-取费表'!B41</f>
        <v>5.3000000000000005E-2</v>
      </c>
      <c r="E86" s="390"/>
      <c r="F86" s="42"/>
      <c r="G86" s="42"/>
      <c r="H86" s="1002"/>
      <c r="I86" s="311"/>
      <c r="J86" s="2028"/>
      <c r="K86" s="3355"/>
      <c r="L86" s="3065" t="s">
        <v>2881</v>
      </c>
      <c r="M86" s="3055"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5"/>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3" customFormat="1" ht="15" thickBot="1">
      <c r="A88" s="3337" t="s">
        <v>436</v>
      </c>
      <c r="B88" s="3338"/>
      <c r="C88" s="3338"/>
      <c r="D88" s="3338"/>
      <c r="E88" s="3338"/>
      <c r="F88" s="3338"/>
      <c r="G88" s="3338"/>
      <c r="H88" s="3338"/>
      <c r="I88" s="1314"/>
      <c r="J88" s="2036"/>
      <c r="K88" s="3355"/>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3" customFormat="1" ht="14.25">
      <c r="A89" s="3335" t="s">
        <v>427</v>
      </c>
      <c r="B89" s="3336"/>
      <c r="C89" s="993"/>
      <c r="D89" s="993" t="s">
        <v>428</v>
      </c>
      <c r="E89" s="391" t="s">
        <v>437</v>
      </c>
      <c r="F89" s="392"/>
      <c r="G89" s="392"/>
      <c r="H89" s="393"/>
      <c r="I89" s="1315"/>
      <c r="J89" s="2038"/>
      <c r="K89" s="3355"/>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36141</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2669</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298" t="s">
        <v>446</v>
      </c>
      <c r="F94" s="3297"/>
      <c r="G94" s="3297"/>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108</v>
      </c>
      <c r="D96" s="406">
        <f>'数据-取费表'!B43</f>
        <v>3.0000000000000001E-3</v>
      </c>
      <c r="E96" s="3326" t="s">
        <v>2430</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33472</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12.541026601723493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19149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7" t="s">
        <v>453</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5" t="s">
        <v>427</v>
      </c>
      <c r="B102" s="3336"/>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36141</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798</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29" t="s">
        <v>461</v>
      </c>
      <c r="F109" s="3327"/>
      <c r="G109" s="3327"/>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29" t="s">
        <v>463</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108</v>
      </c>
      <c r="D111" s="406">
        <f>'数据-取费表'!B43</f>
        <v>3.0000000000000001E-3</v>
      </c>
      <c r="E111" s="3326" t="s">
        <v>2430</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29" t="s">
        <v>2455</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35343</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44.289473684210527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20927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5" stopIfTrue="1" operator="equal">
      <formula>25</formula>
    </cfRule>
  </conditionalFormatting>
  <conditionalFormatting sqref="C8:C9">
    <cfRule type="cellIs" dxfId="144" priority="23" stopIfTrue="1" operator="equal">
      <formula>15</formula>
    </cfRule>
  </conditionalFormatting>
  <conditionalFormatting sqref="D5:D7">
    <cfRule type="cellIs" dxfId="143" priority="14" stopIfTrue="1" operator="equal">
      <formula>25</formula>
    </cfRule>
  </conditionalFormatting>
  <conditionalFormatting sqref="D8:D9">
    <cfRule type="cellIs" dxfId="142" priority="13" stopIfTrue="1" operator="equal">
      <formula>15</formula>
    </cfRule>
  </conditionalFormatting>
  <conditionalFormatting sqref="C10:D13">
    <cfRule type="cellIs" dxfId="141" priority="12" stopIfTrue="1" operator="equal">
      <formula>15</formula>
    </cfRule>
  </conditionalFormatting>
  <conditionalFormatting sqref="C108">
    <cfRule type="expression" dxfId="140" priority="7" stopIfTrue="1">
      <formula>$H$106&lt;&gt;"仅含出让金"</formula>
    </cfRule>
  </conditionalFormatting>
  <conditionalFormatting sqref="C109">
    <cfRule type="expression" dxfId="139" priority="6" stopIfTrue="1">
      <formula>$H$109="由企业提供"</formula>
    </cfRule>
  </conditionalFormatting>
  <conditionalFormatting sqref="I33">
    <cfRule type="expression" dxfId="138" priority="5"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G33" sqref="G3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70263</v>
      </c>
      <c r="C2" s="2104"/>
      <c r="D2" s="2104"/>
      <c r="E2" s="2104"/>
      <c r="F2" s="2104"/>
      <c r="G2" s="2104"/>
      <c r="H2" s="2104"/>
      <c r="I2" s="2104"/>
      <c r="J2" s="2104"/>
      <c r="K2" s="2104"/>
    </row>
    <row r="3" spans="1:31" s="2041" customFormat="1" ht="18" customHeight="1">
      <c r="A3" s="2106" t="s">
        <v>1684</v>
      </c>
      <c r="B3" s="2107">
        <f ca="1">ROUND(B2*10000/IF(B1="",'数据-汇总表'!E3,INDIRECT("'数据-取费表'!K"&amp;$K$1)),0)</f>
        <v>4948</v>
      </c>
      <c r="C3" s="2104"/>
      <c r="D3" s="2104"/>
      <c r="E3" s="2104"/>
      <c r="F3" s="2104"/>
      <c r="G3" s="2104"/>
      <c r="H3" s="2104"/>
      <c r="I3" s="2104"/>
      <c r="J3" s="2104"/>
      <c r="K3" s="2104"/>
    </row>
    <row r="4" spans="1:31" s="2041" customFormat="1" ht="18" customHeight="1">
      <c r="A4" s="426" t="s">
        <v>467</v>
      </c>
      <c r="B4" s="427">
        <f ca="1">ROUND(B2*10000/IF(B1="",'数据-汇总表'!D3,INDIRECT("'数据-取费表'!R"&amp;$K$1)),0)</f>
        <v>14843</v>
      </c>
      <c r="C4" s="428"/>
      <c r="D4" s="422"/>
      <c r="E4" s="422"/>
      <c r="F4" s="422"/>
      <c r="G4" s="422"/>
      <c r="H4" s="422"/>
      <c r="I4" s="422"/>
      <c r="J4" s="422"/>
      <c r="K4" s="422"/>
    </row>
    <row r="5" spans="1:31" s="2041" customFormat="1" ht="18" customHeight="1" thickBot="1">
      <c r="A5" s="429"/>
      <c r="B5" s="430">
        <f ca="1">ROUND(B2/(IF(B1="",'数据-汇总表'!D3,INDIRECT("'数据-取费表'!R"&amp;$K$1))/666.67),0)</f>
        <v>990</v>
      </c>
      <c r="C5" s="431" t="s">
        <v>468</v>
      </c>
      <c r="D5" s="422"/>
      <c r="E5" s="422"/>
      <c r="F5" s="422"/>
      <c r="G5" s="422"/>
      <c r="H5" s="422"/>
      <c r="I5" s="422"/>
      <c r="J5" s="422"/>
      <c r="K5" s="422"/>
    </row>
    <row r="6" spans="1:31" s="2111" customFormat="1" ht="16.5" customHeight="1">
      <c r="A6" s="2828" t="s">
        <v>1842</v>
      </c>
      <c r="B6" s="2829"/>
      <c r="C6" s="2830">
        <f ca="1">SUM(C10:K10)</f>
        <v>157325.48577999999</v>
      </c>
      <c r="D6" s="2829"/>
      <c r="E6" s="2829"/>
      <c r="F6" s="2829"/>
      <c r="G6" s="2829"/>
      <c r="H6" s="2829"/>
      <c r="I6" s="2829"/>
      <c r="J6" s="2829"/>
      <c r="K6" s="2831"/>
    </row>
    <row r="7" spans="1:31" s="2113" customFormat="1" ht="15">
      <c r="A7" s="2832" t="s">
        <v>469</v>
      </c>
      <c r="B7" s="2833" t="s">
        <v>470</v>
      </c>
      <c r="C7" s="436" t="s">
        <v>922</v>
      </c>
      <c r="D7" s="436" t="s">
        <v>2994</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11404.3</v>
      </c>
      <c r="D8" s="2834">
        <f ca="1">不动产收益法!B3</f>
        <v>9776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113606</v>
      </c>
      <c r="D9" s="441">
        <f>SUMIF('数据-汇总表'!$C19:$C33,'剩余法-待开发'!D7,'数据-汇总表'!$E19:$E33)</f>
        <v>28402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8">
        <f>C8*C9/10000</f>
        <v>129559.69057999999</v>
      </c>
      <c r="D10" s="3028">
        <f ca="1">D8*D9/10000</f>
        <v>27765.7952</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33514</v>
      </c>
      <c r="D13" s="2844"/>
      <c r="E13" s="2845"/>
      <c r="F13" s="2846"/>
      <c r="G13" s="2812"/>
      <c r="H13" s="2813"/>
      <c r="I13" s="2813"/>
      <c r="J13" s="2813"/>
      <c r="K13" s="2814"/>
    </row>
    <row r="14" spans="1:31" s="2116" customFormat="1" ht="13.5" customHeight="1">
      <c r="A14" s="2842" t="s">
        <v>1849</v>
      </c>
      <c r="B14" s="2843" t="s">
        <v>479</v>
      </c>
      <c r="C14" s="53">
        <f ca="1">ROUND(C13*F14,0)</f>
        <v>1005</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1250</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2840</v>
      </c>
      <c r="D16" s="2844">
        <f ca="1">IF(B1="",'数据-汇总表'!E3,INDIRECT("'数据-取费表'!K"&amp;$K$1)+INDIRECT("'数据-取费表'!S"&amp;$K$1))</f>
        <v>142008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503</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39112</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142008</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1491</v>
      </c>
      <c r="D20" s="2854"/>
      <c r="E20" s="2808"/>
      <c r="F20" s="2855"/>
      <c r="G20" s="3088"/>
      <c r="H20" s="2810"/>
      <c r="I20" s="2811" t="s">
        <v>2653</v>
      </c>
      <c r="J20" s="2817"/>
      <c r="K20" s="2818"/>
    </row>
    <row r="21" spans="1:14" s="2116" customFormat="1" ht="13.5" customHeight="1">
      <c r="A21" s="2842" t="s">
        <v>1856</v>
      </c>
      <c r="B21" s="2843" t="s">
        <v>490</v>
      </c>
      <c r="C21" s="53">
        <f ca="1">ROUND(D21*E21/10000,0)</f>
        <v>1193</v>
      </c>
      <c r="D21" s="2844">
        <f ca="1">IF(B1="",'数据-汇总表'!E5,IF(INDIRECT("'数据-取费表'!c"&amp;$K$1)="住宅",INDIRECT("'数据-取费表'!k"&amp;$K$1),0))</f>
        <v>113606</v>
      </c>
      <c r="E21" s="53">
        <f>'数据-取费表'!B27</f>
        <v>105</v>
      </c>
      <c r="F21" s="2847"/>
      <c r="G21" s="26"/>
      <c r="H21" s="51"/>
      <c r="I21" s="51"/>
      <c r="J21" s="51"/>
      <c r="K21" s="2819"/>
    </row>
    <row r="22" spans="1:14" s="2116" customFormat="1" ht="13.5" customHeight="1">
      <c r="A22" s="2842" t="s">
        <v>1857</v>
      </c>
      <c r="B22" s="2843" t="s">
        <v>491</v>
      </c>
      <c r="C22" s="53">
        <f ca="1">ROUND(D22*E22/10000,0)</f>
        <v>298</v>
      </c>
      <c r="D22" s="2844">
        <f ca="1">IF(B1="",'数据-汇总表'!E6,IF(INDIRECT("'数据-取费表'!c"&amp;$K$1)="住宅",INDIRECT("'数据-取费表'!s"&amp;$K$1),INDIRECT("'数据-取费表'!k"&amp;$K$1)+INDIRECT("'数据-取费表'!s"&amp;$K$1)))</f>
        <v>28402</v>
      </c>
      <c r="E22" s="53">
        <f>'数据-取费表'!B28</f>
        <v>105</v>
      </c>
      <c r="F22" s="2847"/>
      <c r="G22" s="26"/>
      <c r="H22" s="51"/>
      <c r="I22" s="51"/>
      <c r="J22" s="51"/>
      <c r="K22" s="2819"/>
    </row>
    <row r="23" spans="1:14" s="2116" customFormat="1" ht="13.5" customHeight="1">
      <c r="A23" s="2850" t="s">
        <v>1858</v>
      </c>
      <c r="B23" s="3034" t="s">
        <v>2836</v>
      </c>
      <c r="C23" s="2852">
        <f ca="1">ROUND((C18+C19+C20)*F23,0)</f>
        <v>812</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3147</v>
      </c>
      <c r="D24" s="475"/>
      <c r="E24" s="473"/>
      <c r="F24" s="2856">
        <f>'数据-取费表'!B38</f>
        <v>0.02</v>
      </c>
      <c r="G24" s="2821" t="s">
        <v>498</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2117</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2117</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7941</v>
      </c>
      <c r="D29" s="468"/>
      <c r="E29" s="468"/>
      <c r="F29" s="3036">
        <f>'数据-取费表'!B41</f>
        <v>5.3000000000000005E-2</v>
      </c>
      <c r="G29" s="2821" t="s">
        <v>497</v>
      </c>
      <c r="H29" s="2813"/>
      <c r="I29" s="2813"/>
      <c r="J29" s="2813"/>
      <c r="K29" s="2814"/>
    </row>
    <row r="30" spans="1:14" s="2121" customFormat="1" ht="13.5" customHeight="1">
      <c r="A30" s="1634" t="s">
        <v>1863</v>
      </c>
      <c r="B30" s="2862" t="s">
        <v>499</v>
      </c>
      <c r="C30" s="2857">
        <f ca="1">C31</f>
        <v>54620</v>
      </c>
      <c r="D30" s="477">
        <f ca="1">C32</f>
        <v>0.12909999999999999</v>
      </c>
      <c r="E30" s="469" t="s">
        <v>494</v>
      </c>
      <c r="F30" s="471"/>
      <c r="G30" s="2820" t="s">
        <v>2978</v>
      </c>
      <c r="H30" s="2813"/>
      <c r="I30" s="2813"/>
      <c r="J30" s="2813"/>
      <c r="K30" s="2814"/>
    </row>
    <row r="31" spans="1:14" s="2120" customFormat="1" ht="13.5" customHeight="1">
      <c r="A31" s="803" t="s">
        <v>1856</v>
      </c>
      <c r="B31" s="2858"/>
      <c r="C31" s="450">
        <f ca="1">C18+C19+C20+C23+C24+C26+C29</f>
        <v>54620</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8912</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1856</v>
      </c>
      <c r="B34" s="2863" t="s">
        <v>500</v>
      </c>
      <c r="C34" s="472">
        <f ca="1">ROUND((1+C25)*F33,4)</f>
        <v>0.20580000000000001</v>
      </c>
      <c r="D34" s="472"/>
      <c r="E34" s="473"/>
      <c r="F34" s="480"/>
      <c r="G34" s="261" t="s">
        <v>2292</v>
      </c>
      <c r="H34" s="2815"/>
      <c r="I34" s="2815"/>
      <c r="J34" s="2815"/>
      <c r="K34" s="279"/>
    </row>
    <row r="35" spans="1:11" s="2123" customFormat="1" ht="13.5" customHeight="1" thickBot="1">
      <c r="A35" s="1635" t="s">
        <v>1857</v>
      </c>
      <c r="B35" s="3032" t="s">
        <v>2841</v>
      </c>
      <c r="C35" s="1627">
        <f ca="1">ROUND((C18+C19+C20+C23+C24)*F33,0)</f>
        <v>8912</v>
      </c>
      <c r="D35" s="1628"/>
      <c r="E35" s="2864"/>
      <c r="F35" s="1629"/>
      <c r="G35" s="2822"/>
      <c r="H35" s="2823"/>
      <c r="I35" s="2823"/>
      <c r="J35" s="2823"/>
      <c r="K35" s="2824"/>
    </row>
    <row r="36" spans="1:11" s="2085" customFormat="1" ht="13.5" customHeight="1" thickBot="1">
      <c r="A36" s="284" t="s">
        <v>1844</v>
      </c>
      <c r="B36" s="2826"/>
      <c r="C36" s="2865">
        <f ca="1">ROUND((C6-C30-C33)/(1+D30+D33),0)</f>
        <v>70263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33514</v>
      </c>
      <c r="D13" s="451"/>
      <c r="E13" s="365"/>
      <c r="F13" s="452"/>
      <c r="G13" s="444"/>
      <c r="H13" s="447"/>
      <c r="I13" s="447"/>
      <c r="J13" s="447"/>
      <c r="K13" s="448"/>
    </row>
    <row r="14" spans="1:41" s="2116" customFormat="1" ht="13.5" customHeight="1">
      <c r="A14" s="1632" t="s">
        <v>1849</v>
      </c>
      <c r="B14" s="449" t="s">
        <v>479</v>
      </c>
      <c r="C14" s="53">
        <f ca="1">ROUND(C13*F14,0)</f>
        <v>1005</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1250</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2840</v>
      </c>
      <c r="D16" s="451">
        <f ca="1">IF(B1="",'数据-汇总表'!E3,INDIRECT("'数据-取费表'!K"&amp;$K$1)+INDIRECT("'数据-取费表'!S"&amp;$K$1))</f>
        <v>142008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503</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39112</v>
      </c>
      <c r="D18" s="461"/>
      <c r="E18" s="462"/>
      <c r="F18" s="462"/>
      <c r="G18" s="1326" t="s">
        <v>2434</v>
      </c>
      <c r="H18" s="447"/>
      <c r="I18" s="447"/>
      <c r="J18" s="447"/>
      <c r="K18" s="448"/>
    </row>
    <row r="19" spans="1:14" s="2119" customFormat="1" ht="13.5" customHeight="1">
      <c r="A19" s="1633" t="s">
        <v>1854</v>
      </c>
      <c r="B19" s="459" t="s">
        <v>492</v>
      </c>
      <c r="C19" s="460">
        <f ca="1">ROUND(C18*F19,0)</f>
        <v>782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29">
        <f>F20</f>
        <v>0.02</v>
      </c>
      <c r="D20" s="469" t="s">
        <v>504</v>
      </c>
      <c r="E20" s="469"/>
      <c r="F20" s="486">
        <f>'数据-取费表'!B38</f>
        <v>0.02</v>
      </c>
      <c r="G20" s="1326" t="s">
        <v>505</v>
      </c>
      <c r="H20" s="447"/>
      <c r="I20" s="447"/>
      <c r="J20" s="447"/>
      <c r="K20" s="448"/>
      <c r="L20" s="2121"/>
      <c r="M20" s="2121"/>
      <c r="N20" s="2121"/>
    </row>
    <row r="21" spans="1:14" s="2121" customFormat="1" ht="13.5" customHeight="1">
      <c r="A21" s="1633" t="s">
        <v>1858</v>
      </c>
      <c r="B21" s="461" t="s">
        <v>493</v>
      </c>
      <c r="C21" s="470">
        <f ca="1">C22</f>
        <v>1895</v>
      </c>
      <c r="D21" s="467">
        <f ca="1">C23</f>
        <v>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1895</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1" t="s">
        <v>2834</v>
      </c>
      <c r="C24" s="478">
        <f ca="1">C25</f>
        <v>7979</v>
      </c>
      <c r="D24" s="489">
        <f ca="1">C26</f>
        <v>4.0000000000000001E-3</v>
      </c>
      <c r="E24" s="469" t="s">
        <v>506</v>
      </c>
      <c r="F24" s="479">
        <f ca="1">IF(B1="",'数据-取费表'!Q16,INDIRECT("'数据-取费表'!q"&amp;$K$1))</f>
        <v>0.2</v>
      </c>
      <c r="G24" s="444"/>
      <c r="H24" s="447"/>
      <c r="I24" s="447"/>
      <c r="J24" s="447"/>
      <c r="K24" s="448"/>
    </row>
    <row r="25" spans="1:14" s="2120" customFormat="1" ht="13.5" customHeight="1">
      <c r="A25" s="1632" t="s">
        <v>1848</v>
      </c>
      <c r="B25" s="1327" t="s">
        <v>2438</v>
      </c>
      <c r="C25" s="490">
        <f ca="1">ROUND((C18+C19)*F24,0)</f>
        <v>7979</v>
      </c>
      <c r="D25" s="472"/>
      <c r="E25" s="473"/>
      <c r="F25" s="480"/>
      <c r="G25" s="1325" t="s">
        <v>2435</v>
      </c>
      <c r="H25" s="457"/>
      <c r="I25" s="457"/>
      <c r="J25" s="457"/>
      <c r="K25" s="458"/>
    </row>
    <row r="26" spans="1:14" s="2120" customFormat="1" ht="13.5" customHeight="1">
      <c r="A26" s="1632" t="s">
        <v>1849</v>
      </c>
      <c r="B26" s="1327" t="s">
        <v>508</v>
      </c>
      <c r="C26" s="491">
        <f ca="1">ROUND(F20*F24,4)</f>
        <v>4.0000000000000001E-3</v>
      </c>
      <c r="D26" s="472"/>
      <c r="E26" s="481"/>
      <c r="F26" s="480"/>
      <c r="G26" s="1325" t="s">
        <v>509</v>
      </c>
      <c r="H26" s="457"/>
      <c r="I26" s="457"/>
      <c r="J26" s="457"/>
      <c r="K26" s="458"/>
    </row>
    <row r="27" spans="1:14" s="2120" customFormat="1" ht="13.5" customHeight="1">
      <c r="A27" s="1636" t="s">
        <v>1867</v>
      </c>
      <c r="B27" s="459" t="s">
        <v>510</v>
      </c>
      <c r="C27" s="3030">
        <f>ROUND(F27/(1+'数据-取费表'!C42),4)</f>
        <v>5.0500000000000003E-2</v>
      </c>
      <c r="D27" s="462" t="s">
        <v>2832</v>
      </c>
      <c r="E27" s="462"/>
      <c r="F27" s="466">
        <f>'数据-取费表'!B41</f>
        <v>5.3000000000000005E-2</v>
      </c>
      <c r="G27" s="1960" t="s">
        <v>2293</v>
      </c>
      <c r="H27" s="447"/>
      <c r="I27" s="447"/>
      <c r="J27" s="447"/>
      <c r="K27" s="448"/>
    </row>
    <row r="28" spans="1:14" s="2121" customFormat="1" ht="13.5" customHeight="1">
      <c r="A28" s="1636" t="s">
        <v>1868</v>
      </c>
      <c r="B28" s="476" t="s">
        <v>511</v>
      </c>
      <c r="C28" s="470">
        <f ca="1">ROUND((C18+C19+C21+C24)/(1-C20-D21-D24-C27),0)</f>
        <v>53832</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5.3000000000000005E-2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6" t="str">
        <f>项目基本情况!B1</f>
        <v>出让国有建设用地使用权抵押价格预评估</v>
      </c>
      <c r="C37" s="3206"/>
      <c r="D37" s="3206"/>
      <c r="E37" s="3206"/>
      <c r="F37" s="3206"/>
      <c r="G37" s="3206"/>
      <c r="H37" s="3206"/>
      <c r="I37" s="3206"/>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5" zoomScale="80" zoomScaleNormal="95" zoomScaleSheetLayoutView="80" workbookViewId="0">
      <selection activeCell="L9" sqref="L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63804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4493</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13479</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899</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80" t="s">
        <v>521</v>
      </c>
      <c r="D6" s="3381"/>
      <c r="E6" s="3380" t="s">
        <v>522</v>
      </c>
      <c r="F6" s="3381"/>
      <c r="G6" s="3380" t="s">
        <v>523</v>
      </c>
      <c r="H6" s="3381"/>
      <c r="I6" s="3380" t="s">
        <v>524</v>
      </c>
      <c r="J6" s="3381"/>
      <c r="K6" s="514" t="s">
        <v>525</v>
      </c>
      <c r="L6" s="2133"/>
      <c r="M6" s="2132"/>
      <c r="N6" s="2132"/>
      <c r="O6" s="2134"/>
      <c r="P6" s="3382" t="s">
        <v>526</v>
      </c>
      <c r="Q6" s="3383"/>
      <c r="R6" s="3388" t="s">
        <v>522</v>
      </c>
      <c r="S6" s="3389"/>
      <c r="T6" s="3388" t="s">
        <v>523</v>
      </c>
      <c r="U6" s="3389"/>
      <c r="V6" s="3375" t="s">
        <v>524</v>
      </c>
      <c r="W6" s="3375"/>
      <c r="X6" s="1566"/>
      <c r="Y6" s="3388" t="s">
        <v>526</v>
      </c>
      <c r="Z6" s="3389"/>
      <c r="AA6" s="3377" t="s">
        <v>522</v>
      </c>
      <c r="AB6" s="3378" t="s">
        <v>523</v>
      </c>
      <c r="AC6" s="3377" t="s">
        <v>524</v>
      </c>
    </row>
    <row r="7" spans="1:30" ht="20.25">
      <c r="A7" s="515"/>
      <c r="B7" s="516"/>
      <c r="C7" s="3396"/>
      <c r="D7" s="3397"/>
      <c r="E7" s="3396" t="str">
        <f>Sheet3!A7</f>
        <v>海陵区东风北路东侧、森园路北侧</v>
      </c>
      <c r="F7" s="3397"/>
      <c r="G7" s="3396" t="str">
        <f>Sheet3!A10</f>
        <v>周山河街区引江路南侧、东周港路西测</v>
      </c>
      <c r="H7" s="3397"/>
      <c r="I7" s="3396" t="str">
        <f>Sheet3!A11</f>
        <v>周山河街区海军大道北侧约50米、东周港路西侧</v>
      </c>
      <c r="J7" s="3397"/>
      <c r="K7" s="514"/>
      <c r="L7" s="2133"/>
      <c r="M7" s="2132"/>
      <c r="N7" s="2132"/>
      <c r="O7" s="2134"/>
      <c r="P7" s="3384"/>
      <c r="Q7" s="3385"/>
      <c r="R7" s="3390"/>
      <c r="S7" s="3391"/>
      <c r="T7" s="3390"/>
      <c r="U7" s="3391"/>
      <c r="V7" s="3375"/>
      <c r="W7" s="3375"/>
      <c r="X7" s="1566"/>
      <c r="Y7" s="3390"/>
      <c r="Z7" s="3391"/>
      <c r="AA7" s="3378"/>
      <c r="AB7" s="3378"/>
      <c r="AC7" s="3378"/>
    </row>
    <row r="8" spans="1:30" ht="21" thickBot="1">
      <c r="A8" s="515"/>
      <c r="B8" s="516"/>
      <c r="C8" s="3398" t="s">
        <v>2937</v>
      </c>
      <c r="D8" s="3399"/>
      <c r="E8" s="3398" t="s">
        <v>2937</v>
      </c>
      <c r="F8" s="3399"/>
      <c r="G8" s="3394" t="s">
        <v>2937</v>
      </c>
      <c r="H8" s="3395"/>
      <c r="I8" s="3394" t="s">
        <v>2937</v>
      </c>
      <c r="J8" s="3395"/>
      <c r="K8" s="514" t="s">
        <v>527</v>
      </c>
      <c r="L8" s="2133"/>
      <c r="M8" s="2132"/>
      <c r="N8" s="2132"/>
      <c r="O8" s="2134"/>
      <c r="P8" s="3386"/>
      <c r="Q8" s="3387"/>
      <c r="R8" s="3390"/>
      <c r="S8" s="3391"/>
      <c r="T8" s="3392"/>
      <c r="U8" s="3393"/>
      <c r="V8" s="3375"/>
      <c r="W8" s="3375"/>
      <c r="X8" s="1566"/>
      <c r="Y8" s="3392"/>
      <c r="Z8" s="3393"/>
      <c r="AA8" s="3379"/>
      <c r="AB8" s="3379"/>
      <c r="AC8" s="3379"/>
    </row>
    <row r="9" spans="1:30" s="1219" customFormat="1" ht="21" thickBot="1">
      <c r="A9" s="2911"/>
      <c r="B9" s="2918" t="s">
        <v>528</v>
      </c>
      <c r="C9" s="2910">
        <f>'数据-取费表'!B2</f>
        <v>43446</v>
      </c>
      <c r="D9" s="520">
        <v>100</v>
      </c>
      <c r="E9" s="521" t="str">
        <f>Sheet3!H7</f>
        <v>2017-12-07</v>
      </c>
      <c r="F9" s="522">
        <f>SUMIF(72:72,YEAR(E9)&amp;"-"&amp;INT((MONTH(E9)+2)/3),73:73)</f>
        <v>96</v>
      </c>
      <c r="G9" s="523" t="str">
        <f>Sheet3!H10</f>
        <v>2017-06-29</v>
      </c>
      <c r="H9" s="520">
        <f>SUMIF(72:72,YEAR(G9)&amp;"-"&amp;INT((MONTH(G9)+2)/3),73:73)</f>
        <v>94</v>
      </c>
      <c r="I9" s="523" t="str">
        <f>Sheet3!H11</f>
        <v>2017-06-29</v>
      </c>
      <c r="J9" s="520">
        <f>SUMIF(72:72,YEAR(I9)&amp;"-"&amp;INT((MONTH(I9)+2)/3),73:73)</f>
        <v>94</v>
      </c>
      <c r="K9" s="524"/>
      <c r="L9" s="2135"/>
      <c r="M9" s="2132"/>
      <c r="N9" s="2132"/>
      <c r="O9" s="2136"/>
      <c r="P9" s="3405" t="s">
        <v>529</v>
      </c>
      <c r="Q9" s="3407"/>
      <c r="R9" s="1567" t="s">
        <v>8</v>
      </c>
      <c r="S9" s="1568">
        <f t="shared" ref="S9:S17" si="0">F9</f>
        <v>96</v>
      </c>
      <c r="T9" s="1567" t="s">
        <v>8</v>
      </c>
      <c r="U9" s="1568">
        <f t="shared" ref="U9:U17" si="1">H9</f>
        <v>94</v>
      </c>
      <c r="V9" s="1567" t="s">
        <v>8</v>
      </c>
      <c r="W9" s="1568">
        <f t="shared" ref="W9:W17" si="2">J9</f>
        <v>94</v>
      </c>
      <c r="X9" s="1569"/>
      <c r="Y9" s="3405" t="s">
        <v>529</v>
      </c>
      <c r="Z9" s="3406"/>
      <c r="AA9" s="1570">
        <f>D9/F9</f>
        <v>1.0416666666666667</v>
      </c>
      <c r="AB9" s="1570">
        <f>D9/H9</f>
        <v>1.0638297872340425</v>
      </c>
      <c r="AC9" s="1570">
        <f>D9/J9</f>
        <v>1.0638297872340425</v>
      </c>
    </row>
    <row r="10" spans="1:30" s="1219" customFormat="1" ht="21" thickBot="1">
      <c r="A10" s="2912"/>
      <c r="B10" s="2919" t="s">
        <v>530</v>
      </c>
      <c r="C10" s="856" t="s">
        <v>531</v>
      </c>
      <c r="D10" s="520">
        <v>100</v>
      </c>
      <c r="E10" s="525" t="s">
        <v>2998</v>
      </c>
      <c r="F10" s="522">
        <f>SUMIF(75:75,E10,76:76)-SUMIF(75:75,C10,76:76)+100</f>
        <v>100</v>
      </c>
      <c r="G10" s="525" t="s">
        <v>2998</v>
      </c>
      <c r="H10" s="520">
        <f>SUMIF(75:75,G10,76:76)-SUMIF(75:75,C10,76:76)+100</f>
        <v>100</v>
      </c>
      <c r="I10" s="525" t="s">
        <v>2998</v>
      </c>
      <c r="J10" s="520">
        <f>SUMIF(75:75,I10,76:76)-SUMIF(75:75,C10,76:76)+100</f>
        <v>100</v>
      </c>
      <c r="K10" s="524"/>
      <c r="L10" s="2135"/>
      <c r="M10" s="2132"/>
      <c r="N10" s="2132"/>
      <c r="O10" s="2136"/>
      <c r="P10" s="3405" t="s">
        <v>532</v>
      </c>
      <c r="Q10" s="3406"/>
      <c r="R10" s="1567" t="s">
        <v>8</v>
      </c>
      <c r="S10" s="1568">
        <f t="shared" si="0"/>
        <v>100</v>
      </c>
      <c r="T10" s="1567" t="s">
        <v>8</v>
      </c>
      <c r="U10" s="1568">
        <f t="shared" si="1"/>
        <v>100</v>
      </c>
      <c r="V10" s="1567" t="s">
        <v>8</v>
      </c>
      <c r="W10" s="1568">
        <f t="shared" si="2"/>
        <v>100</v>
      </c>
      <c r="X10" s="1569"/>
      <c r="Y10" s="3405" t="s">
        <v>532</v>
      </c>
      <c r="Z10" s="3406"/>
      <c r="AA10" s="1570">
        <f t="shared" ref="AA10:AA47" si="3">D10/F10</f>
        <v>1</v>
      </c>
      <c r="AB10" s="1570">
        <f t="shared" ref="AB10:AB47" si="4">D10/H10</f>
        <v>1</v>
      </c>
      <c r="AC10" s="1570">
        <f t="shared" ref="AC10:AC47" si="5">D10/J10</f>
        <v>1</v>
      </c>
    </row>
    <row r="11" spans="1:30" s="1219" customFormat="1" ht="20.25">
      <c r="A11" s="2913"/>
      <c r="B11" s="2920" t="s">
        <v>2758</v>
      </c>
      <c r="C11" s="3501" t="s">
        <v>3170</v>
      </c>
      <c r="D11" s="254">
        <v>100</v>
      </c>
      <c r="E11" s="526" t="s">
        <v>922</v>
      </c>
      <c r="F11" s="254">
        <f>SUMIF(77:77,E11,78:78)-SUMIF(77:77,C11,78:78)+100</f>
        <v>105</v>
      </c>
      <c r="G11" s="526" t="s">
        <v>922</v>
      </c>
      <c r="H11" s="254">
        <f>SUMIF(77:77,G11,78:78)-SUMIF(77:77,C11,78:78)+100</f>
        <v>105</v>
      </c>
      <c r="I11" s="526" t="s">
        <v>922</v>
      </c>
      <c r="J11" s="254">
        <f>SUMIF(77:77,I11,78:78)-SUMIF(77:77,C11,78:78)+100</f>
        <v>105</v>
      </c>
      <c r="K11" s="524"/>
      <c r="L11" s="2135"/>
      <c r="M11" s="2132"/>
      <c r="N11" s="2132"/>
      <c r="O11" s="2137"/>
      <c r="P11" s="3374" t="s">
        <v>534</v>
      </c>
      <c r="Q11" s="1150" t="str">
        <f t="shared" ref="Q11:Q17" si="6">B11</f>
        <v>用途</v>
      </c>
      <c r="R11" s="1567" t="s">
        <v>8</v>
      </c>
      <c r="S11" s="1568">
        <f t="shared" si="0"/>
        <v>105</v>
      </c>
      <c r="T11" s="1567" t="s">
        <v>8</v>
      </c>
      <c r="U11" s="1568">
        <f t="shared" si="1"/>
        <v>105</v>
      </c>
      <c r="V11" s="1567" t="s">
        <v>8</v>
      </c>
      <c r="W11" s="1568">
        <f t="shared" si="2"/>
        <v>105</v>
      </c>
      <c r="X11" s="1569"/>
      <c r="Y11" s="3320" t="s">
        <v>535</v>
      </c>
      <c r="Z11" s="1149" t="str">
        <f t="shared" ref="Z11:Z17" si="7">Q11</f>
        <v>用途</v>
      </c>
      <c r="AA11" s="1570">
        <f t="shared" si="3"/>
        <v>0.95238095238095233</v>
      </c>
      <c r="AB11" s="1570">
        <f t="shared" si="4"/>
        <v>0.95238095238095233</v>
      </c>
      <c r="AC11" s="1570">
        <f t="shared" si="5"/>
        <v>0.95238095238095233</v>
      </c>
    </row>
    <row r="12" spans="1:30" s="1337" customFormat="1" ht="27">
      <c r="A12" s="2914"/>
      <c r="B12" s="2919"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74"/>
      <c r="Q12" s="1150" t="str">
        <f t="shared" si="6"/>
        <v>土地使用年限（年）</v>
      </c>
      <c r="R12" s="1567" t="s">
        <v>8</v>
      </c>
      <c r="S12" s="1568">
        <f t="shared" si="0"/>
        <v>101</v>
      </c>
      <c r="T12" s="1567" t="s">
        <v>8</v>
      </c>
      <c r="U12" s="1568">
        <f t="shared" si="1"/>
        <v>101</v>
      </c>
      <c r="V12" s="1567" t="s">
        <v>8</v>
      </c>
      <c r="W12" s="1568">
        <f t="shared" si="2"/>
        <v>101</v>
      </c>
      <c r="X12" s="1569"/>
      <c r="Y12" s="3320"/>
      <c r="Z12" s="1149" t="str">
        <f t="shared" si="7"/>
        <v>土地使用年限（年）</v>
      </c>
      <c r="AA12" s="1570">
        <f t="shared" si="3"/>
        <v>0.99009900990099009</v>
      </c>
      <c r="AB12" s="1570">
        <f t="shared" si="4"/>
        <v>0.99009900990099009</v>
      </c>
      <c r="AC12" s="1570">
        <f t="shared" si="5"/>
        <v>0.99009900990099009</v>
      </c>
    </row>
    <row r="13" spans="1:30" ht="20.25">
      <c r="A13" s="2915"/>
      <c r="B13" s="2919" t="s">
        <v>2760</v>
      </c>
      <c r="C13" s="534">
        <v>3</v>
      </c>
      <c r="D13" s="255">
        <v>100</v>
      </c>
      <c r="E13" s="533">
        <v>1.9</v>
      </c>
      <c r="F13" s="255">
        <f>LOOKUP(E13,82:82,83:83)-LOOKUP(C13,82:82,83:83)+100</f>
        <v>110</v>
      </c>
      <c r="G13" s="534">
        <v>2.2000000000000002</v>
      </c>
      <c r="H13" s="255">
        <f>LOOKUP(G13,82:82,83:83)-LOOKUP(C13,82:82,83:83)+100</f>
        <v>105</v>
      </c>
      <c r="I13" s="533">
        <v>2.1</v>
      </c>
      <c r="J13" s="255">
        <f>LOOKUP(I13,82:82,83:83)-LOOKUP(C13,82:82,83:83)+100</f>
        <v>105</v>
      </c>
      <c r="K13" s="535">
        <v>5</v>
      </c>
      <c r="L13" s="2140"/>
      <c r="M13" s="2132"/>
      <c r="N13" s="2132"/>
      <c r="O13" s="2141"/>
      <c r="P13" s="3374"/>
      <c r="Q13" s="1150" t="str">
        <f t="shared" si="6"/>
        <v>容积率</v>
      </c>
      <c r="R13" s="1567" t="s">
        <v>8</v>
      </c>
      <c r="S13" s="1568">
        <f t="shared" si="0"/>
        <v>110</v>
      </c>
      <c r="T13" s="1567" t="s">
        <v>8</v>
      </c>
      <c r="U13" s="1568">
        <f t="shared" si="1"/>
        <v>105</v>
      </c>
      <c r="V13" s="1567" t="s">
        <v>8</v>
      </c>
      <c r="W13" s="1568">
        <f t="shared" si="2"/>
        <v>105</v>
      </c>
      <c r="X13" s="1569"/>
      <c r="Y13" s="3320"/>
      <c r="Z13" s="1149" t="str">
        <f t="shared" si="7"/>
        <v>容积率</v>
      </c>
      <c r="AA13" s="1570">
        <f t="shared" si="3"/>
        <v>0.90909090909090906</v>
      </c>
      <c r="AB13" s="1570">
        <f t="shared" si="4"/>
        <v>0.95238095238095233</v>
      </c>
      <c r="AC13" s="1570">
        <f t="shared" si="5"/>
        <v>0.95238095238095233</v>
      </c>
    </row>
    <row r="14" spans="1:30" s="1219" customFormat="1" ht="20.25">
      <c r="A14" s="2912"/>
      <c r="B14" s="2921" t="s">
        <v>2761</v>
      </c>
      <c r="C14" s="290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4"/>
      <c r="Q14" s="1150" t="str">
        <f t="shared" si="6"/>
        <v>配建</v>
      </c>
      <c r="R14" s="1567" t="s">
        <v>8</v>
      </c>
      <c r="S14" s="1568">
        <f t="shared" si="0"/>
        <v>100</v>
      </c>
      <c r="T14" s="1567" t="s">
        <v>8</v>
      </c>
      <c r="U14" s="1568">
        <f t="shared" si="1"/>
        <v>100</v>
      </c>
      <c r="V14" s="1567" t="s">
        <v>8</v>
      </c>
      <c r="W14" s="1568">
        <f t="shared" si="2"/>
        <v>100</v>
      </c>
      <c r="X14" s="1569"/>
      <c r="Y14" s="3320"/>
      <c r="Z14" s="1149" t="str">
        <f t="shared" si="7"/>
        <v>配建</v>
      </c>
      <c r="AA14" s="1570">
        <f>D14/F14</f>
        <v>1</v>
      </c>
      <c r="AB14" s="1570">
        <f>D14/H14</f>
        <v>1</v>
      </c>
      <c r="AC14" s="1570">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D15/F15</f>
        <v>1</v>
      </c>
      <c r="AB15" s="1570">
        <f>D15/H15</f>
        <v>1</v>
      </c>
      <c r="AC15" s="1570">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D16/F16</f>
        <v>1</v>
      </c>
      <c r="AB16" s="1570">
        <f>D16/H16</f>
        <v>1</v>
      </c>
      <c r="AC16" s="1570">
        <f>D16/J16</f>
        <v>1</v>
      </c>
    </row>
    <row r="17" spans="1:29" ht="99.75">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100</v>
      </c>
      <c r="I17" s="552"/>
      <c r="J17" s="549">
        <f>SUMIF(90:90,I18,91:91)-SUMIF(90:90,C18,91:91)+100</f>
        <v>100</v>
      </c>
      <c r="K17" s="535">
        <v>3</v>
      </c>
      <c r="L17" s="2142"/>
      <c r="M17" s="2132"/>
      <c r="N17" s="2132"/>
      <c r="O17" s="2141"/>
      <c r="P17" s="3408" t="s">
        <v>539</v>
      </c>
      <c r="Q17" s="1571" t="str">
        <f t="shared" si="6"/>
        <v>居住社区成熟度</v>
      </c>
      <c r="R17" s="1572" t="s">
        <v>8</v>
      </c>
      <c r="S17" s="1573">
        <f t="shared" si="0"/>
        <v>103</v>
      </c>
      <c r="T17" s="1572" t="s">
        <v>8</v>
      </c>
      <c r="U17" s="1573">
        <f t="shared" si="1"/>
        <v>100</v>
      </c>
      <c r="V17" s="1572" t="s">
        <v>8</v>
      </c>
      <c r="W17" s="1573">
        <f t="shared" si="2"/>
        <v>100</v>
      </c>
      <c r="X17" s="1566"/>
      <c r="Y17" s="3408" t="s">
        <v>539</v>
      </c>
      <c r="Z17" s="1574" t="str">
        <f t="shared" si="7"/>
        <v>居住社区成熟度</v>
      </c>
      <c r="AA17" s="1575">
        <f t="shared" si="3"/>
        <v>0.970873786407767</v>
      </c>
      <c r="AB17" s="1575">
        <f t="shared" si="4"/>
        <v>1</v>
      </c>
      <c r="AC17" s="1575">
        <f t="shared" si="5"/>
        <v>1</v>
      </c>
    </row>
    <row r="18" spans="1:29" ht="20.25">
      <c r="A18" s="532"/>
      <c r="B18" s="553"/>
      <c r="C18" s="554" t="s">
        <v>3000</v>
      </c>
      <c r="D18" s="557"/>
      <c r="E18" s="558" t="s">
        <v>2999</v>
      </c>
      <c r="F18" s="555"/>
      <c r="G18" s="556" t="s">
        <v>3000</v>
      </c>
      <c r="H18" s="559"/>
      <c r="I18" s="558" t="s">
        <v>3000</v>
      </c>
      <c r="J18" s="555"/>
      <c r="K18" s="531"/>
      <c r="L18" s="2142"/>
      <c r="M18" s="2132"/>
      <c r="N18" s="2132"/>
      <c r="O18" s="2141"/>
      <c r="P18" s="3409"/>
      <c r="Q18" s="1571"/>
      <c r="R18" s="1572"/>
      <c r="S18" s="1573"/>
      <c r="T18" s="1572"/>
      <c r="U18" s="1573"/>
      <c r="V18" s="1572"/>
      <c r="W18" s="1573"/>
      <c r="X18" s="1566"/>
      <c r="Y18" s="3409"/>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100</v>
      </c>
      <c r="K19" s="535">
        <v>3</v>
      </c>
      <c r="L19" s="2142"/>
      <c r="M19" s="2132"/>
      <c r="N19" s="2132"/>
      <c r="O19" s="2141"/>
      <c r="P19" s="3409"/>
      <c r="Q19" s="1571" t="str">
        <f>B19</f>
        <v>商业繁华度</v>
      </c>
      <c r="R19" s="1572" t="s">
        <v>8</v>
      </c>
      <c r="S19" s="1573">
        <f>F19</f>
        <v>103</v>
      </c>
      <c r="T19" s="1572" t="s">
        <v>8</v>
      </c>
      <c r="U19" s="1573">
        <f>H19</f>
        <v>103</v>
      </c>
      <c r="V19" s="1572" t="s">
        <v>8</v>
      </c>
      <c r="W19" s="1573">
        <f>J19</f>
        <v>100</v>
      </c>
      <c r="X19" s="1566"/>
      <c r="Y19" s="3409"/>
      <c r="Z19" s="1574" t="str">
        <f>Q19</f>
        <v>商业繁华度</v>
      </c>
      <c r="AA19" s="1575">
        <f t="shared" si="3"/>
        <v>0.970873786407767</v>
      </c>
      <c r="AB19" s="1575">
        <f t="shared" si="4"/>
        <v>0.970873786407767</v>
      </c>
      <c r="AC19" s="1575">
        <f t="shared" si="5"/>
        <v>1</v>
      </c>
    </row>
    <row r="20" spans="1:29" ht="20.25">
      <c r="A20" s="532"/>
      <c r="B20" s="566"/>
      <c r="C20" s="567" t="s">
        <v>3000</v>
      </c>
      <c r="D20" s="563"/>
      <c r="E20" s="569" t="s">
        <v>2999</v>
      </c>
      <c r="F20" s="559"/>
      <c r="G20" s="568" t="s">
        <v>2999</v>
      </c>
      <c r="H20" s="555"/>
      <c r="I20" s="569" t="s">
        <v>3000</v>
      </c>
      <c r="J20" s="555"/>
      <c r="K20" s="531"/>
      <c r="L20" s="2142"/>
      <c r="M20" s="2132"/>
      <c r="N20" s="2132"/>
      <c r="O20" s="2141"/>
      <c r="P20" s="3409"/>
      <c r="Q20" s="1571"/>
      <c r="R20" s="1572"/>
      <c r="S20" s="1573"/>
      <c r="T20" s="1572"/>
      <c r="U20" s="1573"/>
      <c r="V20" s="1572"/>
      <c r="W20" s="1573"/>
      <c r="X20" s="1566"/>
      <c r="Y20" s="3409"/>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09"/>
      <c r="Q21" s="1571" t="str">
        <f>B21</f>
        <v>办公集聚程度</v>
      </c>
      <c r="R21" s="1572" t="s">
        <v>8</v>
      </c>
      <c r="S21" s="1573">
        <f>F21</f>
        <v>100</v>
      </c>
      <c r="T21" s="1572" t="s">
        <v>8</v>
      </c>
      <c r="U21" s="1573">
        <f>H21</f>
        <v>100</v>
      </c>
      <c r="V21" s="1572" t="s">
        <v>8</v>
      </c>
      <c r="W21" s="1573">
        <f>J21</f>
        <v>100</v>
      </c>
      <c r="X21" s="1566"/>
      <c r="Y21" s="3409"/>
      <c r="Z21" s="1574" t="str">
        <f>Q21</f>
        <v>办公集聚程度</v>
      </c>
      <c r="AA21" s="1575">
        <f t="shared" si="3"/>
        <v>1</v>
      </c>
      <c r="AB21" s="1575">
        <f t="shared" si="4"/>
        <v>1</v>
      </c>
      <c r="AC21" s="1575">
        <f t="shared" si="5"/>
        <v>1</v>
      </c>
    </row>
    <row r="22" spans="1:29" ht="20.25">
      <c r="A22" s="532"/>
      <c r="B22" s="566"/>
      <c r="C22" s="554" t="s">
        <v>3000</v>
      </c>
      <c r="D22" s="557"/>
      <c r="E22" s="558" t="s">
        <v>3000</v>
      </c>
      <c r="F22" s="555"/>
      <c r="G22" s="556" t="s">
        <v>3000</v>
      </c>
      <c r="H22" s="555"/>
      <c r="I22" s="558" t="s">
        <v>3000</v>
      </c>
      <c r="J22" s="555"/>
      <c r="K22" s="531"/>
      <c r="L22" s="2142"/>
      <c r="M22" s="2132"/>
      <c r="N22" s="2132"/>
      <c r="O22" s="2141"/>
      <c r="P22" s="3409"/>
      <c r="Q22" s="1571"/>
      <c r="R22" s="1572"/>
      <c r="S22" s="1573"/>
      <c r="T22" s="1572"/>
      <c r="U22" s="1573"/>
      <c r="V22" s="1572"/>
      <c r="W22" s="1573"/>
      <c r="X22" s="1566"/>
      <c r="Y22" s="3409"/>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100</v>
      </c>
      <c r="I23" s="564"/>
      <c r="J23" s="559">
        <f>SUMIF(96:96,I24,97:97)-SUMIF(96:96,C24,97:97)+100</f>
        <v>100</v>
      </c>
      <c r="K23" s="535">
        <v>2</v>
      </c>
      <c r="L23" s="2142"/>
      <c r="M23" s="2132"/>
      <c r="N23" s="2132"/>
      <c r="O23" s="2141"/>
      <c r="P23" s="3409"/>
      <c r="Q23" s="1571" t="str">
        <f>B23</f>
        <v>交通便捷度</v>
      </c>
      <c r="R23" s="1572" t="s">
        <v>8</v>
      </c>
      <c r="S23" s="1573">
        <f>F23</f>
        <v>102</v>
      </c>
      <c r="T23" s="1572" t="s">
        <v>8</v>
      </c>
      <c r="U23" s="1573">
        <f>H23</f>
        <v>100</v>
      </c>
      <c r="V23" s="1572" t="s">
        <v>8</v>
      </c>
      <c r="W23" s="1573">
        <f>J23</f>
        <v>100</v>
      </c>
      <c r="X23" s="1566"/>
      <c r="Y23" s="3409"/>
      <c r="Z23" s="1574" t="str">
        <f>Q23</f>
        <v>交通便捷度</v>
      </c>
      <c r="AA23" s="1575">
        <f t="shared" si="3"/>
        <v>0.98039215686274506</v>
      </c>
      <c r="AB23" s="1575">
        <f t="shared" si="4"/>
        <v>1</v>
      </c>
      <c r="AC23" s="1575">
        <f t="shared" si="5"/>
        <v>1</v>
      </c>
    </row>
    <row r="24" spans="1:29" ht="20.25">
      <c r="A24" s="532"/>
      <c r="B24" s="578"/>
      <c r="C24" s="554" t="s">
        <v>3000</v>
      </c>
      <c r="D24" s="557"/>
      <c r="E24" s="558" t="s">
        <v>2999</v>
      </c>
      <c r="F24" s="555"/>
      <c r="G24" s="556" t="s">
        <v>3000</v>
      </c>
      <c r="H24" s="555"/>
      <c r="I24" s="558" t="s">
        <v>3000</v>
      </c>
      <c r="J24" s="555"/>
      <c r="K24" s="531"/>
      <c r="L24" s="2142"/>
      <c r="M24" s="2132"/>
      <c r="N24" s="2132"/>
      <c r="O24" s="2141"/>
      <c r="P24" s="3409"/>
      <c r="Q24" s="1571"/>
      <c r="R24" s="1572"/>
      <c r="S24" s="1573"/>
      <c r="T24" s="1572"/>
      <c r="U24" s="1573"/>
      <c r="V24" s="1572"/>
      <c r="W24" s="1573"/>
      <c r="X24" s="1566"/>
      <c r="Y24" s="3409"/>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09"/>
      <c r="Q25" s="1571" t="str">
        <f t="shared" ref="Q25:Q39" si="8">B25</f>
        <v>区域土地利用方向</v>
      </c>
      <c r="R25" s="1572" t="s">
        <v>8</v>
      </c>
      <c r="S25" s="1573">
        <f>F25</f>
        <v>100</v>
      </c>
      <c r="T25" s="1572" t="s">
        <v>8</v>
      </c>
      <c r="U25" s="1573">
        <f>H25</f>
        <v>100</v>
      </c>
      <c r="V25" s="1572" t="s">
        <v>8</v>
      </c>
      <c r="W25" s="1573">
        <f>J25</f>
        <v>100</v>
      </c>
      <c r="X25" s="1566"/>
      <c r="Y25" s="3409"/>
      <c r="Z25" s="1574" t="str">
        <f>Q25</f>
        <v>区域土地利用方向</v>
      </c>
      <c r="AA25" s="1575">
        <f t="shared" si="3"/>
        <v>1</v>
      </c>
      <c r="AB25" s="1575">
        <f t="shared" si="4"/>
        <v>1</v>
      </c>
      <c r="AC25" s="1575">
        <f t="shared" si="5"/>
        <v>1</v>
      </c>
    </row>
    <row r="26" spans="1:29" ht="20.25">
      <c r="A26" s="515"/>
      <c r="B26" s="1006"/>
      <c r="C26" s="554" t="s">
        <v>2999</v>
      </c>
      <c r="D26" s="557"/>
      <c r="E26" s="558" t="s">
        <v>2999</v>
      </c>
      <c r="F26" s="555"/>
      <c r="G26" s="556" t="s">
        <v>2999</v>
      </c>
      <c r="H26" s="555"/>
      <c r="I26" s="558" t="s">
        <v>2999</v>
      </c>
      <c r="J26" s="555"/>
      <c r="K26" s="531"/>
      <c r="L26" s="2142"/>
      <c r="M26" s="2132"/>
      <c r="N26" s="2132"/>
      <c r="O26" s="2141"/>
      <c r="P26" s="3409"/>
      <c r="Q26" s="1571"/>
      <c r="R26" s="1572"/>
      <c r="S26" s="1573"/>
      <c r="T26" s="1572"/>
      <c r="U26" s="1573"/>
      <c r="V26" s="1572"/>
      <c r="W26" s="1573"/>
      <c r="X26" s="1566"/>
      <c r="Y26" s="3409"/>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100</v>
      </c>
      <c r="I27" s="564"/>
      <c r="J27" s="559">
        <f>SUMIF(100:100,I28,101:101)-SUMIF(100:100,C28,101:101)+100</f>
        <v>100</v>
      </c>
      <c r="K27" s="535">
        <v>5</v>
      </c>
      <c r="L27" s="2142"/>
      <c r="M27" s="2132"/>
      <c r="N27" s="2132"/>
      <c r="O27" s="2141"/>
      <c r="P27" s="3409"/>
      <c r="Q27" s="1571" t="str">
        <f t="shared" si="8"/>
        <v>自然及人文环境状况</v>
      </c>
      <c r="R27" s="1572" t="s">
        <v>8</v>
      </c>
      <c r="S27" s="1573">
        <f>F27</f>
        <v>95</v>
      </c>
      <c r="T27" s="1572" t="s">
        <v>8</v>
      </c>
      <c r="U27" s="1573">
        <f>H27</f>
        <v>100</v>
      </c>
      <c r="V27" s="1572" t="s">
        <v>8</v>
      </c>
      <c r="W27" s="1573">
        <f>J27</f>
        <v>100</v>
      </c>
      <c r="X27" s="1566"/>
      <c r="Y27" s="3409"/>
      <c r="Z27" s="1574" t="str">
        <f>Q27</f>
        <v>自然及人文环境状况</v>
      </c>
      <c r="AA27" s="1575">
        <f t="shared" si="3"/>
        <v>1.0526315789473684</v>
      </c>
      <c r="AB27" s="1575">
        <f t="shared" si="4"/>
        <v>1</v>
      </c>
      <c r="AC27" s="1575">
        <f t="shared" si="5"/>
        <v>1</v>
      </c>
    </row>
    <row r="28" spans="1:29" ht="20.25">
      <c r="A28" s="515"/>
      <c r="B28" s="566"/>
      <c r="C28" s="554" t="s">
        <v>2999</v>
      </c>
      <c r="D28" s="557"/>
      <c r="E28" s="576" t="s">
        <v>3000</v>
      </c>
      <c r="F28" s="555"/>
      <c r="G28" s="554" t="s">
        <v>2999</v>
      </c>
      <c r="H28" s="555"/>
      <c r="I28" s="576" t="s">
        <v>2999</v>
      </c>
      <c r="J28" s="555"/>
      <c r="K28" s="531"/>
      <c r="L28" s="2142"/>
      <c r="M28" s="2132"/>
      <c r="N28" s="2132"/>
      <c r="O28" s="2141"/>
      <c r="P28" s="3409"/>
      <c r="Q28" s="1571"/>
      <c r="R28" s="1572"/>
      <c r="S28" s="1573"/>
      <c r="T28" s="1572"/>
      <c r="U28" s="1573"/>
      <c r="V28" s="1572"/>
      <c r="W28" s="1573"/>
      <c r="X28" s="1566"/>
      <c r="Y28" s="3409"/>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100</v>
      </c>
      <c r="I29" s="564"/>
      <c r="J29" s="559">
        <f>SUMIF(102:102,I30,103:103)-SUMIF(102:102,C30,103:103)+100</f>
        <v>100</v>
      </c>
      <c r="K29" s="535">
        <v>5</v>
      </c>
      <c r="L29" s="2135"/>
      <c r="M29" s="2132"/>
      <c r="N29" s="2132"/>
      <c r="O29" s="2137"/>
      <c r="P29" s="3409"/>
      <c r="Q29" s="1150" t="str">
        <f t="shared" si="8"/>
        <v>公共配套设施</v>
      </c>
      <c r="R29" s="1567" t="s">
        <v>8</v>
      </c>
      <c r="S29" s="1568">
        <f>F29</f>
        <v>105</v>
      </c>
      <c r="T29" s="1567" t="s">
        <v>8</v>
      </c>
      <c r="U29" s="1568">
        <f>H29</f>
        <v>100</v>
      </c>
      <c r="V29" s="1567" t="s">
        <v>8</v>
      </c>
      <c r="W29" s="1568">
        <f>J29</f>
        <v>100</v>
      </c>
      <c r="X29" s="1569"/>
      <c r="Y29" s="3409"/>
      <c r="Z29" s="1149" t="str">
        <f>Q29</f>
        <v>公共配套设施</v>
      </c>
      <c r="AA29" s="1575">
        <f>D29/F29</f>
        <v>0.95238095238095233</v>
      </c>
      <c r="AB29" s="1575">
        <f>D29/H29</f>
        <v>1</v>
      </c>
      <c r="AC29" s="1575">
        <f>D29/J29</f>
        <v>1</v>
      </c>
    </row>
    <row r="30" spans="1:29" s="1219" customFormat="1" ht="20.25">
      <c r="A30" s="577"/>
      <c r="B30" s="566"/>
      <c r="C30" s="579" t="s">
        <v>3000</v>
      </c>
      <c r="D30" s="557"/>
      <c r="E30" s="576" t="s">
        <v>2999</v>
      </c>
      <c r="F30" s="555"/>
      <c r="G30" s="554" t="s">
        <v>3000</v>
      </c>
      <c r="H30" s="555"/>
      <c r="I30" s="576" t="s">
        <v>3000</v>
      </c>
      <c r="J30" s="555"/>
      <c r="K30" s="531"/>
      <c r="L30" s="2135"/>
      <c r="M30" s="2132"/>
      <c r="N30" s="2132"/>
      <c r="O30" s="2137"/>
      <c r="P30" s="3409"/>
      <c r="Q30" s="1150"/>
      <c r="R30" s="1567"/>
      <c r="S30" s="1568"/>
      <c r="T30" s="1567"/>
      <c r="U30" s="1568"/>
      <c r="V30" s="1567"/>
      <c r="W30" s="1568"/>
      <c r="X30" s="1569"/>
      <c r="Y30" s="3409"/>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09"/>
      <c r="Q31" s="2578" t="str">
        <f t="shared" ref="Q31" si="9">B31</f>
        <v>基础设施水平</v>
      </c>
      <c r="R31" s="1567" t="s">
        <v>8</v>
      </c>
      <c r="S31" s="1568">
        <f>F31</f>
        <v>100</v>
      </c>
      <c r="T31" s="1567" t="s">
        <v>8</v>
      </c>
      <c r="U31" s="1568">
        <f>H31</f>
        <v>100</v>
      </c>
      <c r="V31" s="1567" t="s">
        <v>8</v>
      </c>
      <c r="W31" s="1568">
        <f>J31</f>
        <v>100</v>
      </c>
      <c r="X31" s="1569"/>
      <c r="Y31" s="3409"/>
      <c r="Z31" s="2575" t="str">
        <f>Q31</f>
        <v>基础设施水平</v>
      </c>
      <c r="AA31" s="1575">
        <f>D31/F31</f>
        <v>1</v>
      </c>
      <c r="AB31" s="1575">
        <f>D31/H31</f>
        <v>1</v>
      </c>
      <c r="AC31" s="1575">
        <f>D31/J31</f>
        <v>1</v>
      </c>
    </row>
    <row r="32" spans="1:29" s="1219" customFormat="1" ht="20.25">
      <c r="A32" s="577"/>
      <c r="B32" s="566"/>
      <c r="C32" s="579" t="s">
        <v>3163</v>
      </c>
      <c r="D32" s="557"/>
      <c r="E32" s="2592" t="s">
        <v>3163</v>
      </c>
      <c r="F32" s="555"/>
      <c r="G32" s="579" t="s">
        <v>3163</v>
      </c>
      <c r="H32" s="555"/>
      <c r="I32" s="579" t="s">
        <v>3163</v>
      </c>
      <c r="J32" s="555"/>
      <c r="K32" s="531"/>
      <c r="L32" s="2135"/>
      <c r="M32" s="2132"/>
      <c r="N32" s="2132"/>
      <c r="O32" s="2137"/>
      <c r="P32" s="3409"/>
      <c r="Q32" s="2578"/>
      <c r="R32" s="1567"/>
      <c r="S32" s="1568"/>
      <c r="T32" s="1567"/>
      <c r="U32" s="1568"/>
      <c r="V32" s="1567"/>
      <c r="W32" s="1568"/>
      <c r="X32" s="1569"/>
      <c r="Y32" s="3409"/>
      <c r="Z32" s="2575"/>
      <c r="AA32" s="1575">
        <v>1</v>
      </c>
      <c r="AB32" s="1575">
        <v>1</v>
      </c>
      <c r="AC32" s="1575">
        <v>1</v>
      </c>
    </row>
    <row r="33" spans="1:29" ht="20.25">
      <c r="A33" s="532"/>
      <c r="B33" s="566" t="s">
        <v>546</v>
      </c>
      <c r="C33" s="580" t="s">
        <v>3046</v>
      </c>
      <c r="D33" s="575">
        <v>100</v>
      </c>
      <c r="E33" s="583" t="s">
        <v>3046</v>
      </c>
      <c r="F33" s="540">
        <f>SUMIF(106:106,E33,107:107)-SUMIF(106:106,C33,107:107)+100</f>
        <v>100</v>
      </c>
      <c r="G33" s="580" t="s">
        <v>3046</v>
      </c>
      <c r="H33" s="540">
        <f>SUMIF(106:106,G33,107:107)-SUMIF(106:106,C33,107:107)+100</f>
        <v>100</v>
      </c>
      <c r="I33" s="580" t="s">
        <v>3046</v>
      </c>
      <c r="J33" s="540">
        <f>SUMIF(106:106,I33,107:107)-SUMIF(106:106,C33,107:107)+100</f>
        <v>100</v>
      </c>
      <c r="K33" s="535">
        <v>1</v>
      </c>
      <c r="L33" s="2142"/>
      <c r="M33" s="2132"/>
      <c r="N33" s="2132"/>
      <c r="O33" s="2141"/>
      <c r="P33" s="340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9"/>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09"/>
      <c r="Q34" s="1571" t="str">
        <f t="shared" si="8"/>
        <v>毗邻道路的类型与等级</v>
      </c>
      <c r="R34" s="1572" t="s">
        <v>8</v>
      </c>
      <c r="S34" s="1573">
        <f t="shared" si="10"/>
        <v>100</v>
      </c>
      <c r="T34" s="1572" t="s">
        <v>8</v>
      </c>
      <c r="U34" s="1573">
        <f t="shared" si="11"/>
        <v>100</v>
      </c>
      <c r="V34" s="1572" t="s">
        <v>8</v>
      </c>
      <c r="W34" s="1573">
        <f t="shared" si="12"/>
        <v>100</v>
      </c>
      <c r="X34" s="1566"/>
      <c r="Y34" s="3409"/>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409"/>
      <c r="Q35" s="1571"/>
      <c r="R35" s="1572"/>
      <c r="S35" s="1573"/>
      <c r="T35" s="1572"/>
      <c r="U35" s="1573"/>
      <c r="V35" s="1572"/>
      <c r="W35" s="1573"/>
      <c r="X35" s="1566"/>
      <c r="Y35" s="3409"/>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9"/>
      <c r="Q36" s="1571" t="str">
        <f t="shared" si="8"/>
        <v>土地级别</v>
      </c>
      <c r="R36" s="1572" t="s">
        <v>8</v>
      </c>
      <c r="S36" s="1573">
        <f t="shared" si="10"/>
        <v>100</v>
      </c>
      <c r="T36" s="1572" t="s">
        <v>8</v>
      </c>
      <c r="U36" s="1573">
        <f t="shared" si="11"/>
        <v>100</v>
      </c>
      <c r="V36" s="1572" t="s">
        <v>8</v>
      </c>
      <c r="W36" s="1573">
        <f t="shared" si="12"/>
        <v>100</v>
      </c>
      <c r="X36" s="1566"/>
      <c r="Y36" s="3409"/>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9"/>
      <c r="Q37" s="1571">
        <f t="shared" si="8"/>
        <v>111</v>
      </c>
      <c r="R37" s="1572" t="s">
        <v>8</v>
      </c>
      <c r="S37" s="1573">
        <f t="shared" si="10"/>
        <v>100</v>
      </c>
      <c r="T37" s="1572" t="s">
        <v>8</v>
      </c>
      <c r="U37" s="1573">
        <f t="shared" si="11"/>
        <v>100</v>
      </c>
      <c r="V37" s="1572" t="s">
        <v>8</v>
      </c>
      <c r="W37" s="1573">
        <f t="shared" si="12"/>
        <v>100</v>
      </c>
      <c r="X37" s="1566"/>
      <c r="Y37" s="3409"/>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0" t="s">
        <v>549</v>
      </c>
      <c r="Q38" s="1571">
        <f t="shared" si="8"/>
        <v>111</v>
      </c>
      <c r="R38" s="1572" t="s">
        <v>8</v>
      </c>
      <c r="S38" s="1573">
        <f t="shared" si="10"/>
        <v>100</v>
      </c>
      <c r="T38" s="1572" t="s">
        <v>8</v>
      </c>
      <c r="U38" s="1573">
        <f t="shared" si="11"/>
        <v>100</v>
      </c>
      <c r="V38" s="1572" t="s">
        <v>8</v>
      </c>
      <c r="W38" s="1573">
        <f t="shared" si="12"/>
        <v>100</v>
      </c>
      <c r="X38" s="1566"/>
      <c r="Y38" s="3411"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1"/>
      <c r="Q39" s="1571">
        <f t="shared" si="8"/>
        <v>111</v>
      </c>
      <c r="R39" s="1576" t="s">
        <v>8</v>
      </c>
      <c r="S39" s="1577">
        <f t="shared" si="10"/>
        <v>100</v>
      </c>
      <c r="T39" s="1576" t="s">
        <v>8</v>
      </c>
      <c r="U39" s="1577">
        <f t="shared" si="11"/>
        <v>100</v>
      </c>
      <c r="V39" s="1576" t="s">
        <v>8</v>
      </c>
      <c r="W39" s="1577">
        <f t="shared" si="12"/>
        <v>100</v>
      </c>
      <c r="X39" s="1578"/>
      <c r="Y39" s="3411"/>
      <c r="Z39" s="1579">
        <f t="shared" si="13"/>
        <v>111</v>
      </c>
      <c r="AA39" s="1575">
        <f t="shared" si="3"/>
        <v>1</v>
      </c>
      <c r="AB39" s="1575">
        <f t="shared" si="4"/>
        <v>1</v>
      </c>
      <c r="AC39" s="1575">
        <f t="shared" si="5"/>
        <v>1</v>
      </c>
    </row>
    <row r="40" spans="1:29" ht="20.25">
      <c r="A40" s="2907" t="s">
        <v>2757</v>
      </c>
      <c r="B40" s="595" t="s">
        <v>551</v>
      </c>
      <c r="C40" s="596">
        <v>47336</v>
      </c>
      <c r="D40" s="597">
        <v>100</v>
      </c>
      <c r="E40" s="596">
        <f>Sheet3!D7</f>
        <v>112726</v>
      </c>
      <c r="F40" s="597">
        <f>LOOKUP(E40,119:119,120:120)-LOOKUP(C40,119:119,120:120)+100</f>
        <v>102</v>
      </c>
      <c r="G40" s="596">
        <f>Sheet3!D10</f>
        <v>77609</v>
      </c>
      <c r="H40" s="597">
        <f>LOOKUP(G40,119:119,120:120)-LOOKUP(C40,119:119,120:120)+100</f>
        <v>101</v>
      </c>
      <c r="I40" s="598">
        <f>Sheet3!D11</f>
        <v>56724</v>
      </c>
      <c r="J40" s="597">
        <f>LOOKUP(I40,119:119,120:120)-LOOKUP(C40,119:119,120:120)+100</f>
        <v>101</v>
      </c>
      <c r="K40" s="581"/>
      <c r="L40" s="2142"/>
      <c r="M40" s="2132"/>
      <c r="N40" s="2132"/>
      <c r="O40" s="2141"/>
      <c r="P40" s="3411"/>
      <c r="Q40" s="1571" t="str">
        <f>B40</f>
        <v>宗地面积</v>
      </c>
      <c r="R40" s="1572" t="s">
        <v>8</v>
      </c>
      <c r="S40" s="1573">
        <f t="shared" si="10"/>
        <v>102</v>
      </c>
      <c r="T40" s="1572" t="s">
        <v>8</v>
      </c>
      <c r="U40" s="1573">
        <f t="shared" si="11"/>
        <v>101</v>
      </c>
      <c r="V40" s="1572" t="s">
        <v>8</v>
      </c>
      <c r="W40" s="1573">
        <f t="shared" si="12"/>
        <v>101</v>
      </c>
      <c r="X40" s="1566"/>
      <c r="Y40" s="3411"/>
      <c r="Z40" s="1574" t="str">
        <f t="shared" si="13"/>
        <v>宗地面积</v>
      </c>
      <c r="AA40" s="1575">
        <f t="shared" si="3"/>
        <v>0.98039215686274506</v>
      </c>
      <c r="AB40" s="1575">
        <f t="shared" si="4"/>
        <v>0.99009900990099009</v>
      </c>
      <c r="AC40" s="1575">
        <f t="shared" si="5"/>
        <v>0.99009900990099009</v>
      </c>
    </row>
    <row r="41" spans="1:29" ht="20.25">
      <c r="A41" s="594"/>
      <c r="B41" s="527" t="s">
        <v>552</v>
      </c>
      <c r="C41" s="599" t="s">
        <v>3167</v>
      </c>
      <c r="D41" s="540">
        <v>100</v>
      </c>
      <c r="E41" s="599" t="s">
        <v>3164</v>
      </c>
      <c r="F41" s="540">
        <f>SUMIF(121:121,E41,122:122)-SUMIF(121:121,C41,122:122)+100</f>
        <v>110</v>
      </c>
      <c r="G41" s="599" t="s">
        <v>3164</v>
      </c>
      <c r="H41" s="540">
        <f>SUMIF(121:121,G41,122:122)-SUMIF(121:121,C41,122:122)+100</f>
        <v>110</v>
      </c>
      <c r="I41" s="599" t="s">
        <v>3164</v>
      </c>
      <c r="J41" s="540">
        <f>SUMIF(121:121,I41,122:122)-SUMIF(121:121,C41,122:122)+100</f>
        <v>110</v>
      </c>
      <c r="K41" s="584">
        <v>5</v>
      </c>
      <c r="L41" s="2142"/>
      <c r="M41" s="2132"/>
      <c r="N41" s="2132"/>
      <c r="O41" s="2141"/>
      <c r="P41" s="3411"/>
      <c r="Q41" s="1571" t="str">
        <f t="shared" ref="Q41:Q47" si="14">B41</f>
        <v>宗地形状</v>
      </c>
      <c r="R41" s="1572" t="s">
        <v>8</v>
      </c>
      <c r="S41" s="1573">
        <f t="shared" si="10"/>
        <v>110</v>
      </c>
      <c r="T41" s="1572" t="s">
        <v>8</v>
      </c>
      <c r="U41" s="1573">
        <f t="shared" si="11"/>
        <v>110</v>
      </c>
      <c r="V41" s="1572" t="s">
        <v>8</v>
      </c>
      <c r="W41" s="1573">
        <f t="shared" si="12"/>
        <v>110</v>
      </c>
      <c r="X41" s="1566"/>
      <c r="Y41" s="3411"/>
      <c r="Z41" s="1574" t="str">
        <f t="shared" si="13"/>
        <v>宗地形状</v>
      </c>
      <c r="AA41" s="1575">
        <f t="shared" si="3"/>
        <v>0.90909090909090906</v>
      </c>
      <c r="AB41" s="1575">
        <f t="shared" si="4"/>
        <v>0.90909090909090906</v>
      </c>
      <c r="AC41" s="1575">
        <f t="shared" si="5"/>
        <v>0.90909090909090906</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11"/>
      <c r="Q42" s="1571" t="str">
        <f t="shared" si="14"/>
        <v>临街宽度及深度</v>
      </c>
      <c r="R42" s="1572" t="s">
        <v>8</v>
      </c>
      <c r="S42" s="1573">
        <f t="shared" si="10"/>
        <v>100</v>
      </c>
      <c r="T42" s="1572" t="s">
        <v>8</v>
      </c>
      <c r="U42" s="1573">
        <f t="shared" si="11"/>
        <v>100</v>
      </c>
      <c r="V42" s="1572" t="s">
        <v>8</v>
      </c>
      <c r="W42" s="1573">
        <f t="shared" si="12"/>
        <v>100</v>
      </c>
      <c r="X42" s="1566"/>
      <c r="Y42" s="3411"/>
      <c r="Z42" s="1574" t="str">
        <f t="shared" si="13"/>
        <v>临街宽度及深度</v>
      </c>
      <c r="AA42" s="1575">
        <f t="shared" si="3"/>
        <v>1</v>
      </c>
      <c r="AB42" s="1575">
        <f t="shared" si="4"/>
        <v>1</v>
      </c>
      <c r="AC42" s="1575">
        <f t="shared" si="5"/>
        <v>1</v>
      </c>
    </row>
    <row r="43" spans="1:29" s="1219" customFormat="1" ht="20.25">
      <c r="A43" s="600"/>
      <c r="B43" s="1895" t="s">
        <v>2426</v>
      </c>
      <c r="C43" s="601" t="s">
        <v>3053</v>
      </c>
      <c r="D43" s="255">
        <v>100</v>
      </c>
      <c r="E43" s="601" t="s">
        <v>3053</v>
      </c>
      <c r="F43" s="540">
        <f>SUMIF(125:125,E43,126:126)-SUMIF(125:125,C43,126:126)+100</f>
        <v>100</v>
      </c>
      <c r="G43" s="601" t="s">
        <v>3053</v>
      </c>
      <c r="H43" s="540">
        <f>SUMIF(125:125,G43,126:126)-SUMIF(125:125,C43,126:126)+100</f>
        <v>100</v>
      </c>
      <c r="I43" s="601" t="s">
        <v>3053</v>
      </c>
      <c r="J43" s="540">
        <f>SUMIF(125:125,I43,126:126)-SUMIF(125:125,C43,126:126)+100</f>
        <v>100</v>
      </c>
      <c r="K43" s="584">
        <v>0</v>
      </c>
      <c r="L43" s="2135"/>
      <c r="M43" s="2132"/>
      <c r="N43" s="2132"/>
      <c r="O43" s="2137"/>
      <c r="P43" s="3411"/>
      <c r="Q43" s="1571" t="str">
        <f t="shared" si="14"/>
        <v>宗地开发程度</v>
      </c>
      <c r="R43" s="1567" t="s">
        <v>8</v>
      </c>
      <c r="S43" s="1568">
        <f t="shared" si="10"/>
        <v>100</v>
      </c>
      <c r="T43" s="1567" t="s">
        <v>8</v>
      </c>
      <c r="U43" s="1568">
        <f t="shared" si="11"/>
        <v>100</v>
      </c>
      <c r="V43" s="1567" t="s">
        <v>8</v>
      </c>
      <c r="W43" s="1568">
        <f t="shared" si="12"/>
        <v>100</v>
      </c>
      <c r="X43" s="1569"/>
      <c r="Y43" s="3411"/>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11" t="s">
        <v>549</v>
      </c>
      <c r="Q44" s="1571" t="str">
        <f t="shared" si="14"/>
        <v>工程地质条件</v>
      </c>
      <c r="R44" s="1572" t="s">
        <v>8</v>
      </c>
      <c r="S44" s="1573">
        <f t="shared" si="10"/>
        <v>100</v>
      </c>
      <c r="T44" s="1572" t="s">
        <v>8</v>
      </c>
      <c r="U44" s="1573">
        <f t="shared" si="11"/>
        <v>100</v>
      </c>
      <c r="V44" s="1572" t="s">
        <v>8</v>
      </c>
      <c r="W44" s="1573">
        <f t="shared" si="12"/>
        <v>100</v>
      </c>
      <c r="X44" s="1566"/>
      <c r="Y44" s="3411"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1"/>
      <c r="Q45" s="1571">
        <f t="shared" si="14"/>
        <v>111</v>
      </c>
      <c r="R45" s="1572" t="s">
        <v>8</v>
      </c>
      <c r="S45" s="1573">
        <f t="shared" si="10"/>
        <v>100</v>
      </c>
      <c r="T45" s="1572" t="s">
        <v>8</v>
      </c>
      <c r="U45" s="1573">
        <f t="shared" si="11"/>
        <v>100</v>
      </c>
      <c r="V45" s="1572" t="s">
        <v>8</v>
      </c>
      <c r="W45" s="1573">
        <f t="shared" si="12"/>
        <v>100</v>
      </c>
      <c r="X45" s="1566"/>
      <c r="Y45" s="3411"/>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1"/>
      <c r="Q46" s="1571">
        <f t="shared" si="14"/>
        <v>111</v>
      </c>
      <c r="R46" s="1572" t="s">
        <v>8</v>
      </c>
      <c r="S46" s="1573">
        <f t="shared" si="10"/>
        <v>100</v>
      </c>
      <c r="T46" s="1572" t="s">
        <v>8</v>
      </c>
      <c r="U46" s="1573">
        <f t="shared" si="11"/>
        <v>100</v>
      </c>
      <c r="V46" s="1572" t="s">
        <v>8</v>
      </c>
      <c r="W46" s="1573">
        <f t="shared" si="12"/>
        <v>100</v>
      </c>
      <c r="X46" s="1566"/>
      <c r="Y46" s="3411"/>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1"/>
      <c r="Q47" s="1571">
        <f t="shared" si="14"/>
        <v>111</v>
      </c>
      <c r="R47" s="1576" t="s">
        <v>8</v>
      </c>
      <c r="S47" s="1577">
        <f t="shared" si="10"/>
        <v>100</v>
      </c>
      <c r="T47" s="1576" t="s">
        <v>8</v>
      </c>
      <c r="U47" s="1577">
        <f t="shared" si="11"/>
        <v>100</v>
      </c>
      <c r="V47" s="1576" t="s">
        <v>8</v>
      </c>
      <c r="W47" s="1577">
        <f t="shared" si="12"/>
        <v>100</v>
      </c>
      <c r="X47" s="1578"/>
      <c r="Y47" s="3411"/>
      <c r="Z47" s="1579">
        <f t="shared" si="13"/>
        <v>111</v>
      </c>
      <c r="AA47" s="1575">
        <f t="shared" si="3"/>
        <v>1</v>
      </c>
      <c r="AB47" s="1575">
        <f t="shared" si="4"/>
        <v>1</v>
      </c>
      <c r="AC47" s="1575">
        <f t="shared" si="5"/>
        <v>1</v>
      </c>
    </row>
    <row r="48" spans="1:29" ht="20.25">
      <c r="A48" s="607" t="s">
        <v>555</v>
      </c>
      <c r="B48" s="608" t="s">
        <v>3045</v>
      </c>
      <c r="C48" s="609" t="s">
        <v>1</v>
      </c>
      <c r="D48" s="610"/>
      <c r="E48" s="611">
        <f>Sheet3!K7</f>
        <v>5520.28</v>
      </c>
      <c r="F48" s="612"/>
      <c r="G48" s="613">
        <f>Sheet3!K10</f>
        <v>5528.88</v>
      </c>
      <c r="H48" s="614"/>
      <c r="I48" s="611">
        <f>Sheet3!K11</f>
        <v>5574.18</v>
      </c>
      <c r="J48" s="614"/>
      <c r="K48" s="1339"/>
      <c r="L48" s="2144"/>
      <c r="M48" s="2132"/>
      <c r="N48" s="2132"/>
      <c r="O48" s="2145"/>
      <c r="P48" s="3374" t="str">
        <f>A48</f>
        <v>成交单价</v>
      </c>
      <c r="Q48" s="3374"/>
      <c r="R48" s="3375">
        <f>E48</f>
        <v>5520.28</v>
      </c>
      <c r="S48" s="3375"/>
      <c r="T48" s="3375">
        <f>G48</f>
        <v>5528.88</v>
      </c>
      <c r="U48" s="3375"/>
      <c r="V48" s="3375">
        <f>I48</f>
        <v>5574.18</v>
      </c>
      <c r="W48" s="3375"/>
      <c r="X48" s="1558"/>
      <c r="Y48" s="1580"/>
      <c r="Z48" s="1558"/>
      <c r="AA48" s="1558"/>
      <c r="AB48" s="1558"/>
      <c r="AC48" s="1558"/>
    </row>
    <row r="49" spans="1:29" ht="21" thickBot="1">
      <c r="A49" s="615" t="s">
        <v>2695</v>
      </c>
      <c r="B49" s="616"/>
      <c r="C49" s="617">
        <f>R50</f>
        <v>4493</v>
      </c>
      <c r="D49" s="618"/>
      <c r="E49" s="617">
        <f>R49</f>
        <v>4070</v>
      </c>
      <c r="F49" s="619"/>
      <c r="G49" s="620">
        <f>T49</f>
        <v>4616</v>
      </c>
      <c r="H49" s="618"/>
      <c r="I49" s="617">
        <f>V49</f>
        <v>4793</v>
      </c>
      <c r="J49" s="618"/>
      <c r="K49" s="1340"/>
      <c r="L49" s="2144"/>
      <c r="M49" s="2132"/>
      <c r="N49" s="2132"/>
      <c r="O49" s="2145"/>
      <c r="P49" s="3374" t="str">
        <f>A49</f>
        <v>比较价格（元/平方米）</v>
      </c>
      <c r="Q49" s="3374"/>
      <c r="R49" s="3376">
        <f>ROUND(PRODUCT(R48,AA9:AA47),0)</f>
        <v>4070</v>
      </c>
      <c r="S49" s="3376"/>
      <c r="T49" s="3376">
        <f>ROUND(PRODUCT(T48,AB9:AB47),0)</f>
        <v>4616</v>
      </c>
      <c r="U49" s="3376"/>
      <c r="V49" s="3376">
        <f>ROUND(PRODUCT(V48,AC9:AC47),0)</f>
        <v>4793</v>
      </c>
      <c r="W49" s="3376"/>
      <c r="X49" s="1558"/>
      <c r="Y49" s="1558"/>
      <c r="Z49" s="1558"/>
      <c r="AA49" s="1558"/>
      <c r="AB49" s="1558"/>
      <c r="AC49" s="1558"/>
    </row>
    <row r="50" spans="1:29" ht="21" thickBot="1">
      <c r="A50" s="621" t="s">
        <v>2939</v>
      </c>
      <c r="B50" s="622"/>
      <c r="C50" s="623">
        <f>R50</f>
        <v>4493</v>
      </c>
      <c r="D50" s="623"/>
      <c r="E50" s="623"/>
      <c r="F50" s="623"/>
      <c r="G50" s="623"/>
      <c r="H50" s="623"/>
      <c r="I50" s="623"/>
      <c r="J50" s="623"/>
      <c r="K50" s="1341"/>
      <c r="L50" s="2144"/>
      <c r="M50" s="2132"/>
      <c r="N50" s="2132"/>
      <c r="O50" s="2145"/>
      <c r="P50" s="3371" t="str">
        <f>A50</f>
        <v>估价对象XX用房的比较价格（楼面单价，元/平方米）</v>
      </c>
      <c r="Q50" s="3372"/>
      <c r="R50" s="3373">
        <f>ROUND(AVERAGE(R49:V49),0)</f>
        <v>4493</v>
      </c>
      <c r="S50" s="3373"/>
      <c r="T50" s="3373"/>
      <c r="U50" s="3373"/>
      <c r="V50" s="3373"/>
      <c r="W50" s="337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0.35633415233415233</v>
      </c>
      <c r="F53" s="627" t="str">
        <f>IF(OR(E53&gt;=0.3,E53&lt;=-0.3),"超过30%","")</f>
        <v>超过30%</v>
      </c>
      <c r="G53" s="626">
        <f>IF(G48&lt;G49,G49/G48-1,G48/G49-1)</f>
        <v>0.19776429809358764</v>
      </c>
      <c r="H53" s="627" t="str">
        <f>IF(OR(G53&gt;=0.3,G53&lt;=-0.3),"超过30%","")</f>
        <v/>
      </c>
      <c r="I53" s="626">
        <f>IF(I48&lt;I49,I49/I48-1,I48/I49-1)</f>
        <v>0.16298351762987706</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0.13415233415233407</v>
      </c>
      <c r="F54" s="627" t="str">
        <f>IF(OR(E54&gt;=0.2,E54&lt;=-0.2),"超过20%","")</f>
        <v/>
      </c>
      <c r="G54" s="626">
        <f>IF(G49&lt;I49,I49/G49-1,G49/I49-1)</f>
        <v>3.8344887348353618E-2</v>
      </c>
      <c r="H54" s="627" t="str">
        <f>IF(OR(G54&gt;=0.2,G54&lt;=-0.2),"超过20%","")</f>
        <v/>
      </c>
      <c r="I54" s="626">
        <f>IF(I49&lt;E49,E49/I49-1,I49/E49-1)</f>
        <v>0.17764127764127768</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1.5578919909859934E-3</v>
      </c>
      <c r="F55" s="627" t="str">
        <f>IF(OR(E55&gt;=0.3,E55&lt;=-0.3),"超过30%","")</f>
        <v/>
      </c>
      <c r="G55" s="626">
        <f>IF(G48&lt;I48,I48/G48-1,G48/I48-1)</f>
        <v>8.1933411468506634E-3</v>
      </c>
      <c r="H55" s="627" t="str">
        <f>IF(OR(G55&gt;=0.3,G55&lt;=-0.3),"超过30%","")</f>
        <v/>
      </c>
      <c r="I55" s="626">
        <f>IF(I48&lt;E48,E48/I48-1,I48/E48-1)</f>
        <v>9.7639974783889638E-3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400" t="s">
        <v>2283</v>
      </c>
      <c r="H57" s="3401"/>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4493</v>
      </c>
      <c r="C58" s="635">
        <v>1</v>
      </c>
      <c r="D58" s="2228">
        <v>1</v>
      </c>
      <c r="E58" s="635">
        <f>'数据-汇总表'!E8+'数据-汇总表'!E9</f>
        <v>142008</v>
      </c>
      <c r="F58" s="636">
        <f t="shared" ref="F58:F67" si="15">ROUND(B58*E58/10000,0)</f>
        <v>63804</v>
      </c>
      <c r="G58" s="3402"/>
      <c r="H58" s="340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404"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40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40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40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142008</v>
      </c>
      <c r="F68" s="644">
        <f>IF(B48="楼面地价",SUM(F58:F67),ROUND(C50*E68/10000,0))</f>
        <v>63804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8" t="s">
        <v>3171</v>
      </c>
      <c r="D77" s="3178" t="s">
        <v>3172</v>
      </c>
      <c r="E77" s="3178"/>
      <c r="F77" s="317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105</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2（含）-3</v>
      </c>
      <c r="G81" s="682" t="str">
        <f t="shared" si="20"/>
        <v>3（含）-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v>3</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79" t="s">
        <v>3038</v>
      </c>
      <c r="D108" s="3179" t="s">
        <v>3039</v>
      </c>
      <c r="E108" s="3179" t="s">
        <v>3040</v>
      </c>
      <c r="F108" s="3179" t="s">
        <v>3041</v>
      </c>
      <c r="G108" s="3179" t="s">
        <v>3042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200000(含)-500000</v>
      </c>
      <c r="H118" s="704" t="str">
        <f t="shared" si="25"/>
        <v>500000(含)-</v>
      </c>
      <c r="I118" s="704" t="str">
        <f t="shared" si="25"/>
        <v>(含)-</v>
      </c>
      <c r="J118" s="3092" t="str">
        <f t="shared" si="25"/>
        <v>(含)-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100000</v>
      </c>
      <c r="G119" s="730">
        <v>200000</v>
      </c>
      <c r="H119" s="730">
        <v>500000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0" t="s">
        <v>3165</v>
      </c>
      <c r="D121" s="3180" t="s">
        <v>3166</v>
      </c>
      <c r="E121" s="3180" t="s">
        <v>3168</v>
      </c>
      <c r="F121" s="3180" t="s">
        <v>3169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3054</v>
      </c>
      <c r="D125" s="1375" t="s">
        <v>3055</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80" t="s">
        <v>521</v>
      </c>
      <c r="D6" s="3381"/>
      <c r="E6" s="3415" t="s">
        <v>522</v>
      </c>
      <c r="F6" s="3416"/>
      <c r="G6" s="3380" t="s">
        <v>523</v>
      </c>
      <c r="H6" s="3381"/>
      <c r="I6" s="3380" t="s">
        <v>524</v>
      </c>
      <c r="J6" s="3381"/>
      <c r="K6" s="514" t="s">
        <v>525</v>
      </c>
      <c r="L6" s="2133"/>
      <c r="M6" s="2134"/>
      <c r="N6" s="2134"/>
      <c r="O6" s="2134"/>
      <c r="P6" s="3382" t="s">
        <v>526</v>
      </c>
      <c r="Q6" s="3383"/>
      <c r="R6" s="3388" t="s">
        <v>522</v>
      </c>
      <c r="S6" s="3389"/>
      <c r="T6" s="3388" t="s">
        <v>523</v>
      </c>
      <c r="U6" s="3389"/>
      <c r="V6" s="3375" t="s">
        <v>524</v>
      </c>
      <c r="W6" s="3375"/>
      <c r="X6" s="1566"/>
      <c r="Y6" s="3388" t="s">
        <v>526</v>
      </c>
      <c r="Z6" s="3389"/>
      <c r="AA6" s="3377" t="s">
        <v>522</v>
      </c>
      <c r="AB6" s="3378" t="s">
        <v>523</v>
      </c>
      <c r="AC6" s="3377" t="s">
        <v>524</v>
      </c>
    </row>
    <row r="7" spans="1:29" ht="15">
      <c r="A7" s="515"/>
      <c r="B7" s="516"/>
      <c r="C7" s="3412" t="s">
        <v>2933</v>
      </c>
      <c r="D7" s="3397"/>
      <c r="E7" s="3417" t="s">
        <v>2934</v>
      </c>
      <c r="F7" s="3418"/>
      <c r="G7" s="3412" t="s">
        <v>2935</v>
      </c>
      <c r="H7" s="3397"/>
      <c r="I7" s="3412" t="s">
        <v>2936</v>
      </c>
      <c r="J7" s="3397"/>
      <c r="K7" s="514"/>
      <c r="L7" s="2133"/>
      <c r="M7" s="2134"/>
      <c r="N7" s="2134"/>
      <c r="O7" s="2134"/>
      <c r="P7" s="3384"/>
      <c r="Q7" s="3385"/>
      <c r="R7" s="3390"/>
      <c r="S7" s="3391"/>
      <c r="T7" s="3390"/>
      <c r="U7" s="3391"/>
      <c r="V7" s="3375"/>
      <c r="W7" s="3375"/>
      <c r="X7" s="1566"/>
      <c r="Y7" s="3390"/>
      <c r="Z7" s="3391"/>
      <c r="AA7" s="3378"/>
      <c r="AB7" s="3378"/>
      <c r="AC7" s="3378"/>
    </row>
    <row r="8" spans="1:29" ht="15.75" thickBot="1">
      <c r="A8" s="517"/>
      <c r="B8" s="518"/>
      <c r="C8" s="3394" t="s">
        <v>2937</v>
      </c>
      <c r="D8" s="3395"/>
      <c r="E8" s="3413" t="s">
        <v>2937</v>
      </c>
      <c r="F8" s="3414"/>
      <c r="G8" s="3394" t="s">
        <v>2937</v>
      </c>
      <c r="H8" s="3395"/>
      <c r="I8" s="3394" t="s">
        <v>2937</v>
      </c>
      <c r="J8" s="3395"/>
      <c r="K8" s="514" t="s">
        <v>527</v>
      </c>
      <c r="L8" s="2133"/>
      <c r="M8" s="2134"/>
      <c r="N8" s="2134"/>
      <c r="O8" s="2134"/>
      <c r="P8" s="3386"/>
      <c r="Q8" s="3387"/>
      <c r="R8" s="3390"/>
      <c r="S8" s="3391"/>
      <c r="T8" s="3392"/>
      <c r="U8" s="3393"/>
      <c r="V8" s="3375"/>
      <c r="W8" s="3375"/>
      <c r="X8" s="1566"/>
      <c r="Y8" s="3392"/>
      <c r="Z8" s="3393"/>
      <c r="AA8" s="3379"/>
      <c r="AB8" s="3379"/>
      <c r="AC8" s="3379"/>
    </row>
    <row r="9" spans="1:29" s="1219" customFormat="1" ht="15.75" thickBot="1">
      <c r="A9" s="2911"/>
      <c r="B9" s="2918" t="s">
        <v>528</v>
      </c>
      <c r="C9" s="519">
        <f>'数据-取费表'!B2</f>
        <v>43446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5" t="s">
        <v>529</v>
      </c>
      <c r="Q9" s="3407"/>
      <c r="R9" s="1567" t="s">
        <v>8</v>
      </c>
      <c r="S9" s="1568">
        <f t="shared" ref="S9:S17" si="0">F9</f>
        <v>0</v>
      </c>
      <c r="T9" s="1567" t="s">
        <v>8</v>
      </c>
      <c r="U9" s="1568">
        <f t="shared" ref="U9:U17" si="1">H9</f>
        <v>0</v>
      </c>
      <c r="V9" s="1567" t="s">
        <v>8</v>
      </c>
      <c r="W9" s="1568">
        <f t="shared" ref="W9:W17" si="2">J9</f>
        <v>0</v>
      </c>
      <c r="X9" s="1569"/>
      <c r="Y9" s="3405" t="s">
        <v>529</v>
      </c>
      <c r="Z9" s="3406"/>
      <c r="AA9" s="1570" t="e">
        <f>D9/F9</f>
        <v>#DIV/0!</v>
      </c>
      <c r="AB9" s="1570" t="e">
        <f>D9/H9</f>
        <v>#DIV/0!</v>
      </c>
      <c r="AC9" s="1570" t="e">
        <f>D9/J9</f>
        <v>#DIV/0!</v>
      </c>
    </row>
    <row r="10" spans="1:29" s="1219" customFormat="1" ht="15.75" thickBot="1">
      <c r="A10" s="2912"/>
      <c r="B10" s="291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5" t="s">
        <v>532</v>
      </c>
      <c r="Q10" s="3406"/>
      <c r="R10" s="1567" t="s">
        <v>8</v>
      </c>
      <c r="S10" s="1568">
        <f t="shared" si="0"/>
        <v>0</v>
      </c>
      <c r="T10" s="1567" t="s">
        <v>8</v>
      </c>
      <c r="U10" s="1568">
        <f t="shared" si="1"/>
        <v>0</v>
      </c>
      <c r="V10" s="1567" t="s">
        <v>8</v>
      </c>
      <c r="W10" s="1568">
        <f t="shared" si="2"/>
        <v>0</v>
      </c>
      <c r="X10" s="1569"/>
      <c r="Y10" s="3405" t="s">
        <v>532</v>
      </c>
      <c r="Z10" s="3406"/>
      <c r="AA10" s="1570" t="e">
        <f t="shared" ref="AA10:AA42" si="3">D10/F10</f>
        <v>#DIV/0!</v>
      </c>
      <c r="AB10" s="1570" t="e">
        <f t="shared" ref="AB10:AB42" si="4">D10/H10</f>
        <v>#DIV/0!</v>
      </c>
      <c r="AC10" s="1570" t="e">
        <f t="shared" ref="AC10:AC42" si="5">D10/J10</f>
        <v>#DIV/0!</v>
      </c>
    </row>
    <row r="11" spans="1:29" s="1219"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534</v>
      </c>
      <c r="Q11" s="1150" t="str">
        <f t="shared" ref="Q11:Q17" si="6">B11</f>
        <v>用途</v>
      </c>
      <c r="R11" s="1567" t="s">
        <v>8</v>
      </c>
      <c r="S11" s="1568">
        <f t="shared" si="0"/>
        <v>100</v>
      </c>
      <c r="T11" s="1567" t="s">
        <v>8</v>
      </c>
      <c r="U11" s="1568">
        <f t="shared" si="1"/>
        <v>100</v>
      </c>
      <c r="V11" s="1567" t="s">
        <v>8</v>
      </c>
      <c r="W11" s="1568">
        <f t="shared" si="2"/>
        <v>100</v>
      </c>
      <c r="X11" s="1569"/>
      <c r="Y11" s="3320" t="s">
        <v>535</v>
      </c>
      <c r="Z11" s="1149" t="str">
        <f t="shared" ref="Z11:Z17" si="7">Q11</f>
        <v>用途</v>
      </c>
      <c r="AA11" s="1570">
        <f t="shared" si="3"/>
        <v>1</v>
      </c>
      <c r="AB11" s="1570">
        <f t="shared" si="4"/>
        <v>1</v>
      </c>
      <c r="AC11" s="1570">
        <f t="shared" si="5"/>
        <v>1</v>
      </c>
    </row>
    <row r="12" spans="1:29" s="1337" customFormat="1" ht="27">
      <c r="A12" s="2914"/>
      <c r="B12" s="2919"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74"/>
      <c r="Q12" s="1150" t="str">
        <f t="shared" si="6"/>
        <v>土地使用年限（年）</v>
      </c>
      <c r="R12" s="1567" t="s">
        <v>8</v>
      </c>
      <c r="S12" s="1568">
        <f t="shared" si="0"/>
        <v>101</v>
      </c>
      <c r="T12" s="1567" t="s">
        <v>8</v>
      </c>
      <c r="U12" s="1568">
        <f t="shared" si="1"/>
        <v>101</v>
      </c>
      <c r="V12" s="1567" t="s">
        <v>8</v>
      </c>
      <c r="W12" s="1568">
        <f t="shared" si="2"/>
        <v>101</v>
      </c>
      <c r="X12" s="1569"/>
      <c r="Y12" s="3320"/>
      <c r="Z12" s="1149" t="str">
        <f t="shared" si="7"/>
        <v>土地使用年限（年）</v>
      </c>
      <c r="AA12" s="1570">
        <f t="shared" si="3"/>
        <v>0.99009900990099009</v>
      </c>
      <c r="AB12" s="1570">
        <f t="shared" si="4"/>
        <v>0.99009900990099009</v>
      </c>
      <c r="AC12" s="1570">
        <f t="shared" si="5"/>
        <v>0.99009900990099009</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20"/>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 t="shared" si="3"/>
        <v>1</v>
      </c>
      <c r="AB16" s="1570">
        <f t="shared" si="4"/>
        <v>1</v>
      </c>
      <c r="AC16" s="1570">
        <f t="shared" si="5"/>
        <v>1</v>
      </c>
    </row>
    <row r="17" spans="1:29" ht="57">
      <c r="A17" s="2909"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8" t="s">
        <v>539</v>
      </c>
      <c r="Q17" s="1571" t="str">
        <f t="shared" si="6"/>
        <v>产业集聚程度</v>
      </c>
      <c r="R17" s="1572" t="s">
        <v>8</v>
      </c>
      <c r="S17" s="1573">
        <f t="shared" si="0"/>
        <v>100</v>
      </c>
      <c r="T17" s="1572" t="s">
        <v>8</v>
      </c>
      <c r="U17" s="1573">
        <f t="shared" si="1"/>
        <v>100</v>
      </c>
      <c r="V17" s="1572" t="s">
        <v>8</v>
      </c>
      <c r="W17" s="1573">
        <f t="shared" si="2"/>
        <v>100</v>
      </c>
      <c r="X17" s="1566"/>
      <c r="Y17" s="340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9"/>
      <c r="Q18" s="1571"/>
      <c r="R18" s="1572"/>
      <c r="S18" s="1573"/>
      <c r="T18" s="1572"/>
      <c r="U18" s="1573"/>
      <c r="V18" s="1572"/>
      <c r="W18" s="1573"/>
      <c r="X18" s="1566"/>
      <c r="Y18" s="3409"/>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9"/>
      <c r="Q19" s="1571" t="str">
        <f>B19</f>
        <v>交通便捷度</v>
      </c>
      <c r="R19" s="1572" t="s">
        <v>8</v>
      </c>
      <c r="S19" s="1573">
        <f>F19</f>
        <v>100</v>
      </c>
      <c r="T19" s="1572" t="s">
        <v>8</v>
      </c>
      <c r="U19" s="1573">
        <f>H19</f>
        <v>100</v>
      </c>
      <c r="V19" s="1572" t="s">
        <v>8</v>
      </c>
      <c r="W19" s="1573">
        <f>J19</f>
        <v>100</v>
      </c>
      <c r="X19" s="1566"/>
      <c r="Y19" s="340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9"/>
      <c r="Q21" s="1571" t="str">
        <f t="shared" ref="Q21:Q35" si="8">B21</f>
        <v>区域土地利用方向</v>
      </c>
      <c r="R21" s="1572" t="s">
        <v>8</v>
      </c>
      <c r="S21" s="1573">
        <f>F21</f>
        <v>100</v>
      </c>
      <c r="T21" s="1572" t="s">
        <v>8</v>
      </c>
      <c r="U21" s="1573">
        <f>H21</f>
        <v>100</v>
      </c>
      <c r="V21" s="1572" t="s">
        <v>8</v>
      </c>
      <c r="W21" s="1573">
        <f>J21</f>
        <v>100</v>
      </c>
      <c r="X21" s="1566"/>
      <c r="Y21" s="340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09"/>
      <c r="Q22" s="1571"/>
      <c r="R22" s="1572"/>
      <c r="S22" s="1573"/>
      <c r="T22" s="1572"/>
      <c r="U22" s="1573"/>
      <c r="V22" s="1572"/>
      <c r="W22" s="1573"/>
      <c r="X22" s="1566"/>
      <c r="Y22" s="3409"/>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9"/>
      <c r="Q23" s="1571" t="str">
        <f t="shared" si="8"/>
        <v>环境状况</v>
      </c>
      <c r="R23" s="1572" t="s">
        <v>8</v>
      </c>
      <c r="S23" s="1573">
        <f>F23</f>
        <v>100</v>
      </c>
      <c r="T23" s="1572" t="s">
        <v>8</v>
      </c>
      <c r="U23" s="1573">
        <f>H23</f>
        <v>100</v>
      </c>
      <c r="V23" s="1572" t="s">
        <v>8</v>
      </c>
      <c r="W23" s="1573">
        <f>J23</f>
        <v>100</v>
      </c>
      <c r="X23" s="1566"/>
      <c r="Y23" s="340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9"/>
      <c r="Q24" s="1571"/>
      <c r="R24" s="1572"/>
      <c r="S24" s="1573"/>
      <c r="T24" s="1572"/>
      <c r="U24" s="1573"/>
      <c r="V24" s="1572"/>
      <c r="W24" s="1573"/>
      <c r="X24" s="1566"/>
      <c r="Y24" s="3409"/>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9"/>
      <c r="Q25" s="1150" t="str">
        <f t="shared" si="8"/>
        <v>公共配套设施</v>
      </c>
      <c r="R25" s="1567" t="s">
        <v>8</v>
      </c>
      <c r="S25" s="1568">
        <f>F25</f>
        <v>100</v>
      </c>
      <c r="T25" s="1567" t="s">
        <v>8</v>
      </c>
      <c r="U25" s="1568">
        <f>H25</f>
        <v>100</v>
      </c>
      <c r="V25" s="1567" t="s">
        <v>8</v>
      </c>
      <c r="W25" s="1568">
        <f>J25</f>
        <v>100</v>
      </c>
      <c r="X25" s="1569"/>
      <c r="Y25" s="3409"/>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09"/>
      <c r="Q26" s="1150"/>
      <c r="R26" s="1567"/>
      <c r="S26" s="1568"/>
      <c r="T26" s="1567"/>
      <c r="U26" s="1568"/>
      <c r="V26" s="1567"/>
      <c r="W26" s="1568"/>
      <c r="X26" s="1569"/>
      <c r="Y26" s="3409"/>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9"/>
      <c r="Q27" s="2578" t="str">
        <f t="shared" ref="Q27" si="9">B27</f>
        <v>基础设施水平</v>
      </c>
      <c r="R27" s="1567" t="s">
        <v>8</v>
      </c>
      <c r="S27" s="1568">
        <f>F27</f>
        <v>100</v>
      </c>
      <c r="T27" s="1567" t="s">
        <v>8</v>
      </c>
      <c r="U27" s="1568">
        <f>H27</f>
        <v>100</v>
      </c>
      <c r="V27" s="1567" t="s">
        <v>8</v>
      </c>
      <c r="W27" s="1568">
        <f>J27</f>
        <v>100</v>
      </c>
      <c r="X27" s="1569"/>
      <c r="Y27" s="3409"/>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09"/>
      <c r="Q28" s="2578"/>
      <c r="R28" s="1567"/>
      <c r="S28" s="1568"/>
      <c r="T28" s="1567"/>
      <c r="U28" s="1568"/>
      <c r="V28" s="1567"/>
      <c r="W28" s="1568"/>
      <c r="X28" s="1569"/>
      <c r="Y28" s="3409"/>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9"/>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9"/>
      <c r="Q30" s="1571" t="str">
        <f t="shared" si="8"/>
        <v>毗邻道路的类型与等级</v>
      </c>
      <c r="R30" s="1572" t="s">
        <v>8</v>
      </c>
      <c r="S30" s="1573">
        <f t="shared" si="10"/>
        <v>100</v>
      </c>
      <c r="T30" s="1572" t="s">
        <v>8</v>
      </c>
      <c r="U30" s="1573">
        <f t="shared" si="11"/>
        <v>100</v>
      </c>
      <c r="V30" s="1572" t="s">
        <v>8</v>
      </c>
      <c r="W30" s="1573">
        <f t="shared" si="12"/>
        <v>100</v>
      </c>
      <c r="X30" s="1566"/>
      <c r="Y30" s="340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09"/>
      <c r="Q31" s="1571"/>
      <c r="R31" s="1572"/>
      <c r="S31" s="1573"/>
      <c r="T31" s="1572"/>
      <c r="U31" s="1573"/>
      <c r="V31" s="1572"/>
      <c r="W31" s="1573"/>
      <c r="X31" s="1566"/>
      <c r="Y31" s="3409"/>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9"/>
      <c r="Q32" s="1571" t="str">
        <f t="shared" si="8"/>
        <v>土地级别</v>
      </c>
      <c r="R32" s="1572" t="s">
        <v>8</v>
      </c>
      <c r="S32" s="1573">
        <f t="shared" si="10"/>
        <v>100</v>
      </c>
      <c r="T32" s="1572" t="s">
        <v>8</v>
      </c>
      <c r="U32" s="1573">
        <f t="shared" si="11"/>
        <v>100</v>
      </c>
      <c r="V32" s="1572" t="s">
        <v>8</v>
      </c>
      <c r="W32" s="1573">
        <f t="shared" si="12"/>
        <v>100</v>
      </c>
      <c r="X32" s="1566"/>
      <c r="Y32" s="340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9"/>
      <c r="Q33" s="1571">
        <f t="shared" si="8"/>
        <v>111</v>
      </c>
      <c r="R33" s="1572" t="s">
        <v>8</v>
      </c>
      <c r="S33" s="1573">
        <f t="shared" si="10"/>
        <v>100</v>
      </c>
      <c r="T33" s="1572" t="s">
        <v>8</v>
      </c>
      <c r="U33" s="1573">
        <f t="shared" si="11"/>
        <v>100</v>
      </c>
      <c r="V33" s="1572" t="s">
        <v>8</v>
      </c>
      <c r="W33" s="1573">
        <f t="shared" si="12"/>
        <v>100</v>
      </c>
      <c r="X33" s="1566"/>
      <c r="Y33" s="340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0" t="s">
        <v>549</v>
      </c>
      <c r="Q34" s="1571">
        <f t="shared" si="8"/>
        <v>111</v>
      </c>
      <c r="R34" s="1572" t="s">
        <v>8</v>
      </c>
      <c r="S34" s="1573">
        <f t="shared" si="10"/>
        <v>100</v>
      </c>
      <c r="T34" s="1572" t="s">
        <v>8</v>
      </c>
      <c r="U34" s="1573">
        <f t="shared" si="11"/>
        <v>100</v>
      </c>
      <c r="V34" s="1572" t="s">
        <v>8</v>
      </c>
      <c r="W34" s="1573">
        <f t="shared" si="12"/>
        <v>100</v>
      </c>
      <c r="X34" s="1566"/>
      <c r="Y34" s="3411"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1"/>
      <c r="Q35" s="1571">
        <f t="shared" si="8"/>
        <v>111</v>
      </c>
      <c r="R35" s="1576" t="s">
        <v>8</v>
      </c>
      <c r="S35" s="1577">
        <f t="shared" si="10"/>
        <v>100</v>
      </c>
      <c r="T35" s="1576" t="s">
        <v>8</v>
      </c>
      <c r="U35" s="1577">
        <f t="shared" si="11"/>
        <v>100</v>
      </c>
      <c r="V35" s="1576" t="s">
        <v>8</v>
      </c>
      <c r="W35" s="1577">
        <f t="shared" si="12"/>
        <v>100</v>
      </c>
      <c r="X35" s="1578"/>
      <c r="Y35" s="3411"/>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1"/>
      <c r="Q36" s="1571" t="str">
        <f>B36</f>
        <v>宗地面积</v>
      </c>
      <c r="R36" s="1572" t="s">
        <v>8</v>
      </c>
      <c r="S36" s="1573" t="e">
        <f t="shared" si="10"/>
        <v>#N/A</v>
      </c>
      <c r="T36" s="1572" t="s">
        <v>8</v>
      </c>
      <c r="U36" s="1573" t="e">
        <f t="shared" si="11"/>
        <v>#N/A</v>
      </c>
      <c r="V36" s="1572" t="s">
        <v>8</v>
      </c>
      <c r="W36" s="1573" t="e">
        <f t="shared" si="12"/>
        <v>#N/A</v>
      </c>
      <c r="X36" s="1566"/>
      <c r="Y36" s="341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1"/>
      <c r="Q37" s="1571" t="str">
        <f t="shared" ref="Q37:Q42" si="14">B37</f>
        <v>宗地形状</v>
      </c>
      <c r="R37" s="1572" t="s">
        <v>8</v>
      </c>
      <c r="S37" s="1573">
        <f t="shared" si="10"/>
        <v>100</v>
      </c>
      <c r="T37" s="1572" t="s">
        <v>8</v>
      </c>
      <c r="U37" s="1573">
        <f t="shared" si="11"/>
        <v>100</v>
      </c>
      <c r="V37" s="1572" t="s">
        <v>8</v>
      </c>
      <c r="W37" s="1573">
        <f t="shared" si="12"/>
        <v>100</v>
      </c>
      <c r="X37" s="1566"/>
      <c r="Y37" s="3411"/>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1"/>
      <c r="Q38" s="1571" t="str">
        <f t="shared" si="14"/>
        <v>宗地开发程度</v>
      </c>
      <c r="R38" s="1567" t="s">
        <v>8</v>
      </c>
      <c r="S38" s="1568">
        <f t="shared" si="10"/>
        <v>100</v>
      </c>
      <c r="T38" s="1567" t="s">
        <v>8</v>
      </c>
      <c r="U38" s="1568">
        <f t="shared" si="11"/>
        <v>100</v>
      </c>
      <c r="V38" s="1567" t="s">
        <v>8</v>
      </c>
      <c r="W38" s="1568">
        <f t="shared" si="12"/>
        <v>100</v>
      </c>
      <c r="X38" s="1569"/>
      <c r="Y38" s="3411"/>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t="s">
        <v>600</v>
      </c>
      <c r="Q39" s="1571" t="str">
        <f t="shared" si="14"/>
        <v>工程地质条件</v>
      </c>
      <c r="R39" s="1572" t="s">
        <v>8</v>
      </c>
      <c r="S39" s="1573">
        <f t="shared" si="10"/>
        <v>100</v>
      </c>
      <c r="T39" s="1572" t="s">
        <v>8</v>
      </c>
      <c r="U39" s="1573">
        <f t="shared" si="11"/>
        <v>100</v>
      </c>
      <c r="V39" s="1572" t="s">
        <v>8</v>
      </c>
      <c r="W39" s="1573">
        <f t="shared" si="12"/>
        <v>100</v>
      </c>
      <c r="X39" s="1566"/>
      <c r="Y39" s="341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1"/>
      <c r="Q40" s="1571">
        <f t="shared" si="14"/>
        <v>111</v>
      </c>
      <c r="R40" s="1572" t="s">
        <v>8</v>
      </c>
      <c r="S40" s="1573">
        <f t="shared" si="10"/>
        <v>100</v>
      </c>
      <c r="T40" s="1572" t="s">
        <v>8</v>
      </c>
      <c r="U40" s="1573">
        <f t="shared" si="11"/>
        <v>100</v>
      </c>
      <c r="V40" s="1572" t="s">
        <v>8</v>
      </c>
      <c r="W40" s="1573">
        <f t="shared" si="12"/>
        <v>100</v>
      </c>
      <c r="X40" s="1566"/>
      <c r="Y40" s="341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1"/>
      <c r="Q41" s="1571">
        <f t="shared" si="14"/>
        <v>111</v>
      </c>
      <c r="R41" s="1572" t="s">
        <v>8</v>
      </c>
      <c r="S41" s="1573">
        <f t="shared" si="10"/>
        <v>100</v>
      </c>
      <c r="T41" s="1572" t="s">
        <v>8</v>
      </c>
      <c r="U41" s="1573">
        <f t="shared" si="11"/>
        <v>100</v>
      </c>
      <c r="V41" s="1572" t="s">
        <v>8</v>
      </c>
      <c r="W41" s="1573">
        <f t="shared" si="12"/>
        <v>100</v>
      </c>
      <c r="X41" s="1566"/>
      <c r="Y41" s="341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1"/>
      <c r="Q42" s="1571">
        <f t="shared" si="14"/>
        <v>111</v>
      </c>
      <c r="R42" s="1576" t="s">
        <v>8</v>
      </c>
      <c r="S42" s="1577">
        <f t="shared" si="10"/>
        <v>100</v>
      </c>
      <c r="T42" s="1576" t="s">
        <v>8</v>
      </c>
      <c r="U42" s="1577">
        <f t="shared" si="11"/>
        <v>100</v>
      </c>
      <c r="V42" s="1576" t="s">
        <v>8</v>
      </c>
      <c r="W42" s="1577">
        <f t="shared" si="12"/>
        <v>100</v>
      </c>
      <c r="X42" s="1578"/>
      <c r="Y42" s="3411"/>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74" t="str">
        <f>A43</f>
        <v>成交单价</v>
      </c>
      <c r="Q43" s="3374"/>
      <c r="R43" s="3375">
        <f>E43</f>
        <v>0</v>
      </c>
      <c r="S43" s="3375"/>
      <c r="T43" s="3375">
        <f>G43</f>
        <v>0</v>
      </c>
      <c r="U43" s="3375"/>
      <c r="V43" s="3375">
        <f>I43</f>
        <v>0</v>
      </c>
      <c r="W43" s="3375"/>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76" t="e">
        <f>ROUND(PRODUCT(R43,AA9:AA42),0)</f>
        <v>#DIV/0!</v>
      </c>
      <c r="S44" s="3376"/>
      <c r="T44" s="3376" t="e">
        <f>ROUND(PRODUCT(T43,AB9:AB42),0)</f>
        <v>#DIV/0!</v>
      </c>
      <c r="U44" s="3376"/>
      <c r="V44" s="3376" t="e">
        <f>ROUND(PRODUCT(V43,AC9:AC42),0)</f>
        <v>#DIV/0!</v>
      </c>
      <c r="W44" s="3376"/>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371" t="str">
        <f>A45</f>
        <v>估价对象XX用房的比较价格（楼面单价，元/平方米）</v>
      </c>
      <c r="Q45" s="3372"/>
      <c r="R45" s="3373" t="e">
        <f>ROUND(AVERAGE(R44:V44),0)</f>
        <v>#DIV/0!</v>
      </c>
      <c r="S45" s="3373"/>
      <c r="T45" s="3373"/>
      <c r="U45" s="3373"/>
      <c r="V45" s="3373"/>
      <c r="W45" s="337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19" t="s">
        <v>2286</v>
      </c>
      <c r="H52" s="3420"/>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142008</v>
      </c>
      <c r="F53" s="1950" t="e">
        <f t="shared" ref="F53:F62" si="15">ROUND(B53*E53/10000,0)</f>
        <v>#DIV/0!</v>
      </c>
      <c r="G53" s="3421"/>
      <c r="H53" s="342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23"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2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2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2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47336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2018-12-1</v>
      </c>
      <c r="D65" s="2799">
        <f>EDATE(C65,-3)</f>
        <v>43344</v>
      </c>
      <c r="E65" s="2799">
        <f t="shared" ref="E65:N65" si="18">EDATE(D65,-3)</f>
        <v>43252</v>
      </c>
      <c r="F65" s="2799">
        <f t="shared" si="18"/>
        <v>43160</v>
      </c>
      <c r="G65" s="2799">
        <f t="shared" si="18"/>
        <v>43070</v>
      </c>
      <c r="H65" s="2799">
        <f t="shared" si="18"/>
        <v>42979</v>
      </c>
      <c r="I65" s="2799">
        <f t="shared" si="18"/>
        <v>42887</v>
      </c>
      <c r="J65" s="2799">
        <f t="shared" si="18"/>
        <v>42795</v>
      </c>
      <c r="K65" s="2799">
        <f t="shared" si="18"/>
        <v>42705</v>
      </c>
      <c r="L65" s="2799">
        <f t="shared" si="18"/>
        <v>42614</v>
      </c>
      <c r="M65" s="2799">
        <f t="shared" si="18"/>
        <v>42522</v>
      </c>
      <c r="N65" s="2799">
        <f t="shared" si="18"/>
        <v>42430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3</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0">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33"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34"/>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25" t="s">
        <v>2785</v>
      </c>
      <c r="X8" s="342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34"/>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24" t="s">
        <v>2781</v>
      </c>
      <c r="X9" s="2930" t="s">
        <v>2782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34"/>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2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34"/>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24" t="s">
        <v>2783</v>
      </c>
      <c r="X11" s="1047" t="s">
        <v>2768</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33"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24"/>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35"/>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6">
        <v>12</v>
      </c>
      <c r="S13" s="2925"/>
      <c r="T13" s="2936" t="e">
        <f t="shared" si="0"/>
        <v>#DIV/0!</v>
      </c>
      <c r="U13" s="2925"/>
      <c r="V13" s="2936" t="e">
        <f t="shared" si="1"/>
        <v>#DIV/0!</v>
      </c>
      <c r="W13" s="3424"/>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35"/>
      <c r="B14" s="1450"/>
      <c r="C14" s="1451"/>
      <c r="D14" s="1452"/>
      <c r="E14" s="1452"/>
      <c r="F14" s="1453"/>
      <c r="G14" s="1454" t="s">
        <v>948</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36"/>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6">
        <v>14</v>
      </c>
      <c r="S15" s="2925"/>
      <c r="T15" s="2936" t="e">
        <f t="shared" si="0"/>
        <v>#DIV/0!</v>
      </c>
      <c r="U15" s="2925"/>
      <c r="V15" s="2936" t="e">
        <f t="shared" si="1"/>
        <v>#DIV/0!</v>
      </c>
      <c r="W15" s="2189"/>
      <c r="X15" s="2189"/>
      <c r="Y15" s="2189"/>
      <c r="Z15" s="2189"/>
      <c r="AA15" s="2189"/>
      <c r="AB15" s="2189"/>
      <c r="AC15" s="2190"/>
    </row>
    <row r="16" spans="1:39" ht="24">
      <c r="A16" s="3433"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34"/>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43446</v>
      </c>
      <c r="H19" s="1474" t="s">
        <v>2941</v>
      </c>
      <c r="I19" s="2784" t="str">
        <f>IF(H19="季度增幅（自定义）",SUMIF(N21:N24,E2,O21:O24),"")</f>
        <v/>
      </c>
      <c r="J19" s="1470"/>
      <c r="K19" s="1480"/>
      <c r="L19" s="3039" t="s">
        <v>2843</v>
      </c>
      <c r="M19" s="3040">
        <f>ROUND(SUMIF(地价!B2:F2,E2,地价!B23:F23),0)</f>
        <v>0</v>
      </c>
      <c r="N19" s="2786" t="s">
        <v>1676</v>
      </c>
      <c r="O19" s="2785">
        <f>ROUNDDOWN(DATEDIF(E19,G19,"M")/3,0)</f>
        <v>19</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5">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1" t="s">
        <v>2844</v>
      </c>
      <c r="M20" s="3042">
        <f>ROUND(SUMPRODUCT((地价!A4:A23=YEAR(G19)&amp;"-"&amp;ROUNDUP(MONTH(G19)/3,0))*(地价!B2:F2=E2)*(地价!B4:F23)),0)</f>
        <v>0</v>
      </c>
      <c r="N20" s="2789" t="s">
        <v>2647</v>
      </c>
      <c r="O20" s="2787" t="s">
        <v>2646</v>
      </c>
      <c r="P20" s="2788" t="s">
        <v>2652</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0</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0</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0</v>
      </c>
      <c r="R23" s="2924"/>
      <c r="S23" s="2924"/>
      <c r="T23" s="2924"/>
      <c r="U23" s="2924"/>
      <c r="V23" s="2924"/>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0</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0</v>
      </c>
      <c r="R25" s="2924"/>
      <c r="S25" s="2924"/>
      <c r="T25" s="2924"/>
      <c r="U25" s="2924"/>
      <c r="V25" s="2924"/>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9"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0"/>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0"/>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1"/>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7"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6"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7"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6"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6"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6"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7" t="s">
        <v>1633</v>
      </c>
      <c r="B90" s="3437"/>
      <c r="C90" s="3437"/>
      <c r="D90" s="3437"/>
      <c r="E90" s="3437"/>
      <c r="F90" s="3437"/>
      <c r="G90" s="3437"/>
      <c r="H90" s="3437"/>
      <c r="I90" s="3437"/>
      <c r="J90" s="3437"/>
      <c r="K90" s="2450"/>
      <c r="L90" s="2450"/>
      <c r="M90" s="2450"/>
      <c r="N90" s="2450"/>
    </row>
    <row r="91" spans="1:40">
      <c r="A91" s="3438" t="s">
        <v>1443</v>
      </c>
      <c r="B91" s="3438" t="s">
        <v>1634</v>
      </c>
      <c r="C91" s="1139" t="s">
        <v>1635</v>
      </c>
      <c r="D91" s="1140"/>
      <c r="E91" s="1140"/>
      <c r="F91" s="1140"/>
      <c r="G91" s="1140"/>
      <c r="H91" s="1140"/>
      <c r="I91" s="1140"/>
      <c r="J91" s="1141"/>
      <c r="K91" s="1133"/>
      <c r="L91" s="1133"/>
      <c r="M91" s="1133"/>
      <c r="N91" s="1133"/>
    </row>
    <row r="92" spans="1:40">
      <c r="A92" s="3438"/>
      <c r="B92" s="3438"/>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7"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1637</v>
      </c>
      <c r="B101" s="1146" t="s">
        <v>905</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28"/>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28"/>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28"/>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28"/>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28"/>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28"/>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28"/>
      <c r="B108" s="343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32" t="s">
        <v>1639</v>
      </c>
      <c r="B110" s="3432"/>
      <c r="C110" s="3432"/>
      <c r="D110" s="3432"/>
      <c r="E110" s="3432"/>
      <c r="F110" s="3432"/>
      <c r="G110" s="3432"/>
      <c r="H110" s="3432"/>
      <c r="I110" s="3432"/>
      <c r="J110" s="3432"/>
      <c r="K110" s="2448"/>
      <c r="L110" s="2448"/>
      <c r="M110" s="2448"/>
      <c r="N110" s="2448"/>
    </row>
    <row r="112" spans="1:14" ht="12.75" thickBot="1"/>
    <row r="113" spans="1:13" ht="25.5" thickBot="1">
      <c r="A113" s="1015" t="s">
        <v>895</v>
      </c>
      <c r="B113" s="2451">
        <f>G3</f>
        <v>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900</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901</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902</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8" t="s">
        <v>1007</v>
      </c>
      <c r="B18" s="1153" t="s">
        <v>1446</v>
      </c>
      <c r="C18" s="1130" t="s">
        <v>1447</v>
      </c>
      <c r="D18" s="1131"/>
      <c r="E18" s="1153">
        <v>1</v>
      </c>
      <c r="F18" s="1132" t="s">
        <v>1448</v>
      </c>
      <c r="G18" s="1133"/>
      <c r="H18" s="1104"/>
      <c r="I18" s="1104"/>
    </row>
    <row r="19" spans="1:9" s="1598" customFormat="1" ht="19.5" customHeight="1">
      <c r="A19" s="3438"/>
      <c r="B19" s="3438" t="s">
        <v>1449</v>
      </c>
      <c r="C19" s="1130" t="s">
        <v>1450</v>
      </c>
      <c r="D19" s="1131"/>
      <c r="E19" s="1153">
        <v>0.9</v>
      </c>
      <c r="F19" s="1132" t="s">
        <v>1451</v>
      </c>
      <c r="G19" s="1133"/>
      <c r="H19" s="1104"/>
      <c r="I19" s="1104"/>
    </row>
    <row r="20" spans="1:9" s="1598" customFormat="1" ht="19.5" customHeight="1">
      <c r="A20" s="3438"/>
      <c r="B20" s="3438"/>
      <c r="C20" s="1130" t="s">
        <v>1452</v>
      </c>
      <c r="D20" s="1131"/>
      <c r="E20" s="1153">
        <v>1.1000000000000001</v>
      </c>
      <c r="F20" s="1132" t="s">
        <v>1453</v>
      </c>
      <c r="G20" s="1133"/>
      <c r="H20" s="1104"/>
      <c r="I20" s="1104"/>
    </row>
    <row r="21" spans="1:9" s="1598" customFormat="1" ht="19.5" customHeight="1">
      <c r="A21" s="3438"/>
      <c r="B21" s="3438"/>
      <c r="C21" s="1130" t="s">
        <v>1454</v>
      </c>
      <c r="D21" s="1131"/>
      <c r="E21" s="1153">
        <v>0.8</v>
      </c>
      <c r="F21" s="1132" t="s">
        <v>1455</v>
      </c>
      <c r="G21" s="1133"/>
      <c r="H21" s="1104"/>
      <c r="I21" s="1104"/>
    </row>
    <row r="22" spans="1:9" s="1598" customFormat="1" ht="19.5" customHeight="1">
      <c r="A22" s="3438"/>
      <c r="B22" s="3438"/>
      <c r="C22" s="1130" t="s">
        <v>1456</v>
      </c>
      <c r="D22" s="1131"/>
      <c r="E22" s="1153">
        <v>0.5</v>
      </c>
      <c r="F22" s="1132"/>
      <c r="G22" s="1133"/>
      <c r="H22" s="1104"/>
      <c r="I22" s="1104"/>
    </row>
    <row r="23" spans="1:9" s="1598" customFormat="1" ht="19.5" customHeight="1">
      <c r="A23" s="3438" t="s">
        <v>1029</v>
      </c>
      <c r="B23" s="1153" t="s">
        <v>1446</v>
      </c>
      <c r="C23" s="1130" t="s">
        <v>1457</v>
      </c>
      <c r="D23" s="1131"/>
      <c r="E23" s="1153">
        <v>1</v>
      </c>
      <c r="F23" s="1132" t="s">
        <v>1458</v>
      </c>
      <c r="G23" s="1133"/>
      <c r="H23" s="1104"/>
      <c r="I23" s="1104"/>
    </row>
    <row r="24" spans="1:9" s="1598" customFormat="1" ht="19.5" customHeight="1">
      <c r="A24" s="3438"/>
      <c r="B24" s="3438" t="s">
        <v>1449</v>
      </c>
      <c r="C24" s="1130" t="s">
        <v>1459</v>
      </c>
      <c r="D24" s="1131"/>
      <c r="E24" s="1153">
        <v>0.5</v>
      </c>
      <c r="F24" s="1132"/>
      <c r="G24" s="1133"/>
      <c r="H24" s="1104"/>
      <c r="I24" s="1104"/>
    </row>
    <row r="25" spans="1:9" s="1598" customFormat="1" ht="19.5" customHeight="1">
      <c r="A25" s="3438"/>
      <c r="B25" s="3438"/>
      <c r="C25" s="1130" t="s">
        <v>1460</v>
      </c>
      <c r="D25" s="1131"/>
      <c r="E25" s="1153">
        <v>1.1000000000000001</v>
      </c>
      <c r="F25" s="1132"/>
      <c r="G25" s="1133"/>
      <c r="H25" s="1104"/>
      <c r="I25" s="1104"/>
    </row>
    <row r="26" spans="1:9" s="1598" customFormat="1" ht="19.5" customHeight="1">
      <c r="A26" s="3438"/>
      <c r="B26" s="3438"/>
      <c r="C26" s="1130" t="s">
        <v>1461</v>
      </c>
      <c r="D26" s="1131"/>
      <c r="E26" s="1153">
        <v>1.1000000000000001</v>
      </c>
      <c r="F26" s="1132"/>
      <c r="G26" s="1133"/>
      <c r="H26" s="1104"/>
      <c r="I26" s="1104"/>
    </row>
    <row r="27" spans="1:9" s="1598" customFormat="1" ht="19.5" customHeight="1">
      <c r="A27" s="3438"/>
      <c r="B27" s="3438"/>
      <c r="C27" s="1130" t="s">
        <v>1462</v>
      </c>
      <c r="D27" s="1131"/>
      <c r="E27" s="1153">
        <v>0.9</v>
      </c>
      <c r="F27" s="1132" t="s">
        <v>1463</v>
      </c>
      <c r="G27" s="1133"/>
      <c r="H27" s="1104"/>
      <c r="I27" s="1104"/>
    </row>
    <row r="28" spans="1:9" s="1598" customFormat="1" ht="19.5" customHeight="1">
      <c r="A28" s="3438"/>
      <c r="B28" s="3438"/>
      <c r="C28" s="1130" t="s">
        <v>1464</v>
      </c>
      <c r="D28" s="1131"/>
      <c r="E28" s="1153">
        <v>0.9</v>
      </c>
      <c r="F28" s="1132" t="s">
        <v>1465</v>
      </c>
      <c r="G28" s="1133"/>
      <c r="H28" s="1104"/>
      <c r="I28" s="1104"/>
    </row>
    <row r="29" spans="1:9" s="1598" customFormat="1" ht="19.5" customHeight="1">
      <c r="A29" s="3438"/>
      <c r="B29" s="3438"/>
      <c r="C29" s="1130" t="s">
        <v>1466</v>
      </c>
      <c r="D29" s="1131"/>
      <c r="E29" s="1153">
        <v>0.9</v>
      </c>
      <c r="F29" s="1132" t="s">
        <v>1467</v>
      </c>
      <c r="G29" s="1133"/>
      <c r="H29" s="1104"/>
      <c r="I29" s="1104"/>
    </row>
    <row r="30" spans="1:9" s="1598" customFormat="1" ht="19.5" customHeight="1">
      <c r="A30" s="3438"/>
      <c r="B30" s="3438"/>
      <c r="C30" s="1130" t="s">
        <v>1468</v>
      </c>
      <c r="D30" s="1131"/>
      <c r="E30" s="1153">
        <v>0.9</v>
      </c>
      <c r="F30" s="1132" t="s">
        <v>1469</v>
      </c>
      <c r="G30" s="1133"/>
      <c r="H30" s="1104"/>
      <c r="I30" s="1104"/>
    </row>
    <row r="31" spans="1:9" s="1598" customFormat="1" ht="19.5" customHeight="1">
      <c r="A31" s="3438"/>
      <c r="B31" s="3438"/>
      <c r="C31" s="1130" t="s">
        <v>1470</v>
      </c>
      <c r="D31" s="1131"/>
      <c r="E31" s="1153">
        <v>0.8</v>
      </c>
      <c r="F31" s="1132" t="s">
        <v>1471</v>
      </c>
      <c r="G31" s="1133"/>
      <c r="H31" s="1104"/>
      <c r="I31" s="1104"/>
    </row>
    <row r="32" spans="1:9" s="1598" customFormat="1" ht="19.5" customHeight="1">
      <c r="A32" s="3438"/>
      <c r="B32" s="3438"/>
      <c r="C32" s="1130" t="s">
        <v>1472</v>
      </c>
      <c r="D32" s="1131"/>
      <c r="E32" s="1153">
        <v>0.8</v>
      </c>
      <c r="F32" s="1132" t="s">
        <v>1473</v>
      </c>
      <c r="G32" s="1133"/>
      <c r="H32" s="1104"/>
      <c r="I32" s="1104"/>
    </row>
    <row r="33" spans="1:9" s="1598" customFormat="1" ht="19.5" customHeight="1">
      <c r="A33" s="3438" t="s">
        <v>1474</v>
      </c>
      <c r="B33" s="1153" t="s">
        <v>1446</v>
      </c>
      <c r="C33" s="1130" t="s">
        <v>1475</v>
      </c>
      <c r="D33" s="1131"/>
      <c r="E33" s="1153">
        <v>1</v>
      </c>
      <c r="F33" s="1132" t="s">
        <v>1476</v>
      </c>
      <c r="G33" s="1133"/>
      <c r="H33" s="1104"/>
      <c r="I33" s="1104"/>
    </row>
    <row r="34" spans="1:9" s="1598" customFormat="1" ht="19.5" customHeight="1">
      <c r="A34" s="3438"/>
      <c r="B34" s="1153" t="s">
        <v>1449</v>
      </c>
      <c r="C34" s="1130" t="s">
        <v>1477</v>
      </c>
      <c r="D34" s="1131"/>
      <c r="E34" s="1153">
        <v>1.5</v>
      </c>
      <c r="F34" s="1132" t="s">
        <v>1478</v>
      </c>
      <c r="G34" s="1133"/>
      <c r="H34" s="1104"/>
      <c r="I34" s="1104"/>
    </row>
    <row r="35" spans="1:9" s="1598" customFormat="1" ht="19.5" customHeight="1">
      <c r="A35" s="3438" t="s">
        <v>1432</v>
      </c>
      <c r="B35" s="1153" t="s">
        <v>1446</v>
      </c>
      <c r="C35" s="1130" t="s">
        <v>1479</v>
      </c>
      <c r="D35" s="1131"/>
      <c r="E35" s="1153">
        <v>1</v>
      </c>
      <c r="F35" s="1132" t="s">
        <v>1480</v>
      </c>
      <c r="G35" s="1133"/>
      <c r="H35" s="1104"/>
      <c r="I35" s="1104"/>
    </row>
    <row r="36" spans="1:9" s="1598" customFormat="1" ht="19.5" customHeight="1">
      <c r="A36" s="3438"/>
      <c r="B36" s="3438" t="s">
        <v>1449</v>
      </c>
      <c r="C36" s="1130" t="s">
        <v>1481</v>
      </c>
      <c r="D36" s="1131"/>
      <c r="E36" s="1153">
        <v>1</v>
      </c>
      <c r="F36" s="1132" t="s">
        <v>1482</v>
      </c>
      <c r="G36" s="1133"/>
      <c r="H36" s="1104"/>
      <c r="I36" s="1104"/>
    </row>
    <row r="37" spans="1:9" s="1598" customFormat="1" ht="19.5" customHeight="1">
      <c r="A37" s="3438"/>
      <c r="B37" s="3438"/>
      <c r="C37" s="1130" t="s">
        <v>1483</v>
      </c>
      <c r="D37" s="1131"/>
      <c r="E37" s="1153">
        <v>1.5</v>
      </c>
      <c r="F37" s="1132" t="s">
        <v>1484</v>
      </c>
      <c r="G37" s="1133"/>
      <c r="H37" s="1104"/>
      <c r="I37" s="1104"/>
    </row>
    <row r="38" spans="1:9" s="1598" customFormat="1" ht="19.5" customHeight="1">
      <c r="A38" s="3438"/>
      <c r="B38" s="3438"/>
      <c r="C38" s="1130" t="s">
        <v>1485</v>
      </c>
      <c r="D38" s="1131"/>
      <c r="E38" s="1153">
        <v>1</v>
      </c>
      <c r="F38" s="1132" t="s">
        <v>1486</v>
      </c>
      <c r="G38" s="1133"/>
      <c r="H38" s="1104"/>
      <c r="I38" s="1104"/>
    </row>
    <row r="39" spans="1:9" s="1598" customFormat="1" ht="19.5" customHeight="1">
      <c r="A39" s="3438"/>
      <c r="B39" s="3438"/>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8" t="s">
        <v>1501</v>
      </c>
      <c r="C61" s="1067" t="s">
        <v>1502</v>
      </c>
      <c r="D61" s="1067" t="s">
        <v>1503</v>
      </c>
      <c r="E61" s="1138">
        <v>0.5</v>
      </c>
      <c r="F61" s="1153">
        <v>80</v>
      </c>
      <c r="H61" s="1104">
        <f>SUMIF(C59:C119,基准地价!C8,E59:E119)</f>
        <v>0</v>
      </c>
    </row>
    <row r="62" spans="1:8" s="1104" customFormat="1" ht="24">
      <c r="A62" s="1153">
        <v>2</v>
      </c>
      <c r="B62" s="3438"/>
      <c r="C62" s="1067" t="s">
        <v>1504</v>
      </c>
      <c r="D62" s="1067" t="s">
        <v>1505</v>
      </c>
      <c r="E62" s="1138">
        <v>0.5</v>
      </c>
      <c r="F62" s="1153">
        <v>80</v>
      </c>
    </row>
    <row r="63" spans="1:8" s="1104" customFormat="1" ht="36">
      <c r="A63" s="1153">
        <v>3</v>
      </c>
      <c r="B63" s="3438"/>
      <c r="C63" s="1067" t="s">
        <v>1506</v>
      </c>
      <c r="D63" s="1067" t="s">
        <v>1507</v>
      </c>
      <c r="E63" s="1138">
        <v>0.5</v>
      </c>
      <c r="F63" s="1153">
        <v>80</v>
      </c>
    </row>
    <row r="64" spans="1:8" s="1104" customFormat="1" ht="36">
      <c r="A64" s="1153">
        <v>4</v>
      </c>
      <c r="B64" s="3438"/>
      <c r="C64" s="1067" t="s">
        <v>1508</v>
      </c>
      <c r="D64" s="1067" t="s">
        <v>1509</v>
      </c>
      <c r="E64" s="1138">
        <v>0.4</v>
      </c>
      <c r="F64" s="1153">
        <v>60</v>
      </c>
    </row>
    <row r="65" spans="1:6" s="1104" customFormat="1" ht="36">
      <c r="A65" s="1153">
        <v>5</v>
      </c>
      <c r="B65" s="3438"/>
      <c r="C65" s="1067" t="s">
        <v>1510</v>
      </c>
      <c r="D65" s="1067" t="s">
        <v>1511</v>
      </c>
      <c r="E65" s="1138">
        <v>0.2</v>
      </c>
      <c r="F65" s="1153">
        <v>30</v>
      </c>
    </row>
    <row r="66" spans="1:6" s="1104" customFormat="1" ht="36">
      <c r="A66" s="1153">
        <v>6</v>
      </c>
      <c r="B66" s="3438"/>
      <c r="C66" s="1067" t="s">
        <v>1512</v>
      </c>
      <c r="D66" s="1067" t="s">
        <v>1513</v>
      </c>
      <c r="E66" s="1138">
        <v>0.3</v>
      </c>
      <c r="F66" s="1153">
        <v>50</v>
      </c>
    </row>
    <row r="67" spans="1:6" s="1104" customFormat="1" ht="36">
      <c r="A67" s="1153">
        <v>7</v>
      </c>
      <c r="B67" s="3438"/>
      <c r="C67" s="1067" t="s">
        <v>1514</v>
      </c>
      <c r="D67" s="1067" t="s">
        <v>1515</v>
      </c>
      <c r="E67" s="1138">
        <v>0.2</v>
      </c>
      <c r="F67" s="1153">
        <v>30</v>
      </c>
    </row>
    <row r="68" spans="1:6" s="1104" customFormat="1" ht="36">
      <c r="A68" s="1153">
        <v>8</v>
      </c>
      <c r="B68" s="3438"/>
      <c r="C68" s="1067" t="s">
        <v>1516</v>
      </c>
      <c r="D68" s="1067" t="s">
        <v>1517</v>
      </c>
      <c r="E68" s="1138">
        <v>0.2</v>
      </c>
      <c r="F68" s="1153">
        <v>30</v>
      </c>
    </row>
    <row r="69" spans="1:6" s="1104" customFormat="1" ht="36">
      <c r="A69" s="1153">
        <v>9</v>
      </c>
      <c r="B69" s="3438"/>
      <c r="C69" s="1067" t="s">
        <v>1518</v>
      </c>
      <c r="D69" s="1067" t="s">
        <v>1519</v>
      </c>
      <c r="E69" s="1138">
        <v>0.2</v>
      </c>
      <c r="F69" s="1153">
        <v>30</v>
      </c>
    </row>
    <row r="70" spans="1:6" s="1104" customFormat="1" ht="48">
      <c r="A70" s="1153">
        <v>10</v>
      </c>
      <c r="B70" s="3438"/>
      <c r="C70" s="1067" t="s">
        <v>1520</v>
      </c>
      <c r="D70" s="1067" t="s">
        <v>1521</v>
      </c>
      <c r="E70" s="1138">
        <v>0.2</v>
      </c>
      <c r="F70" s="1153">
        <v>30</v>
      </c>
    </row>
    <row r="71" spans="1:6" s="1104" customFormat="1" ht="48">
      <c r="A71" s="1153">
        <v>11</v>
      </c>
      <c r="B71" s="3438"/>
      <c r="C71" s="1067" t="s">
        <v>1522</v>
      </c>
      <c r="D71" s="1067" t="s">
        <v>1523</v>
      </c>
      <c r="E71" s="1138">
        <v>0.2</v>
      </c>
      <c r="F71" s="1153">
        <v>30</v>
      </c>
    </row>
    <row r="72" spans="1:6" s="1104" customFormat="1" ht="36">
      <c r="A72" s="1153">
        <v>12</v>
      </c>
      <c r="B72" s="3438"/>
      <c r="C72" s="1067" t="s">
        <v>1524</v>
      </c>
      <c r="D72" s="1067" t="s">
        <v>1525</v>
      </c>
      <c r="E72" s="1138">
        <v>0.5</v>
      </c>
      <c r="F72" s="1153">
        <v>80</v>
      </c>
    </row>
    <row r="73" spans="1:6" s="1104" customFormat="1" ht="24">
      <c r="A73" s="1153">
        <v>13</v>
      </c>
      <c r="B73" s="3438"/>
      <c r="C73" s="1067" t="s">
        <v>1526</v>
      </c>
      <c r="D73" s="1067" t="s">
        <v>1527</v>
      </c>
      <c r="E73" s="1138">
        <v>0.4</v>
      </c>
      <c r="F73" s="1153">
        <v>60</v>
      </c>
    </row>
    <row r="74" spans="1:6" s="1104" customFormat="1" ht="24">
      <c r="A74" s="1153">
        <v>14</v>
      </c>
      <c r="B74" s="3438"/>
      <c r="C74" s="1067" t="s">
        <v>1528</v>
      </c>
      <c r="D74" s="1067" t="s">
        <v>1529</v>
      </c>
      <c r="E74" s="1138">
        <v>0.2</v>
      </c>
      <c r="F74" s="1153">
        <v>30</v>
      </c>
    </row>
    <row r="75" spans="1:6" s="1104" customFormat="1" ht="24">
      <c r="A75" s="1153">
        <v>15</v>
      </c>
      <c r="B75" s="3438"/>
      <c r="C75" s="1067" t="s">
        <v>1530</v>
      </c>
      <c r="D75" s="1067" t="s">
        <v>1531</v>
      </c>
      <c r="E75" s="1138">
        <v>0.2</v>
      </c>
      <c r="F75" s="1153">
        <v>30</v>
      </c>
    </row>
    <row r="76" spans="1:6" s="1104" customFormat="1" ht="24">
      <c r="A76" s="1153">
        <v>16</v>
      </c>
      <c r="B76" s="3438" t="s">
        <v>1532</v>
      </c>
      <c r="C76" s="1067" t="s">
        <v>1533</v>
      </c>
      <c r="D76" s="1067" t="s">
        <v>1534</v>
      </c>
      <c r="E76" s="1138">
        <v>0.5</v>
      </c>
      <c r="F76" s="1153">
        <v>80</v>
      </c>
    </row>
    <row r="77" spans="1:6" s="1104" customFormat="1" ht="24">
      <c r="A77" s="1153">
        <v>17</v>
      </c>
      <c r="B77" s="3438"/>
      <c r="C77" s="1067" t="s">
        <v>1535</v>
      </c>
      <c r="D77" s="1067" t="s">
        <v>1536</v>
      </c>
      <c r="E77" s="1138">
        <v>0.5</v>
      </c>
      <c r="F77" s="1153">
        <v>80</v>
      </c>
    </row>
    <row r="78" spans="1:6" s="1104" customFormat="1" ht="24">
      <c r="A78" s="1153">
        <v>18</v>
      </c>
      <c r="B78" s="3438"/>
      <c r="C78" s="1067" t="s">
        <v>1537</v>
      </c>
      <c r="D78" s="1067" t="s">
        <v>1538</v>
      </c>
      <c r="E78" s="1138">
        <v>0.2</v>
      </c>
      <c r="F78" s="1153">
        <v>30</v>
      </c>
    </row>
    <row r="79" spans="1:6" s="1104" customFormat="1" ht="24">
      <c r="A79" s="1153">
        <v>19</v>
      </c>
      <c r="B79" s="3438"/>
      <c r="C79" s="1067" t="s">
        <v>1539</v>
      </c>
      <c r="D79" s="1067" t="s">
        <v>1540</v>
      </c>
      <c r="E79" s="1138">
        <v>0.5</v>
      </c>
      <c r="F79" s="1153">
        <v>80</v>
      </c>
    </row>
    <row r="80" spans="1:6" s="1104" customFormat="1" ht="36">
      <c r="A80" s="1153">
        <v>20</v>
      </c>
      <c r="B80" s="3438"/>
      <c r="C80" s="1067" t="s">
        <v>1541</v>
      </c>
      <c r="D80" s="1067" t="s">
        <v>1542</v>
      </c>
      <c r="E80" s="1138">
        <v>0.2</v>
      </c>
      <c r="F80" s="1153">
        <v>30</v>
      </c>
    </row>
    <row r="81" spans="1:6" s="1104" customFormat="1" ht="36">
      <c r="A81" s="1153">
        <v>21</v>
      </c>
      <c r="B81" s="3438"/>
      <c r="C81" s="1067" t="s">
        <v>1543</v>
      </c>
      <c r="D81" s="1067" t="s">
        <v>1544</v>
      </c>
      <c r="E81" s="1138">
        <v>0.2</v>
      </c>
      <c r="F81" s="1153">
        <v>30</v>
      </c>
    </row>
    <row r="82" spans="1:6" s="1104" customFormat="1" ht="48">
      <c r="A82" s="1153">
        <v>22</v>
      </c>
      <c r="B82" s="3438"/>
      <c r="C82" s="1067" t="s">
        <v>1545</v>
      </c>
      <c r="D82" s="1067" t="s">
        <v>1546</v>
      </c>
      <c r="E82" s="1138">
        <v>0.2</v>
      </c>
      <c r="F82" s="1153">
        <v>30</v>
      </c>
    </row>
    <row r="83" spans="1:6" s="1104" customFormat="1" ht="48">
      <c r="A83" s="1153">
        <v>23</v>
      </c>
      <c r="B83" s="3438"/>
      <c r="C83" s="1067" t="s">
        <v>1547</v>
      </c>
      <c r="D83" s="1067" t="s">
        <v>1548</v>
      </c>
      <c r="E83" s="1138">
        <v>0.2</v>
      </c>
      <c r="F83" s="1153">
        <v>30</v>
      </c>
    </row>
    <row r="84" spans="1:6" s="1104" customFormat="1" ht="36">
      <c r="A84" s="1153">
        <v>24</v>
      </c>
      <c r="B84" s="3438"/>
      <c r="C84" s="1067" t="s">
        <v>1549</v>
      </c>
      <c r="D84" s="1067" t="s">
        <v>1550</v>
      </c>
      <c r="E84" s="1138">
        <v>0.2</v>
      </c>
      <c r="F84" s="1153">
        <v>30</v>
      </c>
    </row>
    <row r="85" spans="1:6" s="1104" customFormat="1" ht="36">
      <c r="A85" s="1153">
        <v>25</v>
      </c>
      <c r="B85" s="3438"/>
      <c r="C85" s="1067" t="s">
        <v>1551</v>
      </c>
      <c r="D85" s="1067" t="s">
        <v>1552</v>
      </c>
      <c r="E85" s="1138">
        <v>0.5</v>
      </c>
      <c r="F85" s="1153">
        <v>80</v>
      </c>
    </row>
    <row r="86" spans="1:6" s="1104" customFormat="1" ht="36">
      <c r="A86" s="1153">
        <v>26</v>
      </c>
      <c r="B86" s="3438"/>
      <c r="C86" s="1067" t="s">
        <v>1553</v>
      </c>
      <c r="D86" s="1067" t="s">
        <v>1554</v>
      </c>
      <c r="E86" s="1138">
        <v>0.2</v>
      </c>
      <c r="F86" s="1153">
        <v>30</v>
      </c>
    </row>
    <row r="87" spans="1:6" s="1104" customFormat="1" ht="36">
      <c r="A87" s="1153">
        <v>27</v>
      </c>
      <c r="B87" s="3438"/>
      <c r="C87" s="1067" t="s">
        <v>1555</v>
      </c>
      <c r="D87" s="1067" t="s">
        <v>1556</v>
      </c>
      <c r="E87" s="1138">
        <v>0.2</v>
      </c>
      <c r="F87" s="1153">
        <v>30</v>
      </c>
    </row>
    <row r="88" spans="1:6" s="1104" customFormat="1" ht="36">
      <c r="A88" s="1153">
        <v>28</v>
      </c>
      <c r="B88" s="3438"/>
      <c r="C88" s="1067" t="s">
        <v>1557</v>
      </c>
      <c r="D88" s="1067" t="s">
        <v>1558</v>
      </c>
      <c r="E88" s="1138">
        <v>0.2</v>
      </c>
      <c r="F88" s="1153">
        <v>30</v>
      </c>
    </row>
    <row r="89" spans="1:6" s="1104" customFormat="1" ht="24">
      <c r="A89" s="1153">
        <v>29</v>
      </c>
      <c r="B89" s="3438"/>
      <c r="C89" s="1067" t="s">
        <v>1559</v>
      </c>
      <c r="D89" s="1067" t="s">
        <v>1560</v>
      </c>
      <c r="E89" s="1138">
        <v>0.2</v>
      </c>
      <c r="F89" s="1153">
        <v>30</v>
      </c>
    </row>
    <row r="90" spans="1:6" s="1104" customFormat="1" ht="24">
      <c r="A90" s="1153">
        <v>30</v>
      </c>
      <c r="B90" s="3438"/>
      <c r="C90" s="1067" t="s">
        <v>1561</v>
      </c>
      <c r="D90" s="1067" t="s">
        <v>1562</v>
      </c>
      <c r="E90" s="1138">
        <v>0.2</v>
      </c>
      <c r="F90" s="1153">
        <v>30</v>
      </c>
    </row>
    <row r="91" spans="1:6" s="1104" customFormat="1" ht="36">
      <c r="A91" s="1153">
        <v>31</v>
      </c>
      <c r="B91" s="3438"/>
      <c r="C91" s="1067" t="s">
        <v>1563</v>
      </c>
      <c r="D91" s="1067" t="s">
        <v>1564</v>
      </c>
      <c r="E91" s="1138">
        <v>0.2</v>
      </c>
      <c r="F91" s="1153">
        <v>30</v>
      </c>
    </row>
    <row r="92" spans="1:6" s="1104" customFormat="1" ht="24">
      <c r="A92" s="1153">
        <v>32</v>
      </c>
      <c r="B92" s="3438" t="s">
        <v>1565</v>
      </c>
      <c r="C92" s="1153" t="s">
        <v>1566</v>
      </c>
      <c r="D92" s="1067" t="s">
        <v>1567</v>
      </c>
      <c r="E92" s="1138">
        <v>0.2</v>
      </c>
      <c r="F92" s="1153">
        <v>30</v>
      </c>
    </row>
    <row r="93" spans="1:6" s="1104" customFormat="1" ht="36">
      <c r="A93" s="1153">
        <v>33</v>
      </c>
      <c r="B93" s="3438"/>
      <c r="C93" s="1153" t="s">
        <v>1568</v>
      </c>
      <c r="D93" s="1067" t="s">
        <v>1569</v>
      </c>
      <c r="E93" s="1138">
        <v>0.2</v>
      </c>
      <c r="F93" s="1153">
        <v>30</v>
      </c>
    </row>
    <row r="94" spans="1:6" s="1104" customFormat="1" ht="48">
      <c r="A94" s="1153">
        <v>34</v>
      </c>
      <c r="B94" s="3438"/>
      <c r="C94" s="1153" t="s">
        <v>1570</v>
      </c>
      <c r="D94" s="1067" t="s">
        <v>1571</v>
      </c>
      <c r="E94" s="1138">
        <v>0.2</v>
      </c>
      <c r="F94" s="1153">
        <v>30</v>
      </c>
    </row>
    <row r="95" spans="1:6" s="1104" customFormat="1" ht="36">
      <c r="A95" s="1153">
        <v>35</v>
      </c>
      <c r="B95" s="3438"/>
      <c r="C95" s="1153" t="s">
        <v>1572</v>
      </c>
      <c r="D95" s="1067" t="s">
        <v>1573</v>
      </c>
      <c r="E95" s="1138">
        <v>0.2</v>
      </c>
      <c r="F95" s="1153">
        <v>30</v>
      </c>
    </row>
    <row r="96" spans="1:6" s="1104" customFormat="1" ht="48">
      <c r="A96" s="1153">
        <v>36</v>
      </c>
      <c r="B96" s="3438"/>
      <c r="C96" s="1067" t="s">
        <v>1574</v>
      </c>
      <c r="D96" s="1067" t="s">
        <v>1575</v>
      </c>
      <c r="E96" s="1138">
        <v>0.2</v>
      </c>
      <c r="F96" s="1153">
        <v>30</v>
      </c>
    </row>
    <row r="97" spans="1:6" s="1104" customFormat="1" ht="36">
      <c r="A97" s="1153">
        <v>37</v>
      </c>
      <c r="B97" s="3438"/>
      <c r="C97" s="1153" t="s">
        <v>1576</v>
      </c>
      <c r="D97" s="1067" t="s">
        <v>1577</v>
      </c>
      <c r="E97" s="1138">
        <v>0.2</v>
      </c>
      <c r="F97" s="1153">
        <v>30</v>
      </c>
    </row>
    <row r="98" spans="1:6" s="1104" customFormat="1" ht="36">
      <c r="A98" s="1153">
        <v>38</v>
      </c>
      <c r="B98" s="3438"/>
      <c r="C98" s="1153" t="s">
        <v>1578</v>
      </c>
      <c r="D98" s="1067" t="s">
        <v>1579</v>
      </c>
      <c r="E98" s="1138">
        <v>0.2</v>
      </c>
      <c r="F98" s="1153">
        <v>30</v>
      </c>
    </row>
    <row r="99" spans="1:6" s="1104" customFormat="1" ht="36">
      <c r="A99" s="1153">
        <v>39</v>
      </c>
      <c r="B99" s="3438" t="s">
        <v>1580</v>
      </c>
      <c r="C99" s="1153" t="s">
        <v>1581</v>
      </c>
      <c r="D99" s="1067" t="s">
        <v>1582</v>
      </c>
      <c r="E99" s="1138">
        <v>0.3</v>
      </c>
      <c r="F99" s="1153">
        <v>50</v>
      </c>
    </row>
    <row r="100" spans="1:6" s="1104" customFormat="1" ht="24">
      <c r="A100" s="1153">
        <v>40</v>
      </c>
      <c r="B100" s="3438"/>
      <c r="C100" s="1153" t="s">
        <v>1583</v>
      </c>
      <c r="D100" s="1067" t="s">
        <v>1584</v>
      </c>
      <c r="E100" s="1138">
        <v>0.2</v>
      </c>
      <c r="F100" s="1153">
        <v>30</v>
      </c>
    </row>
    <row r="101" spans="1:6" s="1104" customFormat="1" ht="36">
      <c r="A101" s="1153">
        <v>41</v>
      </c>
      <c r="B101" s="3438"/>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8" t="s">
        <v>1595</v>
      </c>
      <c r="C105" s="1153" t="s">
        <v>1596</v>
      </c>
      <c r="D105" s="1067" t="s">
        <v>1597</v>
      </c>
      <c r="E105" s="1138">
        <v>0.2</v>
      </c>
      <c r="F105" s="1153">
        <v>30</v>
      </c>
    </row>
    <row r="106" spans="1:6" s="1104" customFormat="1" ht="36">
      <c r="A106" s="1153">
        <v>46</v>
      </c>
      <c r="B106" s="3438"/>
      <c r="C106" s="1153" t="s">
        <v>1598</v>
      </c>
      <c r="D106" s="1067" t="s">
        <v>1599</v>
      </c>
      <c r="E106" s="1138">
        <v>0.2</v>
      </c>
      <c r="F106" s="1153">
        <v>30</v>
      </c>
    </row>
    <row r="107" spans="1:6" s="1104" customFormat="1" ht="36">
      <c r="A107" s="1153">
        <v>47</v>
      </c>
      <c r="B107" s="3438" t="s">
        <v>1600</v>
      </c>
      <c r="C107" s="1153" t="s">
        <v>1601</v>
      </c>
      <c r="D107" s="1067" t="s">
        <v>1602</v>
      </c>
      <c r="E107" s="1138">
        <v>0.3</v>
      </c>
      <c r="F107" s="1153">
        <v>50</v>
      </c>
    </row>
    <row r="108" spans="1:6" s="1104" customFormat="1" ht="36">
      <c r="A108" s="1153">
        <v>48</v>
      </c>
      <c r="B108" s="3438"/>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8" t="s">
        <v>1611</v>
      </c>
      <c r="C111" s="1153" t="s">
        <v>1612</v>
      </c>
      <c r="D111" s="1067" t="s">
        <v>1613</v>
      </c>
      <c r="E111" s="1138">
        <v>0.2</v>
      </c>
      <c r="F111" s="1153">
        <v>30</v>
      </c>
    </row>
    <row r="112" spans="1:6" s="1104" customFormat="1" ht="24">
      <c r="A112" s="1153">
        <v>52</v>
      </c>
      <c r="B112" s="3438"/>
      <c r="C112" s="1153" t="s">
        <v>1614</v>
      </c>
      <c r="D112" s="1067" t="s">
        <v>1615</v>
      </c>
      <c r="E112" s="1138">
        <v>0.2</v>
      </c>
      <c r="F112" s="1153">
        <v>30</v>
      </c>
    </row>
    <row r="113" spans="1:14" s="1104" customFormat="1" ht="24">
      <c r="A113" s="1153">
        <v>53</v>
      </c>
      <c r="B113" s="3438"/>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8" t="s">
        <v>1624</v>
      </c>
      <c r="C116" s="1153" t="s">
        <v>1625</v>
      </c>
      <c r="D116" s="1067" t="s">
        <v>1626</v>
      </c>
      <c r="E116" s="1138">
        <v>0.2</v>
      </c>
      <c r="F116" s="1153">
        <v>30</v>
      </c>
    </row>
    <row r="117" spans="1:14" ht="36">
      <c r="A117" s="1153">
        <v>57</v>
      </c>
      <c r="B117" s="3438"/>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7" t="s">
        <v>1633</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2081</v>
      </c>
      <c r="B1" s="3446"/>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2955</v>
      </c>
      <c r="B1" s="3105"/>
      <c r="C1" s="3105"/>
      <c r="D1" s="3105"/>
      <c r="E1" s="3105"/>
      <c r="F1" s="3105"/>
    </row>
    <row r="2" spans="1:6" ht="14.25">
      <c r="A2" s="3106" t="s">
        <v>2950</v>
      </c>
      <c r="B2" s="3107" t="e">
        <f ca="1">SUMIF(B7:B14,"&lt;&gt;#ref!",B7:B14)</f>
        <v>#DIV/0!</v>
      </c>
      <c r="C2" s="3106" t="s">
        <v>2951</v>
      </c>
      <c r="D2" s="3105"/>
      <c r="E2" s="3105"/>
      <c r="F2" s="3105"/>
    </row>
    <row r="3" spans="1:6" ht="14.25">
      <c r="A3" s="3106" t="s">
        <v>2984</v>
      </c>
      <c r="B3" s="3107" t="e">
        <f ca="1">ROUND(B2*10000/E3,0)</f>
        <v>#DIV/0!</v>
      </c>
      <c r="C3" s="3106" t="s">
        <v>2080</v>
      </c>
      <c r="D3" s="3106" t="s">
        <v>2952</v>
      </c>
      <c r="E3" s="3107">
        <f ca="1">SUMIF(E7:E14,"&lt;&gt;#ref!",E7:E14)</f>
        <v>0</v>
      </c>
      <c r="F3" s="3105"/>
    </row>
    <row r="4" spans="1:6" ht="14.25">
      <c r="A4" s="3106" t="s">
        <v>2959</v>
      </c>
      <c r="B4" s="3107" t="e">
        <f ca="1">ROUND(B2*10000/E4,0)</f>
        <v>#DIV/0!</v>
      </c>
      <c r="C4" s="3106" t="s">
        <v>2080</v>
      </c>
      <c r="D4" s="3106" t="s">
        <v>2960</v>
      </c>
      <c r="E4" s="3107">
        <f ca="1">SUMIF(F7:F14,"&lt;&gt;#ref!",F7:F14)</f>
        <v>0</v>
      </c>
      <c r="F4" s="3105"/>
    </row>
    <row r="5" spans="1:6" ht="14.25">
      <c r="A5" s="3108"/>
      <c r="B5" s="1881"/>
      <c r="C5" s="1881"/>
      <c r="D5" s="1881"/>
      <c r="E5" s="1881"/>
      <c r="F5" s="3105"/>
    </row>
    <row r="6" spans="1:6" ht="28.5">
      <c r="A6" s="3109" t="s">
        <v>2956</v>
      </c>
      <c r="B6" s="3106" t="s">
        <v>2953</v>
      </c>
      <c r="C6" s="3107"/>
      <c r="D6" s="1881"/>
      <c r="E6" s="3106" t="s">
        <v>2954</v>
      </c>
      <c r="F6" s="3106" t="s">
        <v>2958</v>
      </c>
    </row>
    <row r="7" spans="1:6" ht="14.25">
      <c r="A7" s="260" t="s">
        <v>2957</v>
      </c>
      <c r="B7" s="3110" t="e">
        <f ca="1">SUMIF(INDIRECT("'"&amp;A7&amp;"'"&amp;"!A:A"),"总价",INDIRECT("'"&amp;A7&amp;"'"&amp;"!B:B"))</f>
        <v>#DIV/0!</v>
      </c>
      <c r="C7" s="3106" t="s">
        <v>2951</v>
      </c>
      <c r="D7" s="1881"/>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2951</v>
      </c>
      <c r="D8" s="1881"/>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2951</v>
      </c>
      <c r="D9" s="1881"/>
      <c r="E9" s="3111" t="e">
        <f t="shared" ca="1" si="1"/>
        <v>#REF!</v>
      </c>
      <c r="F9" s="3111" t="e">
        <f t="shared" ca="1" si="2"/>
        <v>#REF!</v>
      </c>
    </row>
    <row r="10" spans="1:6" ht="14.25">
      <c r="A10" s="260"/>
      <c r="B10" s="3110" t="e">
        <f t="shared" ca="1" si="0"/>
        <v>#REF!</v>
      </c>
      <c r="C10" s="3106" t="s">
        <v>2951</v>
      </c>
      <c r="D10" s="1881"/>
      <c r="E10" s="3111" t="e">
        <f t="shared" ca="1" si="1"/>
        <v>#REF!</v>
      </c>
      <c r="F10" s="3111" t="e">
        <f t="shared" ca="1" si="2"/>
        <v>#REF!</v>
      </c>
    </row>
    <row r="11" spans="1:6" ht="14.25">
      <c r="A11" s="260"/>
      <c r="B11" s="3110" t="e">
        <f t="shared" ca="1" si="0"/>
        <v>#REF!</v>
      </c>
      <c r="C11" s="3106" t="s">
        <v>2951</v>
      </c>
      <c r="D11" s="1881"/>
      <c r="E11" s="3111" t="e">
        <f t="shared" ca="1" si="1"/>
        <v>#REF!</v>
      </c>
      <c r="F11" s="3111" t="e">
        <f t="shared" ca="1" si="2"/>
        <v>#REF!</v>
      </c>
    </row>
    <row r="12" spans="1:6" ht="14.25">
      <c r="A12" s="260"/>
      <c r="B12" s="3110" t="e">
        <f t="shared" ca="1" si="0"/>
        <v>#REF!</v>
      </c>
      <c r="C12" s="3106" t="s">
        <v>2951</v>
      </c>
      <c r="D12" s="1881"/>
      <c r="E12" s="3111" t="e">
        <f t="shared" ca="1" si="1"/>
        <v>#REF!</v>
      </c>
      <c r="F12" s="3111" t="e">
        <f t="shared" ca="1" si="2"/>
        <v>#REF!</v>
      </c>
    </row>
    <row r="13" spans="1:6" ht="14.25">
      <c r="A13" s="260"/>
      <c r="B13" s="3110" t="e">
        <f t="shared" ca="1" si="0"/>
        <v>#REF!</v>
      </c>
      <c r="C13" s="3106" t="s">
        <v>2951</v>
      </c>
      <c r="D13" s="1881"/>
      <c r="E13" s="3111" t="e">
        <f t="shared" ca="1" si="1"/>
        <v>#REF!</v>
      </c>
      <c r="F13" s="3111" t="e">
        <f t="shared" ca="1" si="2"/>
        <v>#REF!</v>
      </c>
    </row>
    <row r="14" spans="1:6" ht="14.25">
      <c r="A14" s="3104"/>
      <c r="B14" s="3110" t="e">
        <f t="shared" ca="1" si="0"/>
        <v>#REF!</v>
      </c>
      <c r="C14" s="3106" t="s">
        <v>2951</v>
      </c>
      <c r="D14" s="1881"/>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8" t="s">
        <v>2465</v>
      </c>
      <c r="C8" s="1825">
        <f ca="1">ROUND(F8*F10*F9*(1-F11)/10000,0)</f>
        <v>0</v>
      </c>
      <c r="D8" s="1822" t="s">
        <v>2536</v>
      </c>
      <c r="E8" s="61" t="s">
        <v>636</v>
      </c>
      <c r="F8" s="785">
        <f ca="1">INDIRECT("'数据-取费表'!u"&amp;$G$1)</f>
        <v>0</v>
      </c>
      <c r="G8" s="1591"/>
      <c r="H8" s="2504" t="s">
        <v>1824</v>
      </c>
      <c r="I8" s="3448" t="s">
        <v>2465</v>
      </c>
      <c r="J8" s="783">
        <f ca="1">ROUND(M8*M10*M9*(1-M11)/10000,0)</f>
        <v>0</v>
      </c>
      <c r="K8" s="341" t="s">
        <v>2536</v>
      </c>
      <c r="L8" s="784" t="s">
        <v>1738</v>
      </c>
      <c r="M8" s="785">
        <f ca="1">INDIRECT("'数据-取费表'!z"&amp;$G$1)</f>
        <v>0</v>
      </c>
    </row>
    <row r="9" spans="1:25" ht="18" customHeight="1">
      <c r="A9" s="2500"/>
      <c r="B9" s="3449"/>
      <c r="C9" s="1826"/>
      <c r="D9" s="1823"/>
      <c r="E9" s="61" t="s">
        <v>637</v>
      </c>
      <c r="F9" s="785">
        <f ca="1">IF(INDIRECT("'数据-取费表'!ah"&amp;$G$1)="",INDIRECT("'数据-取费表'!k"&amp;$G$1),INDIRECT("'数据-取费表'!ah"&amp;$G$1))</f>
        <v>0</v>
      </c>
      <c r="G9" s="1591"/>
      <c r="H9" s="2489"/>
      <c r="I9" s="3449"/>
      <c r="J9" s="788"/>
      <c r="K9" s="789"/>
      <c r="L9" s="784" t="s">
        <v>1739</v>
      </c>
      <c r="M9" s="785">
        <f ca="1">F9</f>
        <v>0</v>
      </c>
    </row>
    <row r="10" spans="1:25" ht="18" customHeight="1">
      <c r="A10" s="2493"/>
      <c r="B10" s="3450"/>
      <c r="C10" s="1826"/>
      <c r="D10" s="1823"/>
      <c r="E10" s="61" t="s">
        <v>638</v>
      </c>
      <c r="F10" s="785">
        <f ca="1">INDIRECT("'数据-取费表'!ai"&amp;$G$1)</f>
        <v>0</v>
      </c>
      <c r="G10" s="1591"/>
      <c r="H10" s="2489"/>
      <c r="I10" s="3450"/>
      <c r="J10" s="788"/>
      <c r="K10" s="789"/>
      <c r="L10" s="784" t="s">
        <v>1740</v>
      </c>
      <c r="M10" s="785">
        <f ca="1">INDIRECT("'数据-取费表'!ai"&amp;$G$1)</f>
        <v>0</v>
      </c>
    </row>
    <row r="11" spans="1:25" ht="18" customHeight="1">
      <c r="A11" s="786"/>
      <c r="B11" s="3451"/>
      <c r="C11" s="1826"/>
      <c r="D11" s="1823"/>
      <c r="E11" s="61" t="s">
        <v>639</v>
      </c>
      <c r="F11" s="794">
        <f ca="1">INDIRECT("'数据-取费表'!w"&amp;$G$1)</f>
        <v>0</v>
      </c>
      <c r="G11" s="1591"/>
      <c r="H11" s="2505"/>
      <c r="I11" s="3450"/>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5.3000000000000005E-2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12</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0"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5.0500000000000003E-2</v>
      </c>
      <c r="D30" s="812" t="s">
        <v>708</v>
      </c>
      <c r="E30" s="784" t="s">
        <v>648</v>
      </c>
      <c r="F30" s="809">
        <f>'数据-取费表'!B41</f>
        <v>5.3000000000000005E-2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1"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5.3000000000000005E-2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12</v>
      </c>
      <c r="G36" s="2062"/>
      <c r="H36" s="2065"/>
      <c r="I36" s="3447"/>
      <c r="J36" s="2079"/>
      <c r="K36" s="2080"/>
      <c r="L36" s="2079"/>
      <c r="M36" s="2079"/>
    </row>
    <row r="37" spans="1:18" ht="18" customHeight="1">
      <c r="A37" s="815"/>
      <c r="B37" s="793"/>
      <c r="C37" s="69"/>
      <c r="D37" s="816"/>
      <c r="E37" s="784" t="s">
        <v>673</v>
      </c>
      <c r="F37" s="785">
        <f ca="1">INDIRECT("'数据-取费表'!r"&amp;$G$1)</f>
        <v>0</v>
      </c>
      <c r="G37" s="2062"/>
      <c r="H37" s="2065"/>
      <c r="I37" s="3447"/>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2" t="s">
        <v>2968</v>
      </c>
      <c r="F43" s="3123">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7">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4"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0" t="str">
        <f ca="1">IF(M48="住宅",0,IF(L49&gt;J52,L61,J61))</f>
        <v>0</v>
      </c>
      <c r="O47" s="2394" t="s">
        <v>2412</v>
      </c>
      <c r="P47" s="1591"/>
      <c r="Q47" s="1603"/>
      <c r="R47" s="1591"/>
    </row>
    <row r="48" spans="1:18" s="2059" customFormat="1" ht="18" customHeight="1" thickBot="1">
      <c r="A48" s="2084"/>
      <c r="C48" s="2087"/>
      <c r="D48" s="2088"/>
      <c r="E48" s="2088"/>
      <c r="F48" s="2089"/>
      <c r="G48" s="2090"/>
      <c r="I48" s="3150" t="s">
        <v>2346</v>
      </c>
      <c r="J48" s="2381"/>
      <c r="K48" s="3157" t="s">
        <v>2351</v>
      </c>
      <c r="L48" s="3161">
        <f ca="1">INDIRECT("'数据-取费表'!d"&amp;$G$1)</f>
        <v>0</v>
      </c>
      <c r="M48" s="3121"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6" t="s">
        <v>2347</v>
      </c>
      <c r="J49" s="2382"/>
      <c r="K49" s="3158"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6" t="s">
        <v>2348</v>
      </c>
      <c r="J50" s="2383"/>
      <c r="K50" s="3159"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6" t="s">
        <v>2349</v>
      </c>
      <c r="J51" s="3154">
        <f>SUMPRODUCT((I64:I66=J48)*(J63:L63=J49)*(J64:L66))</f>
        <v>0</v>
      </c>
      <c r="K51" s="3159" t="s">
        <v>2355</v>
      </c>
      <c r="L51" s="2384"/>
      <c r="O51" s="2401" t="s">
        <v>2385</v>
      </c>
      <c r="P51" s="2399" t="s">
        <v>2409</v>
      </c>
      <c r="Q51" s="2400">
        <f ca="1">C31</f>
        <v>0</v>
      </c>
      <c r="R51" s="2399" t="s">
        <v>2382</v>
      </c>
    </row>
    <row r="52" spans="1:18" s="2059" customFormat="1" ht="18" customHeight="1" thickBot="1">
      <c r="A52" s="2096"/>
      <c r="F52" s="2085"/>
      <c r="I52" s="3151" t="s">
        <v>2350</v>
      </c>
      <c r="J52" s="3155">
        <f>IF(J50="",J51,J50+J51-YEAR('数据-取费表'!B3))</f>
        <v>0</v>
      </c>
      <c r="K52" s="3126" t="s">
        <v>2356</v>
      </c>
      <c r="L52" s="3162">
        <f ca="1">ROUND(-PV(INDIRECT("'数据-取费表'!h"&amp;$G$1),L49,(C40-C14*J36),0),0)</f>
        <v>0</v>
      </c>
      <c r="O52" s="2401" t="s">
        <v>2386</v>
      </c>
      <c r="P52" s="2399" t="s">
        <v>2387</v>
      </c>
      <c r="Q52" s="2402" t="e">
        <f ca="1">J59</f>
        <v>#VALUE!</v>
      </c>
      <c r="R52" s="2403"/>
    </row>
    <row r="53" spans="1:18" s="2059" customFormat="1" ht="18" customHeight="1" thickBot="1">
      <c r="A53" s="2096"/>
      <c r="F53" s="2085"/>
      <c r="I53" s="3152" t="s">
        <v>2423</v>
      </c>
      <c r="J53" s="2385"/>
      <c r="K53" s="3152" t="s">
        <v>2422</v>
      </c>
      <c r="L53" s="2385"/>
      <c r="O53" s="2401" t="s">
        <v>2388</v>
      </c>
      <c r="P53" s="2399" t="s">
        <v>2389</v>
      </c>
      <c r="Q53" s="2402">
        <f>J53</f>
        <v>0</v>
      </c>
      <c r="R53" s="2403"/>
    </row>
    <row r="54" spans="1:18" s="2059" customFormat="1" ht="29.25" thickBot="1">
      <c r="A54" s="2096"/>
      <c r="I54" s="3153" t="s">
        <v>2985</v>
      </c>
      <c r="J54" s="3156">
        <f ca="1">IF(M48="住宅",MAX(J52,L49-'数据-取费表'!B20),MIN(J52,L49-'数据-取费表'!B20))</f>
        <v>-2</v>
      </c>
      <c r="K54" s="3452"/>
      <c r="L54" s="3453"/>
      <c r="O54" s="2401" t="s">
        <v>2390</v>
      </c>
      <c r="P54" s="2399" t="s">
        <v>2391</v>
      </c>
      <c r="Q54" s="2400">
        <f ca="1">J54</f>
        <v>-2</v>
      </c>
      <c r="R54" s="2399" t="s">
        <v>2392</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2393</v>
      </c>
      <c r="P55" s="2399" t="s">
        <v>2410</v>
      </c>
      <c r="Q55" s="2400">
        <f ca="1">Q49+Q50</f>
        <v>0</v>
      </c>
      <c r="R55" s="2403" t="s">
        <v>2394</v>
      </c>
    </row>
    <row r="56" spans="1:18" s="2059" customFormat="1" ht="16.5" thickBot="1">
      <c r="A56" s="2096"/>
      <c r="B56" s="2097"/>
      <c r="C56" s="2097"/>
      <c r="I56" s="3165" t="s">
        <v>2357</v>
      </c>
      <c r="J56" s="3101" t="e">
        <f ca="1">ROUND(IF(J48="钢混",J58/J51,1-(1-2%)*(J51-J58)/J51),3)</f>
        <v>#VALUE!</v>
      </c>
      <c r="K56" s="3166" t="s">
        <v>2358</v>
      </c>
      <c r="L56" s="2386"/>
      <c r="O56" s="2404" t="s">
        <v>2413</v>
      </c>
      <c r="P56" s="1591"/>
      <c r="Q56" s="1603"/>
      <c r="R56" s="1591"/>
    </row>
    <row r="57" spans="1:18" s="2059" customFormat="1" ht="43.5" thickBot="1">
      <c r="A57" s="2096"/>
      <c r="B57" s="2097"/>
      <c r="C57" s="2097"/>
      <c r="I57" s="3167" t="s">
        <v>2359</v>
      </c>
      <c r="J57" s="3177" t="s">
        <v>1678</v>
      </c>
      <c r="K57" s="3126" t="s">
        <v>2364</v>
      </c>
      <c r="L57" s="1908">
        <f ca="1">IF(L49&lt;J52,"——",L49-J52)</f>
        <v>0</v>
      </c>
      <c r="O57" s="2395" t="s">
        <v>2377</v>
      </c>
      <c r="P57" s="2396" t="s">
        <v>2378</v>
      </c>
      <c r="Q57" s="2397" t="s">
        <v>2379</v>
      </c>
      <c r="R57" s="2396" t="s">
        <v>2380</v>
      </c>
    </row>
    <row r="58" spans="1:18" s="2059" customFormat="1" ht="29.25" thickBot="1">
      <c r="A58" s="2096"/>
      <c r="B58" s="2097"/>
      <c r="C58" s="2097"/>
      <c r="I58" s="3168" t="s">
        <v>2360</v>
      </c>
      <c r="J58" s="3169" t="str">
        <f ca="1">IF(OR(M48="住宅",J52&lt;L49,J57="是"),"——",J52-L49)</f>
        <v>——</v>
      </c>
      <c r="K58" s="3126"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8" t="s">
        <v>2361</v>
      </c>
      <c r="J59" s="3102" t="e">
        <f ca="1">IF(J56&lt;0.4,0.4,J56)</f>
        <v>#VALUE!</v>
      </c>
      <c r="K59" s="3126"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8" t="s">
        <v>2362</v>
      </c>
      <c r="J60" s="3169" t="str">
        <f ca="1">IF(OR(M48="住宅",J52&lt;L49,J57="是"),"——",ROUND(C30*J59,0))</f>
        <v>——</v>
      </c>
      <c r="K60" s="3126"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0" t="s">
        <v>2363</v>
      </c>
      <c r="J61" s="3171" t="str">
        <f ca="1">IF(OR(M48="住宅",J52&lt;L49,J57="是"),"0",ROUND(J60/(1+J53)^J54,0))</f>
        <v>0</v>
      </c>
      <c r="K61" s="3172" t="s">
        <v>2368</v>
      </c>
      <c r="L61" s="3171"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3" t="s">
        <v>2369</v>
      </c>
      <c r="J63" s="3174" t="s">
        <v>2370</v>
      </c>
      <c r="K63" s="3174" t="s">
        <v>2371</v>
      </c>
      <c r="L63" s="3174" t="s">
        <v>2352</v>
      </c>
      <c r="M63" s="3175" t="s">
        <v>2948</v>
      </c>
      <c r="O63" s="2401" t="s">
        <v>2390</v>
      </c>
      <c r="P63" s="2399" t="s">
        <v>2398</v>
      </c>
      <c r="Q63" s="2400">
        <f ca="1">L60</f>
        <v>0</v>
      </c>
      <c r="R63" s="2403" t="s">
        <v>2399</v>
      </c>
    </row>
    <row r="64" spans="1:18" s="2059" customFormat="1" ht="15.75" thickBot="1">
      <c r="A64" s="2096"/>
      <c r="B64" s="2097"/>
      <c r="C64" s="2097"/>
      <c r="I64" s="3173" t="s">
        <v>2372</v>
      </c>
      <c r="J64" s="3174">
        <v>70</v>
      </c>
      <c r="K64" s="3174">
        <v>50</v>
      </c>
      <c r="L64" s="3174">
        <v>80</v>
      </c>
      <c r="M64" s="3176">
        <v>0.02</v>
      </c>
      <c r="O64" s="2398" t="s">
        <v>2393</v>
      </c>
      <c r="P64" s="2399" t="s">
        <v>2410</v>
      </c>
      <c r="Q64" s="2400" t="e">
        <f ca="1">Q58+Q59</f>
        <v>#DIV/0!</v>
      </c>
      <c r="R64" s="2403" t="s">
        <v>2394</v>
      </c>
    </row>
    <row r="65" spans="1:18" s="2059" customFormat="1" ht="16.5" thickBot="1">
      <c r="A65" s="2096"/>
      <c r="B65" s="2097"/>
      <c r="C65" s="2097"/>
      <c r="I65" s="3173" t="s">
        <v>2373</v>
      </c>
      <c r="J65" s="3174">
        <v>50</v>
      </c>
      <c r="K65" s="3174">
        <v>35</v>
      </c>
      <c r="L65" s="3174">
        <v>60</v>
      </c>
      <c r="M65" s="846">
        <v>0</v>
      </c>
      <c r="O65" s="2404" t="s">
        <v>2417</v>
      </c>
      <c r="P65" s="1591"/>
      <c r="Q65" s="1603"/>
      <c r="R65" s="1591"/>
    </row>
    <row r="66" spans="1:18" s="2059" customFormat="1" ht="15.75" thickBot="1">
      <c r="A66" s="2096"/>
      <c r="B66" s="2097"/>
      <c r="C66" s="2097"/>
      <c r="I66" s="3173" t="s">
        <v>2374</v>
      </c>
      <c r="J66" s="3174">
        <v>40</v>
      </c>
      <c r="K66" s="3174">
        <v>30</v>
      </c>
      <c r="L66" s="3174">
        <v>50</v>
      </c>
      <c r="M66" s="3176">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0" t="s">
        <v>2578</v>
      </c>
      <c r="C1" s="3460"/>
      <c r="D1" s="3460"/>
      <c r="E1" s="3460"/>
      <c r="F1" s="3460"/>
      <c r="G1" s="3459" t="s">
        <v>2579</v>
      </c>
      <c r="H1" s="3459"/>
      <c r="I1" s="3459"/>
      <c r="J1" s="3459"/>
      <c r="K1" s="3459"/>
      <c r="L1" s="3459"/>
      <c r="N1" s="3459" t="s">
        <v>2580</v>
      </c>
      <c r="O1" s="3459"/>
      <c r="P1" s="3459"/>
      <c r="Q1" s="3459"/>
      <c r="R1" s="2654"/>
      <c r="S1" s="3459" t="s">
        <v>2581</v>
      </c>
      <c r="T1" s="3459"/>
      <c r="U1" s="3459"/>
      <c r="V1" s="3459"/>
      <c r="X1" s="3458" t="s">
        <v>2641</v>
      </c>
      <c r="Y1" s="3459"/>
      <c r="Z1" s="3459"/>
      <c r="AA1" s="3459"/>
      <c r="AB1" s="3459"/>
      <c r="AD1" s="3458" t="s">
        <v>2645</v>
      </c>
      <c r="AE1" s="3459"/>
      <c r="AF1" s="3459"/>
      <c r="AG1" s="3459"/>
      <c r="AH1" s="3459"/>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4" customFormat="1" ht="14.25">
      <c r="A3" s="3146" t="s">
        <v>2975</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4">
        <v>3</v>
      </c>
      <c r="I5" s="3128">
        <v>1.49</v>
      </c>
      <c r="J5" s="3128">
        <v>0.96</v>
      </c>
      <c r="K5" s="3128">
        <v>1.58</v>
      </c>
      <c r="L5" s="3128">
        <v>2.44</v>
      </c>
      <c r="N5" s="2762">
        <f t="shared" ref="N5" si="6">I5/100</f>
        <v>1.49E-2</v>
      </c>
      <c r="O5" s="2762">
        <f t="shared" ref="O5" si="7">J5/100</f>
        <v>9.5999999999999992E-3</v>
      </c>
      <c r="P5" s="2762">
        <f t="shared" ref="P5" si="8">K5/100</f>
        <v>1.5800000000000002E-2</v>
      </c>
      <c r="Q5" s="2762">
        <f t="shared" ref="Q5" si="9">L5/100</f>
        <v>2.4399999999999998E-2</v>
      </c>
      <c r="R5" s="3116"/>
      <c r="S5" s="3117"/>
      <c r="T5" s="3116"/>
      <c r="U5" s="3116"/>
      <c r="V5" s="3116"/>
      <c r="W5" s="3144" t="s">
        <v>2976</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7">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5"/>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5"/>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6"/>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4">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5"/>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5"/>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6"/>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4">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5"/>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5"/>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6"/>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2585</v>
      </c>
      <c r="B24" s="2661">
        <v>299</v>
      </c>
      <c r="C24" s="2661">
        <v>252</v>
      </c>
      <c r="D24" s="2661">
        <f t="shared" si="45"/>
        <v>252</v>
      </c>
      <c r="E24" s="2661">
        <v>409</v>
      </c>
      <c r="F24" s="2662">
        <v>227</v>
      </c>
      <c r="G24" s="346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4">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5"/>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5"/>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6"/>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4">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5">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5">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6">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4">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5">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5">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6">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4">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5">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5">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6">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4">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5">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5">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6">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4">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5">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5">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6">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4">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5">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5">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6">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4">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5">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5">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6">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4">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5">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5">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6">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4">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5">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5">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6">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4">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5">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5">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6">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47336平方米。根据《建设工程规划许可证》[]、《出让合同》[]，估价对象规划建筑面积为142008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2018年12月12日（评估专业人员勘察现场之日）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根据《国有土地使用证》[]，估价对象（分摊）出让国有建设用地使用权面积为47336平方米。根据《建设工程规划许可证》[]、《出让合同》[]，估价对象规划建筑面积为142008平方米。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本次估价对象为出让国有建设用地使用权，《国有土地使用证》[]证载土地终止日期为住宅2086年3月24日、商业2056年3月24日。截至估价期日，出让国有建设用地使用权剩余土地使用年限为。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E34" sqref="E3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2994</v>
      </c>
      <c r="D1" s="3125" t="s">
        <v>3049</v>
      </c>
      <c r="E1" s="2387" t="s">
        <v>2376</v>
      </c>
      <c r="F1" s="2388">
        <f ca="1">J53</f>
        <v>35.299999999999997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27767</v>
      </c>
      <c r="C2" s="2057"/>
      <c r="D2" s="2055"/>
      <c r="E2" s="2056"/>
      <c r="F2" s="2056"/>
      <c r="G2" s="1589"/>
      <c r="H2" s="2057"/>
      <c r="I2" s="2057"/>
      <c r="J2" s="2057"/>
      <c r="K2" s="2058"/>
      <c r="L2" s="2057"/>
      <c r="M2" s="2057"/>
    </row>
    <row r="3" spans="1:33" ht="18" customHeight="1" thickBot="1">
      <c r="A3" s="833" t="s">
        <v>1727</v>
      </c>
      <c r="B3" s="834">
        <f ca="1">IF(ISERROR(B2*10000/F43),0,ROUND(B2*10000/F43,0))</f>
        <v>9776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1866</v>
      </c>
      <c r="D5" s="2496" t="s">
        <v>2463</v>
      </c>
      <c r="E5" s="2490"/>
      <c r="F5" s="2491"/>
      <c r="G5" s="1591"/>
      <c r="H5" s="781">
        <v>1</v>
      </c>
      <c r="I5" s="782" t="s">
        <v>2460</v>
      </c>
      <c r="J5" s="55">
        <f ca="1">J6+J10+J12</f>
        <v>0</v>
      </c>
      <c r="K5" s="2496" t="s">
        <v>2463</v>
      </c>
      <c r="L5" s="2490"/>
      <c r="M5" s="2491"/>
    </row>
    <row r="6" spans="1:33" ht="18" customHeight="1">
      <c r="A6" s="1830" t="s">
        <v>1824</v>
      </c>
      <c r="B6" s="3448" t="s">
        <v>2465</v>
      </c>
      <c r="C6" s="783">
        <f ca="1">ROUND(F6*F8*F7*(1-F9)/10000,0)</f>
        <v>1866</v>
      </c>
      <c r="D6" s="2497" t="s">
        <v>2464</v>
      </c>
      <c r="E6" s="784" t="s">
        <v>1738</v>
      </c>
      <c r="F6" s="785">
        <f ca="1">INDIRECT("'数据-取费表'!u"&amp;$G$1)</f>
        <v>2</v>
      </c>
      <c r="G6" s="1591"/>
      <c r="H6" s="2504" t="s">
        <v>2470</v>
      </c>
      <c r="I6" s="3448" t="s">
        <v>2465</v>
      </c>
      <c r="J6" s="783">
        <f ca="1">ROUND(M6*M8*M7*(1-M9)/10000,0)</f>
        <v>0</v>
      </c>
      <c r="K6" s="341" t="s">
        <v>1737</v>
      </c>
      <c r="L6" s="784" t="s">
        <v>1738</v>
      </c>
      <c r="M6" s="785">
        <f ca="1">INDIRECT("'数据-取费表'!z"&amp;$G$1)</f>
        <v>0</v>
      </c>
    </row>
    <row r="7" spans="1:33" ht="18" customHeight="1">
      <c r="A7" s="2500"/>
      <c r="B7" s="3449"/>
      <c r="C7" s="788"/>
      <c r="D7" s="789"/>
      <c r="E7" s="784" t="s">
        <v>1739</v>
      </c>
      <c r="F7" s="785">
        <f ca="1">IF(INDIRECT("'数据-取费表'!ah"&amp;$G$1)="",INDIRECT("'数据-取费表'!k"&amp;$G$1),INDIRECT("'数据-取费表'!ah"&amp;$G$1))</f>
        <v>28402</v>
      </c>
      <c r="G7" s="1591"/>
      <c r="H7" s="2489"/>
      <c r="I7" s="3449"/>
      <c r="J7" s="788"/>
      <c r="K7" s="789"/>
      <c r="L7" s="784" t="s">
        <v>1739</v>
      </c>
      <c r="M7" s="785">
        <f ca="1">F7</f>
        <v>28402</v>
      </c>
    </row>
    <row r="8" spans="1:33" ht="18" customHeight="1">
      <c r="A8" s="2493"/>
      <c r="B8" s="3450"/>
      <c r="C8" s="788"/>
      <c r="D8" s="789"/>
      <c r="E8" s="784" t="s">
        <v>1740</v>
      </c>
      <c r="F8" s="785">
        <f ca="1">INDIRECT("'数据-取费表'!ai"&amp;$G$1)</f>
        <v>365</v>
      </c>
      <c r="G8" s="1591"/>
      <c r="H8" s="2489"/>
      <c r="I8" s="3450"/>
      <c r="J8" s="788"/>
      <c r="K8" s="789"/>
      <c r="L8" s="784" t="s">
        <v>1740</v>
      </c>
      <c r="M8" s="785">
        <f ca="1">INDIRECT("'数据-取费表'!ai"&amp;$G$1)</f>
        <v>365</v>
      </c>
    </row>
    <row r="9" spans="1:33" ht="18" customHeight="1">
      <c r="A9" s="786"/>
      <c r="B9" s="3451"/>
      <c r="C9" s="788"/>
      <c r="D9" s="789"/>
      <c r="E9" s="784" t="s">
        <v>1741</v>
      </c>
      <c r="F9" s="794">
        <f ca="1">INDIRECT("'数据-取费表'!w"&amp;$G$1)</f>
        <v>0.1</v>
      </c>
      <c r="G9" s="1591"/>
      <c r="H9" s="2505"/>
      <c r="I9" s="3450"/>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0</v>
      </c>
      <c r="D13" s="1834" t="s">
        <v>2299</v>
      </c>
      <c r="E13" s="1834" t="s">
        <v>1744</v>
      </c>
      <c r="F13" s="2536">
        <f ca="1">INDIRECT("'数据-取费表'!y"&amp;$G$1)</f>
        <v>0</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8521</v>
      </c>
      <c r="D14" s="1979" t="s">
        <v>1745</v>
      </c>
      <c r="E14" s="1980"/>
      <c r="F14" s="805"/>
      <c r="G14" s="1591"/>
      <c r="H14" s="1648" t="s">
        <v>1830</v>
      </c>
      <c r="I14" s="2231" t="s">
        <v>2828</v>
      </c>
      <c r="J14" s="53">
        <f ca="1">C29</f>
        <v>13037</v>
      </c>
      <c r="K14" s="26"/>
      <c r="L14" s="801"/>
      <c r="M14" s="802"/>
    </row>
    <row r="15" spans="1:33" s="2064" customFormat="1" ht="18" customHeight="1" thickBot="1">
      <c r="A15" s="1647" t="s">
        <v>1885</v>
      </c>
      <c r="B15" s="784" t="s">
        <v>646</v>
      </c>
      <c r="C15" s="53">
        <f ca="1">ROUND(C14*F15,0)</f>
        <v>256</v>
      </c>
      <c r="D15" s="806" t="s">
        <v>1746</v>
      </c>
      <c r="E15" s="806" t="s">
        <v>1747</v>
      </c>
      <c r="F15" s="807">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1302</v>
      </c>
      <c r="K16" s="1821" t="s">
        <v>1750</v>
      </c>
      <c r="L16" s="2486"/>
      <c r="M16" s="2491"/>
    </row>
    <row r="17" spans="1:33" s="2064" customFormat="1" ht="18" customHeight="1">
      <c r="A17" s="1647" t="s">
        <v>1887</v>
      </c>
      <c r="B17" s="784" t="s">
        <v>652</v>
      </c>
      <c r="C17" s="53">
        <f ca="1">ROUND(F17*(F43+INDIRECT("'数据-取费表'!S"&amp;$G$1))/10000,0)</f>
        <v>568</v>
      </c>
      <c r="D17" s="784" t="s">
        <v>1751</v>
      </c>
      <c r="E17" s="784" t="s">
        <v>1752</v>
      </c>
      <c r="F17" s="56">
        <f>'数据-取费表'!B35</f>
        <v>200</v>
      </c>
      <c r="G17" s="1592"/>
      <c r="H17" s="1648" t="s">
        <v>1830</v>
      </c>
      <c r="I17" s="784" t="s">
        <v>655</v>
      </c>
      <c r="J17" s="53">
        <f ca="1">ROUND(IF(项目基本情况!B11="自然人",J5*M17,J18+J19+J20),0)</f>
        <v>1106</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128</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5.3000000000000005E-2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9473</v>
      </c>
      <c r="D19" s="261" t="s">
        <v>1757</v>
      </c>
      <c r="E19" s="1982"/>
      <c r="F19" s="56"/>
      <c r="G19" s="1591"/>
      <c r="H19" s="1647" t="s">
        <v>1885</v>
      </c>
      <c r="I19" s="784" t="s">
        <v>1758</v>
      </c>
      <c r="J19" s="53">
        <f ca="1">IF(K19="按租金收入计税",ROUND(J5*M19,1),ROUND(C29*F33*0.7,1))</f>
        <v>1095.0999999999999</v>
      </c>
      <c r="K19" s="811" t="s">
        <v>664</v>
      </c>
      <c r="L19" s="784" t="s">
        <v>1747</v>
      </c>
      <c r="M19" s="809">
        <f>IF(K19="按租金收入计税",'数据-取费表'!B51,'数据-取费表'!B50)</f>
        <v>1.2E-2</v>
      </c>
    </row>
    <row r="20" spans="1:33" s="2064" customFormat="1" ht="18" customHeight="1">
      <c r="A20" s="1648" t="s">
        <v>1889</v>
      </c>
      <c r="B20" s="784" t="s">
        <v>665</v>
      </c>
      <c r="C20" s="53">
        <f ca="1">ROUND(C19*F20,0)</f>
        <v>189</v>
      </c>
      <c r="D20" s="812" t="s">
        <v>1759</v>
      </c>
      <c r="E20" s="784" t="s">
        <v>1747</v>
      </c>
      <c r="F20" s="809">
        <f>'数据-取费表'!B37</f>
        <v>0.02</v>
      </c>
      <c r="G20" s="1592"/>
      <c r="H20" s="1650" t="s">
        <v>1880</v>
      </c>
      <c r="I20" s="341" t="s">
        <v>1760</v>
      </c>
      <c r="J20" s="54">
        <f ca="1">ROUND(M20*M21/10000,0)</f>
        <v>11</v>
      </c>
      <c r="K20" s="814" t="s">
        <v>1761</v>
      </c>
      <c r="L20" s="784" t="s">
        <v>1762</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0.02</v>
      </c>
      <c r="G21" s="1592"/>
      <c r="H21" s="2506"/>
      <c r="I21" s="793"/>
      <c r="J21" s="69"/>
      <c r="K21" s="816"/>
      <c r="L21" s="784" t="s">
        <v>1766</v>
      </c>
      <c r="M21" s="785">
        <f ca="1">INDIRECT("'数据-取费表'!r"&amp;$G$1)</f>
        <v>9467.33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196</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459</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09" t="s">
        <v>2824</v>
      </c>
      <c r="J25" s="792">
        <f ca="1">J5-J16</f>
        <v>-1302</v>
      </c>
      <c r="K25" s="2548" t="s">
        <v>1777</v>
      </c>
      <c r="L25" s="2549"/>
      <c r="M25" s="2550"/>
    </row>
    <row r="26" spans="1:33" ht="18" customHeight="1">
      <c r="A26" s="1647" t="s">
        <v>1831</v>
      </c>
      <c r="B26" s="784" t="s">
        <v>2440</v>
      </c>
      <c r="C26" s="53">
        <f ca="1">ROUND((C19+C20)*F26,0)</f>
        <v>1932</v>
      </c>
      <c r="D26" s="812" t="s">
        <v>1778</v>
      </c>
      <c r="E26" s="795" t="s">
        <v>1779</v>
      </c>
      <c r="F26" s="794">
        <f ca="1">INDIRECT("'数据-取费表'!q"&amp;$G$1)</f>
        <v>0.2</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4.0000000000000001E-3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5.0500000000000003E-2</v>
      </c>
      <c r="D28" s="812" t="s">
        <v>2301</v>
      </c>
      <c r="E28" s="784" t="s">
        <v>1785</v>
      </c>
      <c r="F28" s="809">
        <f>'数据-取费表'!B41</f>
        <v>5.3000000000000005E-2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13037</v>
      </c>
      <c r="D29" s="2545"/>
      <c r="E29" s="2546"/>
      <c r="F29" s="2547"/>
      <c r="G29" s="1592"/>
      <c r="H29" s="823" t="s">
        <v>1787</v>
      </c>
      <c r="I29" s="824" t="s">
        <v>1788</v>
      </c>
      <c r="J29" s="825">
        <f ca="1">ROUND(J26/(1+F40)^F41,0)</f>
        <v>0</v>
      </c>
      <c r="K29" s="826" t="s">
        <v>1789</v>
      </c>
      <c r="L29" s="827"/>
      <c r="M29" s="828">
        <f ca="1">INDIRECT("'数据-取费表'!k"&amp;$G$1)</f>
        <v>28402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562</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329.5</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94.2</v>
      </c>
      <c r="D32" s="1977" t="s">
        <v>1795</v>
      </c>
      <c r="E32" s="784" t="s">
        <v>1796</v>
      </c>
      <c r="F32" s="809">
        <f>'数据-取费表'!B41</f>
        <v>5.3000000000000005E-2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223.9</v>
      </c>
      <c r="D33" s="811" t="s">
        <v>3061</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11.4</v>
      </c>
      <c r="D34" s="814" t="s">
        <v>1799</v>
      </c>
      <c r="E34" s="784" t="s">
        <v>1800</v>
      </c>
      <c r="F34" s="640">
        <f>'数据-取费表'!B52</f>
        <v>12</v>
      </c>
      <c r="G34" s="2062"/>
      <c r="H34" s="2065"/>
      <c r="I34" s="835" t="s">
        <v>1813</v>
      </c>
      <c r="J34" s="836"/>
      <c r="K34" s="2080"/>
      <c r="L34" s="2079"/>
      <c r="M34" s="2079"/>
    </row>
    <row r="35" spans="1:18" ht="18" customHeight="1">
      <c r="A35" s="815"/>
      <c r="B35" s="793"/>
      <c r="C35" s="69"/>
      <c r="D35" s="816"/>
      <c r="E35" s="784" t="s">
        <v>1801</v>
      </c>
      <c r="F35" s="785">
        <f ca="1">INDIRECT("'数据-取费表'!r"&amp;$G$1)</f>
        <v>9467.33</v>
      </c>
      <c r="G35" s="2062"/>
      <c r="H35" s="2065"/>
      <c r="I35" s="837" t="s">
        <v>1814</v>
      </c>
      <c r="J35" s="838">
        <f ca="1">ROUND(C13*J36,0)</f>
        <v>0</v>
      </c>
      <c r="K35" s="2078"/>
      <c r="L35" s="2077"/>
      <c r="M35" s="2077"/>
    </row>
    <row r="36" spans="1:18" ht="18" customHeight="1">
      <c r="A36" s="1648" t="s">
        <v>1889</v>
      </c>
      <c r="B36" s="784" t="s">
        <v>1802</v>
      </c>
      <c r="C36" s="53">
        <f ca="1">ROUND(C29*F36,1)</f>
        <v>195.6</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37.299999999999997</v>
      </c>
      <c r="D38" s="2545" t="s">
        <v>1805</v>
      </c>
      <c r="E38" s="2546" t="s">
        <v>1796</v>
      </c>
      <c r="F38" s="2542">
        <f ca="1">INDIRECT("'数据-取费表'!Am"&amp;$G$1)</f>
        <v>0.02</v>
      </c>
      <c r="G38" s="2062"/>
      <c r="H38" s="2077"/>
      <c r="I38" s="843" t="s">
        <v>1817</v>
      </c>
      <c r="J38" s="844"/>
      <c r="K38" s="2083"/>
      <c r="L38" s="2077"/>
      <c r="M38" s="2077"/>
    </row>
    <row r="39" spans="1:18" ht="24.6" customHeight="1" thickTop="1">
      <c r="A39" s="1829" t="s">
        <v>1894</v>
      </c>
      <c r="B39" s="3009" t="s">
        <v>2824</v>
      </c>
      <c r="C39" s="792">
        <f ca="1">C5-C30</f>
        <v>1304</v>
      </c>
      <c r="D39" s="2548" t="s">
        <v>1806</v>
      </c>
      <c r="E39" s="2549"/>
      <c r="F39" s="2550"/>
      <c r="G39" s="2062"/>
      <c r="H39" s="2077"/>
      <c r="I39" s="837" t="s">
        <v>1818</v>
      </c>
      <c r="J39" s="845">
        <f ca="1">ROUND(J35/C39,3)</f>
        <v>0</v>
      </c>
      <c r="K39" s="2083"/>
      <c r="L39" s="2077"/>
      <c r="M39" s="2077"/>
    </row>
    <row r="40" spans="1:18" ht="18" customHeight="1">
      <c r="A40" s="781" t="s">
        <v>1895</v>
      </c>
      <c r="B40" s="2232" t="s">
        <v>2303</v>
      </c>
      <c r="C40" s="783">
        <f ca="1">ROUND(C39*(1-((1+F42)/(1+F40))^F41)/(F40-F42),0)</f>
        <v>27767</v>
      </c>
      <c r="D40" s="814" t="s">
        <v>1807</v>
      </c>
      <c r="E40" s="784" t="s">
        <v>2421</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35.299999999999997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v>
      </c>
      <c r="K42" s="2082"/>
      <c r="L42" s="1988"/>
      <c r="M42" s="1988"/>
    </row>
    <row r="43" spans="1:18" ht="18" customHeight="1" thickBot="1">
      <c r="A43" s="823" t="s">
        <v>1787</v>
      </c>
      <c r="B43" s="824" t="s">
        <v>1810</v>
      </c>
      <c r="C43" s="825">
        <f ca="1">ROUND(C40*10000/F43,0)</f>
        <v>9776</v>
      </c>
      <c r="D43" s="826" t="s">
        <v>1811</v>
      </c>
      <c r="E43" s="827" t="s">
        <v>1812</v>
      </c>
      <c r="F43" s="828">
        <f ca="1">INDIRECT("'数据-取费表'!k"&amp;$G$1)</f>
        <v>28402</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-30962</v>
      </c>
      <c r="D46" s="2085"/>
      <c r="E46" s="2085"/>
      <c r="F46" s="2085"/>
      <c r="I46" s="2378" t="s">
        <v>2345</v>
      </c>
      <c r="J46" s="2379"/>
      <c r="K46" s="2380"/>
      <c r="L46" s="3160">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0" t="s">
        <v>2346</v>
      </c>
      <c r="J47" s="2381" t="s">
        <v>3010</v>
      </c>
      <c r="K47" s="3157" t="s">
        <v>2351</v>
      </c>
      <c r="L47" s="3161">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6" t="s">
        <v>2347</v>
      </c>
      <c r="J48" s="2382" t="s">
        <v>2352</v>
      </c>
      <c r="K48" s="3158" t="s">
        <v>2353</v>
      </c>
      <c r="L48" s="1908">
        <f ca="1">INDIRECT("'数据-取费表'!f"&amp;$G$1)</f>
        <v>37.299999999999997</v>
      </c>
      <c r="O48" s="2398" t="s">
        <v>2381</v>
      </c>
      <c r="P48" s="2399" t="s">
        <v>2407</v>
      </c>
      <c r="Q48" s="2400">
        <f ca="1">C40+J29</f>
        <v>27767</v>
      </c>
      <c r="R48" s="2399" t="s">
        <v>2382</v>
      </c>
    </row>
    <row r="49" spans="1:18" s="2059" customFormat="1" ht="18" customHeight="1" thickBot="1">
      <c r="A49" s="786"/>
      <c r="B49" s="787"/>
      <c r="C49" s="788"/>
      <c r="D49" s="789"/>
      <c r="E49" s="784" t="s">
        <v>1739</v>
      </c>
      <c r="F49" s="785">
        <f ca="1">F7</f>
        <v>28402</v>
      </c>
      <c r="G49" s="2090"/>
      <c r="H49" s="2093"/>
      <c r="I49" s="3126" t="s">
        <v>2348</v>
      </c>
      <c r="J49" s="2383"/>
      <c r="K49" s="3159" t="s">
        <v>2354</v>
      </c>
      <c r="L49" s="2384"/>
      <c r="O49" s="2398" t="s">
        <v>2383</v>
      </c>
      <c r="P49" s="2399" t="s">
        <v>2408</v>
      </c>
      <c r="Q49" s="2400">
        <f ca="1">J60</f>
        <v>249</v>
      </c>
      <c r="R49" s="2399" t="s">
        <v>2384</v>
      </c>
    </row>
    <row r="50" spans="1:18" s="2059" customFormat="1" ht="18" customHeight="1" thickBot="1">
      <c r="A50" s="786"/>
      <c r="B50" s="787"/>
      <c r="C50" s="788"/>
      <c r="D50" s="789"/>
      <c r="E50" s="784" t="s">
        <v>1740</v>
      </c>
      <c r="F50" s="785">
        <f ca="1">F8</f>
        <v>365</v>
      </c>
      <c r="G50" s="2095"/>
      <c r="H50" s="2093"/>
      <c r="I50" s="3126" t="s">
        <v>2349</v>
      </c>
      <c r="J50" s="3154">
        <f>SUMPRODUCT((I63:I65=J47)*(J62:L62=J48)*(J63:L65))</f>
        <v>60</v>
      </c>
      <c r="K50" s="3159" t="s">
        <v>2355</v>
      </c>
      <c r="L50" s="2384"/>
      <c r="O50" s="2401" t="s">
        <v>2385</v>
      </c>
      <c r="P50" s="2399" t="s">
        <v>2409</v>
      </c>
      <c r="Q50" s="2400">
        <f ca="1">C29</f>
        <v>13037</v>
      </c>
      <c r="R50" s="2399" t="s">
        <v>2382</v>
      </c>
    </row>
    <row r="51" spans="1:18" s="2059" customFormat="1" ht="18" customHeight="1" thickBot="1">
      <c r="A51" s="786"/>
      <c r="B51" s="787"/>
      <c r="C51" s="788"/>
      <c r="D51" s="789"/>
      <c r="E51" s="784" t="s">
        <v>639</v>
      </c>
      <c r="F51" s="2371"/>
      <c r="H51" s="2093"/>
      <c r="I51" s="3151" t="s">
        <v>2350</v>
      </c>
      <c r="J51" s="3155">
        <f>IF(J49="",J50,J49+J50-YEAR('数据-取费表'!B2))</f>
        <v>60</v>
      </c>
      <c r="K51" s="3126" t="s">
        <v>2356</v>
      </c>
      <c r="L51" s="3162">
        <f ca="1">ROUND(-PV(INDIRECT("'数据-取费表'!h"&amp;$G$1),L48,(C39-C13*J36),0),0)</f>
        <v>21854</v>
      </c>
      <c r="O51" s="2401" t="s">
        <v>2386</v>
      </c>
      <c r="P51" s="2399" t="s">
        <v>2387</v>
      </c>
      <c r="Q51" s="2402">
        <f ca="1">J58</f>
        <v>0.4</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2" t="s">
        <v>2423</v>
      </c>
      <c r="J52" s="2385">
        <v>0.09</v>
      </c>
      <c r="K52" s="3152"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3" t="s">
        <v>2985</v>
      </c>
      <c r="J53" s="3156">
        <f ca="1">IF(M47="住宅",IF(D1="——",MAX(J51,L48),MAX(J51,L48-'数据-取费表'!B20)),IF(D1="——",MIN(J51,L48),MIN(J51,L48-'数据-取费表'!B20)))</f>
        <v>35.299999999999997</v>
      </c>
      <c r="K53" s="3464" t="s">
        <v>2972</v>
      </c>
      <c r="L53" s="3465"/>
      <c r="O53" s="2401" t="s">
        <v>2390</v>
      </c>
      <c r="P53" s="2399" t="s">
        <v>2391</v>
      </c>
      <c r="Q53" s="2400">
        <f ca="1">J53</f>
        <v>35.299999999999997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28016</v>
      </c>
      <c r="R54" s="2403" t="s">
        <v>2394</v>
      </c>
    </row>
    <row r="55" spans="1:18" s="2059" customFormat="1" ht="18" customHeight="1" thickTop="1" thickBot="1">
      <c r="A55" s="797">
        <v>2</v>
      </c>
      <c r="B55" s="798" t="s">
        <v>643</v>
      </c>
      <c r="C55" s="799">
        <f ca="1">C13</f>
        <v>0</v>
      </c>
      <c r="D55" s="795"/>
      <c r="E55" s="795"/>
      <c r="F55" s="800"/>
      <c r="I55" s="3165" t="s">
        <v>2357</v>
      </c>
      <c r="J55" s="3101">
        <f ca="1">ROUND(IF(J47="钢混",J57/J50,1-(1-2%)*(J50-J57)/J50),3)</f>
        <v>0.378</v>
      </c>
      <c r="K55" s="3166" t="s">
        <v>2358</v>
      </c>
      <c r="L55" s="2386"/>
      <c r="O55" s="2404" t="s">
        <v>2413</v>
      </c>
      <c r="P55" s="1591"/>
      <c r="Q55" s="1603"/>
      <c r="R55" s="1591"/>
    </row>
    <row r="56" spans="1:18" s="2059" customFormat="1" ht="42.75" customHeight="1" thickBot="1">
      <c r="A56" s="1649"/>
      <c r="B56" s="2231" t="s">
        <v>2304</v>
      </c>
      <c r="C56" s="53">
        <f ca="1">C29</f>
        <v>13037</v>
      </c>
      <c r="D56" s="2639"/>
      <c r="E56" s="784"/>
      <c r="F56" s="809"/>
      <c r="I56" s="3167" t="s">
        <v>2359</v>
      </c>
      <c r="J56" s="3177" t="s">
        <v>3050</v>
      </c>
      <c r="K56" s="3126"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207</v>
      </c>
      <c r="D57" s="26" t="s">
        <v>1750</v>
      </c>
      <c r="E57" s="2640"/>
      <c r="F57" s="56"/>
      <c r="I57" s="3168" t="s">
        <v>2360</v>
      </c>
      <c r="J57" s="3169">
        <f ca="1">IF(OR(M47="住宅",J51&lt;L48,J56="是"),"——",J51-L48)</f>
        <v>22.700000000000003</v>
      </c>
      <c r="K57" s="3126" t="s">
        <v>2365</v>
      </c>
      <c r="L57" s="1908" t="str">
        <f ca="1">IF(L48&lt;J51,"——",IF(L55="比较法",L49,IF(L55="基准地价",L50,L51)))</f>
        <v>——</v>
      </c>
      <c r="O57" s="2398" t="s">
        <v>2381</v>
      </c>
      <c r="P57" s="2399" t="s">
        <v>2411</v>
      </c>
      <c r="Q57" s="2400">
        <f ca="1">C40+J29</f>
        <v>27767</v>
      </c>
      <c r="R57" s="2399" t="s">
        <v>2382</v>
      </c>
    </row>
    <row r="58" spans="1:18" s="2059" customFormat="1" ht="28.5" customHeight="1" thickBot="1">
      <c r="A58" s="1648" t="s">
        <v>1824</v>
      </c>
      <c r="B58" s="784" t="s">
        <v>655</v>
      </c>
      <c r="C58" s="53">
        <f ca="1">ROUND(IF(项目基本情况!B11="自然人",C47*F58,C59+C60+C61),1)</f>
        <v>11.4</v>
      </c>
      <c r="D58" s="2638" t="s">
        <v>656</v>
      </c>
      <c r="E58" s="2639" t="s">
        <v>689</v>
      </c>
      <c r="F58" s="810" t="str">
        <f ca="1">IF(项目基本情况!B11="企业","",IF(INDIRECT("'数据-取费表'!c"&amp;$G$1)="住宅",5%,IF(F48*F49*F50/12/(1+'数据-取费表'!C42)&gt;20000,12%,7%)))</f>
        <v/>
      </c>
      <c r="I58" s="3168" t="s">
        <v>2361</v>
      </c>
      <c r="J58" s="3102">
        <f ca="1">IF(J55&lt;0.4,0.4,J55)</f>
        <v>0.4</v>
      </c>
      <c r="K58" s="3126"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5.3000000000000005E-2</v>
      </c>
      <c r="I59" s="3168" t="s">
        <v>2362</v>
      </c>
      <c r="J59" s="3169">
        <f ca="1">IF(OR(M47="住宅",J51&lt;L48,J56="是"),"——",ROUND(C29*J58,0))</f>
        <v>5215</v>
      </c>
      <c r="K59" s="3126"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0" t="s">
        <v>2363</v>
      </c>
      <c r="J60" s="3171">
        <f ca="1">IF(OR(M47="住宅",J51&lt;L48,J56="是"),"0",ROUND(J59/(1+J52)^J53,0))</f>
        <v>249</v>
      </c>
      <c r="K60" s="3172" t="s">
        <v>2368</v>
      </c>
      <c r="L60" s="3171">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11.4</v>
      </c>
      <c r="D61" s="814" t="s">
        <v>668</v>
      </c>
      <c r="E61" s="784" t="s">
        <v>669</v>
      </c>
      <c r="F61" s="640">
        <f t="shared" si="0"/>
        <v>12</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9467.33</v>
      </c>
      <c r="I62" s="3173" t="s">
        <v>2369</v>
      </c>
      <c r="J62" s="3174" t="s">
        <v>2370</v>
      </c>
      <c r="K62" s="3174" t="s">
        <v>2371</v>
      </c>
      <c r="L62" s="3174" t="s">
        <v>2352</v>
      </c>
      <c r="M62" s="3175"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195.6</v>
      </c>
      <c r="D63" s="2639" t="s">
        <v>1803</v>
      </c>
      <c r="E63" s="784" t="s">
        <v>1747</v>
      </c>
      <c r="F63" s="817">
        <f t="shared" ca="1" si="0"/>
        <v>1.4999999999999999E-2</v>
      </c>
      <c r="I63" s="3173" t="s">
        <v>2372</v>
      </c>
      <c r="J63" s="3174">
        <v>70</v>
      </c>
      <c r="K63" s="3174">
        <v>50</v>
      </c>
      <c r="L63" s="3174">
        <v>80</v>
      </c>
      <c r="M63" s="3176">
        <v>0.02</v>
      </c>
      <c r="O63" s="2398" t="s">
        <v>2393</v>
      </c>
      <c r="P63" s="2399" t="s">
        <v>2410</v>
      </c>
      <c r="Q63" s="2400">
        <f ca="1">Q57+Q58</f>
        <v>27767</v>
      </c>
      <c r="R63" s="2403" t="s">
        <v>2394</v>
      </c>
    </row>
    <row r="64" spans="1:18" s="2059" customFormat="1" ht="16.5" thickBot="1">
      <c r="A64" s="1648" t="s">
        <v>1890</v>
      </c>
      <c r="B64" s="784" t="s">
        <v>678</v>
      </c>
      <c r="C64" s="53">
        <f ca="1">ROUND(C55*F64,1)</f>
        <v>0</v>
      </c>
      <c r="D64" s="2639" t="s">
        <v>679</v>
      </c>
      <c r="E64" s="784" t="s">
        <v>1747</v>
      </c>
      <c r="F64" s="818">
        <f t="shared" ca="1" si="0"/>
        <v>1.5E-3</v>
      </c>
      <c r="I64" s="3173" t="s">
        <v>2373</v>
      </c>
      <c r="J64" s="3174">
        <v>50</v>
      </c>
      <c r="K64" s="3174">
        <v>35</v>
      </c>
      <c r="L64" s="3174">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0.02</v>
      </c>
      <c r="I65" s="3173" t="s">
        <v>2374</v>
      </c>
      <c r="J65" s="3174">
        <v>40</v>
      </c>
      <c r="K65" s="3174">
        <v>30</v>
      </c>
      <c r="L65" s="3174">
        <v>50</v>
      </c>
      <c r="M65" s="3176">
        <v>0.02</v>
      </c>
      <c r="O65" s="2395" t="s">
        <v>2377</v>
      </c>
      <c r="P65" s="2396" t="s">
        <v>2378</v>
      </c>
      <c r="Q65" s="2397" t="s">
        <v>2379</v>
      </c>
      <c r="R65" s="2396" t="s">
        <v>2380</v>
      </c>
    </row>
    <row r="66" spans="1:18" s="2059" customFormat="1" ht="24.75" thickBot="1">
      <c r="A66" s="797" t="s">
        <v>1776</v>
      </c>
      <c r="B66" s="3010" t="s">
        <v>2824</v>
      </c>
      <c r="C66" s="799">
        <f ca="1">C47-C57</f>
        <v>-207</v>
      </c>
      <c r="D66" s="2638" t="s">
        <v>699</v>
      </c>
      <c r="E66" s="2637"/>
      <c r="F66" s="820"/>
      <c r="K66" s="2086"/>
      <c r="O66" s="2398" t="s">
        <v>2381</v>
      </c>
      <c r="P66" s="2399" t="s">
        <v>2411</v>
      </c>
      <c r="Q66" s="2400">
        <f ca="1">C40+J29</f>
        <v>27767</v>
      </c>
      <c r="R66" s="2399" t="s">
        <v>2382</v>
      </c>
    </row>
    <row r="67" spans="1:18" s="2059" customFormat="1" ht="20.25" thickBot="1">
      <c r="A67" s="781" t="s">
        <v>1780</v>
      </c>
      <c r="B67" s="2232" t="s">
        <v>2303</v>
      </c>
      <c r="C67" s="783">
        <f ca="1">ROUND(C66*(1-((1+F69)/(1+F67))^F68)/(F67-F69),0)</f>
        <v>-3195</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35.299999999999997</v>
      </c>
      <c r="O68" s="2401" t="s">
        <v>2385</v>
      </c>
      <c r="P68" s="2399" t="s">
        <v>2415</v>
      </c>
      <c r="Q68" s="2405">
        <f ca="1">L51</f>
        <v>21854</v>
      </c>
      <c r="R68" s="2406" t="s">
        <v>2418</v>
      </c>
    </row>
    <row r="69" spans="1:18" ht="20.25" thickBot="1">
      <c r="A69" s="790"/>
      <c r="B69" s="791"/>
      <c r="C69" s="792"/>
      <c r="D69" s="816"/>
      <c r="E69" s="784" t="s">
        <v>709</v>
      </c>
      <c r="F69" s="2371"/>
      <c r="O69" s="2401" t="s">
        <v>2386</v>
      </c>
      <c r="P69" s="2407" t="s">
        <v>2400</v>
      </c>
      <c r="Q69" s="2400">
        <f ca="1">ROUND(Q70-Q71*Q72,0)</f>
        <v>1304</v>
      </c>
      <c r="R69" s="2403"/>
    </row>
    <row r="70" spans="1:18" ht="15.75" thickBot="1">
      <c r="A70" s="823" t="s">
        <v>1787</v>
      </c>
      <c r="B70" s="824" t="s">
        <v>1810</v>
      </c>
      <c r="C70" s="825">
        <f ca="1">ROUND(C67*10000/F70,0)</f>
        <v>-1125</v>
      </c>
      <c r="D70" s="826" t="s">
        <v>1811</v>
      </c>
      <c r="E70" s="827" t="s">
        <v>1812</v>
      </c>
      <c r="F70" s="828">
        <f ca="1">F43</f>
        <v>28402</v>
      </c>
      <c r="O70" s="2401" t="s">
        <v>2401</v>
      </c>
      <c r="P70" s="2407" t="s">
        <v>2402</v>
      </c>
      <c r="Q70" s="2400">
        <f ca="1">C39</f>
        <v>1304</v>
      </c>
      <c r="R70" s="2399" t="s">
        <v>2382</v>
      </c>
    </row>
    <row r="71" spans="1:18" ht="15.75" thickBot="1">
      <c r="O71" s="2401" t="s">
        <v>2403</v>
      </c>
      <c r="P71" s="2407" t="s">
        <v>2404</v>
      </c>
      <c r="Q71" s="2400">
        <f ca="1">C13</f>
        <v>0</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27767</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6" t="s">
        <v>2473</v>
      </c>
      <c r="B1" s="3467"/>
      <c r="C1" s="3468"/>
      <c r="D1" s="3469">
        <f>SUM(I10,I15,I20,I21,I23)</f>
        <v>0</v>
      </c>
      <c r="E1" s="3469"/>
      <c r="F1" s="3469"/>
      <c r="G1" s="3469"/>
      <c r="H1" s="3469"/>
      <c r="I1" s="3470"/>
    </row>
    <row r="2" spans="1:9">
      <c r="A2" s="3471" t="s">
        <v>2474</v>
      </c>
      <c r="B2" s="3472" t="s">
        <v>2475</v>
      </c>
      <c r="C2" s="3472"/>
      <c r="D2" s="2507" t="s">
        <v>2476</v>
      </c>
      <c r="E2" s="2507" t="s">
        <v>2477</v>
      </c>
      <c r="F2" s="2507" t="s">
        <v>2478</v>
      </c>
      <c r="G2" s="2507" t="s">
        <v>2479</v>
      </c>
      <c r="H2" s="2507" t="s">
        <v>2480</v>
      </c>
      <c r="I2" s="2508" t="s">
        <v>2481</v>
      </c>
    </row>
    <row r="3" spans="1:9">
      <c r="A3" s="3471"/>
      <c r="B3" s="3472" t="s">
        <v>2482</v>
      </c>
      <c r="C3" s="3472"/>
      <c r="D3" s="2509"/>
      <c r="E3" s="2507"/>
      <c r="F3" s="2510"/>
      <c r="G3" s="2510"/>
      <c r="H3" s="2511"/>
      <c r="I3" s="2512">
        <f>ROUND(D3*E3*F3*G3*H3/10000,0)</f>
        <v>0</v>
      </c>
    </row>
    <row r="4" spans="1:9">
      <c r="A4" s="3471"/>
      <c r="B4" s="3472" t="s">
        <v>2483</v>
      </c>
      <c r="C4" s="3472"/>
      <c r="D4" s="2509"/>
      <c r="E4" s="2507"/>
      <c r="F4" s="2510"/>
      <c r="G4" s="2510"/>
      <c r="H4" s="2511"/>
      <c r="I4" s="2512">
        <f t="shared" ref="I4:I9" si="0">ROUND(D4*E4*F4*G4*H4/10000,0)</f>
        <v>0</v>
      </c>
    </row>
    <row r="5" spans="1:9">
      <c r="A5" s="3471"/>
      <c r="B5" s="3472" t="s">
        <v>2484</v>
      </c>
      <c r="C5" s="3472"/>
      <c r="D5" s="2509"/>
      <c r="E5" s="2507"/>
      <c r="F5" s="2510"/>
      <c r="G5" s="2510"/>
      <c r="H5" s="2511"/>
      <c r="I5" s="2512">
        <f t="shared" si="0"/>
        <v>0</v>
      </c>
    </row>
    <row r="6" spans="1:9">
      <c r="A6" s="3471"/>
      <c r="B6" s="3472" t="s">
        <v>2485</v>
      </c>
      <c r="C6" s="3472"/>
      <c r="D6" s="2509"/>
      <c r="E6" s="2507"/>
      <c r="F6" s="2510"/>
      <c r="G6" s="2510"/>
      <c r="H6" s="2511"/>
      <c r="I6" s="2512">
        <f t="shared" si="0"/>
        <v>0</v>
      </c>
    </row>
    <row r="7" spans="1:9">
      <c r="A7" s="3471"/>
      <c r="B7" s="3472" t="s">
        <v>2486</v>
      </c>
      <c r="C7" s="3472"/>
      <c r="D7" s="2509"/>
      <c r="E7" s="2507"/>
      <c r="F7" s="2510"/>
      <c r="G7" s="2510"/>
      <c r="H7" s="2511"/>
      <c r="I7" s="2512">
        <f t="shared" si="0"/>
        <v>0</v>
      </c>
    </row>
    <row r="8" spans="1:9">
      <c r="A8" s="3471"/>
      <c r="B8" s="3472" t="s">
        <v>2487</v>
      </c>
      <c r="C8" s="3472"/>
      <c r="D8" s="2509"/>
      <c r="E8" s="2507"/>
      <c r="F8" s="2510"/>
      <c r="G8" s="2510"/>
      <c r="H8" s="2511"/>
      <c r="I8" s="2512">
        <f t="shared" si="0"/>
        <v>0</v>
      </c>
    </row>
    <row r="9" spans="1:9">
      <c r="A9" s="3471"/>
      <c r="B9" s="3472" t="s">
        <v>2488</v>
      </c>
      <c r="C9" s="3472"/>
      <c r="D9" s="2509"/>
      <c r="E9" s="2507"/>
      <c r="F9" s="2510"/>
      <c r="G9" s="2510"/>
      <c r="H9" s="2511"/>
      <c r="I9" s="2512">
        <f t="shared" si="0"/>
        <v>0</v>
      </c>
    </row>
    <row r="10" spans="1:9">
      <c r="A10" s="3471"/>
      <c r="B10" s="3473" t="s">
        <v>2489</v>
      </c>
      <c r="C10" s="3473"/>
      <c r="D10" s="2513">
        <v>527</v>
      </c>
      <c r="E10" s="2513" t="e">
        <f>ROUND(D1*10000/D10/H9,0)</f>
        <v>#DIV/0!</v>
      </c>
      <c r="F10" s="2514"/>
      <c r="G10" s="2514"/>
      <c r="H10" s="2515"/>
      <c r="I10" s="2516">
        <f>SUM(I3:I9)</f>
        <v>0</v>
      </c>
    </row>
    <row r="11" spans="1:9" ht="14.25">
      <c r="A11" s="3471" t="s">
        <v>2490</v>
      </c>
      <c r="B11" s="3472" t="s">
        <v>2491</v>
      </c>
      <c r="C11" s="3472"/>
      <c r="D11" s="2509" t="s">
        <v>2492</v>
      </c>
      <c r="E11" s="2509" t="s">
        <v>2493</v>
      </c>
      <c r="F11" s="2510" t="s">
        <v>2494</v>
      </c>
      <c r="G11" s="2510" t="s">
        <v>2495</v>
      </c>
      <c r="H11" s="2517" t="s">
        <v>2496</v>
      </c>
      <c r="I11" s="2508" t="s">
        <v>2497</v>
      </c>
    </row>
    <row r="12" spans="1:9">
      <c r="A12" s="3471"/>
      <c r="B12" s="3472" t="s">
        <v>2498</v>
      </c>
      <c r="C12" s="3472"/>
      <c r="D12" s="2509"/>
      <c r="E12" s="2509"/>
      <c r="F12" s="2510"/>
      <c r="G12" s="2511"/>
      <c r="H12" s="2518"/>
      <c r="I12" s="2508">
        <f>ROUND(D12*E12*F12*G12/10000,0)</f>
        <v>0</v>
      </c>
    </row>
    <row r="13" spans="1:9">
      <c r="A13" s="3471"/>
      <c r="B13" s="3472" t="s">
        <v>2499</v>
      </c>
      <c r="C13" s="3472"/>
      <c r="D13" s="2509"/>
      <c r="E13" s="2509"/>
      <c r="F13" s="2510"/>
      <c r="G13" s="2511"/>
      <c r="H13" s="2518"/>
      <c r="I13" s="2508">
        <f>ROUND(D13*E13*F13*G13/10000,0)</f>
        <v>0</v>
      </c>
    </row>
    <row r="14" spans="1:9">
      <c r="A14" s="3471"/>
      <c r="B14" s="3472" t="s">
        <v>2500</v>
      </c>
      <c r="C14" s="3472"/>
      <c r="D14" s="2509"/>
      <c r="E14" s="2509"/>
      <c r="F14" s="2510"/>
      <c r="G14" s="2511"/>
      <c r="H14" s="2518"/>
      <c r="I14" s="2508">
        <f>ROUND(D14*E14*F14*G14/10000,0)</f>
        <v>0</v>
      </c>
    </row>
    <row r="15" spans="1:9">
      <c r="A15" s="3471"/>
      <c r="B15" s="3473" t="s">
        <v>2489</v>
      </c>
      <c r="C15" s="3473"/>
      <c r="D15" s="2513"/>
      <c r="E15" s="2513">
        <f>SUM(E12:E14)</f>
        <v>0</v>
      </c>
      <c r="F15" s="2514"/>
      <c r="G15" s="2511"/>
      <c r="H15" s="2518"/>
      <c r="I15" s="2519">
        <f>SUM(I12:I14)</f>
        <v>0</v>
      </c>
    </row>
    <row r="16" spans="1:9" ht="24">
      <c r="A16" s="3471" t="s">
        <v>2501</v>
      </c>
      <c r="B16" s="3472" t="s">
        <v>2502</v>
      </c>
      <c r="C16" s="3472"/>
      <c r="D16" s="2509" t="s">
        <v>2503</v>
      </c>
      <c r="E16" s="2520" t="s">
        <v>2504</v>
      </c>
      <c r="F16" s="2510" t="s">
        <v>2505</v>
      </c>
      <c r="G16" s="2511" t="s">
        <v>2495</v>
      </c>
      <c r="H16" s="2517" t="s">
        <v>2496</v>
      </c>
      <c r="I16" s="2508" t="s">
        <v>2497</v>
      </c>
    </row>
    <row r="17" spans="1:9" ht="14.25">
      <c r="A17" s="3471"/>
      <c r="B17" s="3472" t="s">
        <v>2506</v>
      </c>
      <c r="C17" s="3472"/>
      <c r="D17" s="2509"/>
      <c r="E17" s="2509"/>
      <c r="F17" s="2510"/>
      <c r="G17" s="2511"/>
      <c r="H17" s="2521"/>
      <c r="I17" s="2522">
        <f>ROUND(D17*E17*F17*G17/10000,0)</f>
        <v>0</v>
      </c>
    </row>
    <row r="18" spans="1:9" ht="14.25">
      <c r="A18" s="3471"/>
      <c r="B18" s="3472" t="s">
        <v>2507</v>
      </c>
      <c r="C18" s="3472"/>
      <c r="D18" s="2509"/>
      <c r="E18" s="2509"/>
      <c r="F18" s="2510"/>
      <c r="G18" s="2511"/>
      <c r="H18" s="2521"/>
      <c r="I18" s="2522">
        <f>ROUND(D18*E18*F18*G18/10000,0)</f>
        <v>0</v>
      </c>
    </row>
    <row r="19" spans="1:9" ht="14.25">
      <c r="A19" s="3471"/>
      <c r="B19" s="3472" t="s">
        <v>2508</v>
      </c>
      <c r="C19" s="3472"/>
      <c r="D19" s="2509"/>
      <c r="E19" s="2509"/>
      <c r="F19" s="2510"/>
      <c r="G19" s="2511"/>
      <c r="H19" s="2521"/>
      <c r="I19" s="2522">
        <f>ROUND(D19*E19*F19*G19/10000,0)</f>
        <v>0</v>
      </c>
    </row>
    <row r="20" spans="1:9">
      <c r="A20" s="3471"/>
      <c r="B20" s="3473" t="s">
        <v>2489</v>
      </c>
      <c r="C20" s="3473"/>
      <c r="D20" s="2513">
        <f>SUM(D17:D19)</f>
        <v>0</v>
      </c>
      <c r="E20" s="2513"/>
      <c r="F20" s="2514"/>
      <c r="G20" s="2511"/>
      <c r="H20" s="2518"/>
      <c r="I20" s="2519">
        <f>SUM(I17:I19)</f>
        <v>0</v>
      </c>
    </row>
    <row r="21" spans="1:9">
      <c r="A21" s="3471" t="s">
        <v>2509</v>
      </c>
      <c r="B21" s="3475"/>
      <c r="C21" s="3475"/>
      <c r="D21" s="3475"/>
      <c r="E21" s="3475"/>
      <c r="F21" s="3475"/>
      <c r="G21" s="3475"/>
      <c r="H21" s="2523">
        <v>0.1</v>
      </c>
      <c r="I21" s="2516">
        <f>ROUND(I10*H21,0)</f>
        <v>0</v>
      </c>
    </row>
    <row r="22" spans="1:9" ht="14.25">
      <c r="A22" s="3476" t="s">
        <v>2510</v>
      </c>
      <c r="B22" s="3477"/>
      <c r="C22" s="3478"/>
      <c r="D22" s="2524" t="s">
        <v>2511</v>
      </c>
      <c r="E22" s="2524" t="s">
        <v>2512</v>
      </c>
      <c r="F22" s="2525" t="s">
        <v>2513</v>
      </c>
      <c r="G22" s="2525" t="s">
        <v>2514</v>
      </c>
      <c r="H22" s="2517" t="s">
        <v>2515</v>
      </c>
      <c r="I22" s="2508" t="s">
        <v>2516</v>
      </c>
    </row>
    <row r="23" spans="1:9" ht="14.25" thickBot="1">
      <c r="A23" s="3479"/>
      <c r="B23" s="3480"/>
      <c r="C23" s="3481"/>
      <c r="D23" s="2526"/>
      <c r="E23" s="2526"/>
      <c r="F23" s="2526"/>
      <c r="G23" s="2527"/>
      <c r="H23" s="2528"/>
      <c r="I23" s="2529">
        <f>ROUND(E23*D23*F23*(1-G23)/10000,0)</f>
        <v>0</v>
      </c>
    </row>
    <row r="26" spans="1:9">
      <c r="A26" s="2530" t="s">
        <v>2517</v>
      </c>
      <c r="B26" s="2530"/>
      <c r="C26" s="2530"/>
      <c r="D26" s="2530"/>
      <c r="E26" s="3482">
        <f>C27-C30-C31-C32</f>
        <v>0</v>
      </c>
      <c r="F26" s="3482"/>
      <c r="G26" s="3482"/>
      <c r="H26" s="3043" t="s">
        <v>2845</v>
      </c>
    </row>
    <row r="27" spans="1:9">
      <c r="A27" s="2531">
        <v>1</v>
      </c>
      <c r="B27" s="2532" t="s">
        <v>2518</v>
      </c>
      <c r="C27" s="2532"/>
      <c r="D27" s="2532"/>
      <c r="E27" s="3483"/>
      <c r="F27" s="3483"/>
      <c r="G27" s="3483"/>
    </row>
    <row r="28" spans="1:9">
      <c r="A28" s="2533" t="s">
        <v>2519</v>
      </c>
      <c r="B28" s="2532" t="s">
        <v>2520</v>
      </c>
      <c r="C28" s="2532"/>
      <c r="D28" s="2532"/>
      <c r="E28" s="3483"/>
      <c r="F28" s="3483"/>
      <c r="G28" s="3483"/>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4"/>
      <c r="F32" s="3474"/>
      <c r="G32" s="3474"/>
    </row>
    <row r="33" spans="1:7" hidden="1">
      <c r="A33" s="3484" t="s">
        <v>2528</v>
      </c>
      <c r="B33" s="3485"/>
      <c r="C33" s="3485"/>
      <c r="D33" s="3486"/>
      <c r="E33" s="3482"/>
      <c r="F33" s="3482"/>
      <c r="G33" s="3482"/>
    </row>
    <row r="34" spans="1:7" hidden="1">
      <c r="A34" s="2535">
        <v>1</v>
      </c>
      <c r="B34" s="2532" t="s">
        <v>2529</v>
      </c>
      <c r="C34" s="2532"/>
      <c r="D34" s="2532"/>
      <c r="E34" s="3483"/>
      <c r="F34" s="3483"/>
      <c r="G34" s="3483"/>
    </row>
    <row r="35" spans="1:7" hidden="1">
      <c r="A35" s="2535">
        <v>2</v>
      </c>
      <c r="B35" s="2532" t="s">
        <v>2530</v>
      </c>
      <c r="C35" s="2532"/>
      <c r="D35" s="2532"/>
      <c r="E35" s="3483"/>
      <c r="F35" s="3483"/>
      <c r="G35" s="3483"/>
    </row>
    <row r="36" spans="1:7" hidden="1">
      <c r="A36" s="2535">
        <v>3</v>
      </c>
      <c r="B36" s="2532" t="s">
        <v>2531</v>
      </c>
      <c r="C36" s="2532"/>
      <c r="D36" s="2532"/>
      <c r="E36" s="3483"/>
      <c r="F36" s="3483"/>
      <c r="G36" s="3483"/>
    </row>
    <row r="37" spans="1:7" hidden="1">
      <c r="A37" s="2535">
        <v>4</v>
      </c>
      <c r="B37" s="2532" t="s">
        <v>2532</v>
      </c>
      <c r="C37" s="2532"/>
      <c r="D37" s="2532"/>
      <c r="E37" s="3483"/>
      <c r="F37" s="3483"/>
      <c r="G37" s="3483"/>
    </row>
    <row r="38" spans="1:7" hidden="1">
      <c r="A38" s="3484" t="s">
        <v>2533</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142008</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1193</v>
      </c>
      <c r="D12" s="758">
        <f>'数据-汇总表'!E5</f>
        <v>113606</v>
      </c>
      <c r="E12" s="757">
        <f>'数据-取费表'!B27</f>
        <v>105</v>
      </c>
      <c r="F12" s="755"/>
      <c r="G12" s="759"/>
    </row>
    <row r="13" spans="1:25" s="2183" customFormat="1" ht="13.5" customHeight="1">
      <c r="A13" s="2476" t="s">
        <v>2449</v>
      </c>
      <c r="B13" s="756" t="s">
        <v>611</v>
      </c>
      <c r="C13" s="757">
        <f>ROUND(D13*E13/10000,0)</f>
        <v>298</v>
      </c>
      <c r="D13" s="758">
        <f>'数据-汇总表'!E6</f>
        <v>28402</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0.92600000000000005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2" zoomScale="80" zoomScaleNormal="80" workbookViewId="0">
      <selection activeCell="M33" sqref="M3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922</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129560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11404.3</v>
      </c>
      <c r="C3" s="852" t="s">
        <v>721</v>
      </c>
      <c r="D3" s="851">
        <f>SUMIF('数据-汇总表'!$C19:$C33,D1,'数据-汇总表'!$E19:$E33)</f>
        <v>113606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80" t="s">
        <v>521</v>
      </c>
      <c r="D4" s="3381"/>
      <c r="E4" s="3415" t="s">
        <v>522</v>
      </c>
      <c r="F4" s="3416"/>
      <c r="G4" s="3380" t="s">
        <v>523</v>
      </c>
      <c r="H4" s="3381"/>
      <c r="I4" s="3380" t="s">
        <v>524</v>
      </c>
      <c r="J4" s="3381"/>
      <c r="K4" s="853" t="s">
        <v>525</v>
      </c>
      <c r="L4" s="2133"/>
      <c r="M4" s="2134"/>
      <c r="N4" s="2134"/>
      <c r="O4" s="2134"/>
      <c r="P4" s="3382" t="s">
        <v>526</v>
      </c>
      <c r="Q4" s="3383"/>
      <c r="R4" s="3388" t="s">
        <v>522</v>
      </c>
      <c r="S4" s="3389"/>
      <c r="T4" s="3388" t="s">
        <v>523</v>
      </c>
      <c r="U4" s="3389"/>
      <c r="V4" s="3375" t="s">
        <v>524</v>
      </c>
      <c r="W4" s="3375"/>
      <c r="X4" s="1566"/>
      <c r="Y4" s="3388" t="s">
        <v>526</v>
      </c>
      <c r="Z4" s="3389"/>
      <c r="AA4" s="3377" t="s">
        <v>522</v>
      </c>
      <c r="AB4" s="3377" t="s">
        <v>523</v>
      </c>
      <c r="AC4" s="3377" t="s">
        <v>524</v>
      </c>
    </row>
    <row r="5" spans="1:29" ht="15">
      <c r="A5" s="515"/>
      <c r="B5" s="516"/>
      <c r="C5" s="3396"/>
      <c r="D5" s="3397"/>
      <c r="E5" s="3490" t="s">
        <v>3155</v>
      </c>
      <c r="F5" s="3418"/>
      <c r="G5" s="3396" t="s">
        <v>3156</v>
      </c>
      <c r="H5" s="3397"/>
      <c r="I5" s="3396" t="s">
        <v>3157</v>
      </c>
      <c r="J5" s="3397"/>
      <c r="K5" s="85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2937</v>
      </c>
      <c r="D6" s="3395"/>
      <c r="E6" s="3413" t="s">
        <v>2937</v>
      </c>
      <c r="F6" s="3414"/>
      <c r="G6" s="3394" t="s">
        <v>2937</v>
      </c>
      <c r="H6" s="3395"/>
      <c r="I6" s="3394" t="s">
        <v>2937</v>
      </c>
      <c r="J6" s="3395"/>
      <c r="K6" s="854" t="s">
        <v>527</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1"/>
      <c r="B7" s="2918" t="s">
        <v>528</v>
      </c>
      <c r="C7" s="519">
        <f>'数据-取费表'!B2</f>
        <v>43446</v>
      </c>
      <c r="D7" s="520">
        <v>100</v>
      </c>
      <c r="E7" s="521">
        <f>C7</f>
        <v>43446</v>
      </c>
      <c r="F7" s="522">
        <f>SUMIF(58:58,YEAR(E7)&amp;"-"&amp;MONTH(E7),59:59)</f>
        <v>100</v>
      </c>
      <c r="G7" s="523">
        <f>C7</f>
        <v>43446</v>
      </c>
      <c r="H7" s="520">
        <f>SUMIF(58:58,YEAR(G7)&amp;"-"&amp;MONTH(G7),59:59)</f>
        <v>100</v>
      </c>
      <c r="I7" s="523">
        <f>C7</f>
        <v>43446</v>
      </c>
      <c r="J7" s="520">
        <f>SUMIF(58:58,YEAR(I7)&amp;"-"&amp;MONTH(I7),59:59)</f>
        <v>100</v>
      </c>
      <c r="K7" s="855"/>
      <c r="L7" s="2135"/>
      <c r="M7" s="2136"/>
      <c r="N7" s="2136"/>
      <c r="O7" s="2136"/>
      <c r="P7" s="3405" t="s">
        <v>529</v>
      </c>
      <c r="Q7" s="3407"/>
      <c r="R7" s="1567" t="s">
        <v>13</v>
      </c>
      <c r="S7" s="1568">
        <f t="shared" ref="S7:S15" si="0">F7</f>
        <v>100</v>
      </c>
      <c r="T7" s="1567" t="s">
        <v>13</v>
      </c>
      <c r="U7" s="1568">
        <f t="shared" ref="U7:U15" si="1">H7</f>
        <v>100</v>
      </c>
      <c r="V7" s="1567" t="s">
        <v>13</v>
      </c>
      <c r="W7" s="1568">
        <f t="shared" ref="W7:W15" si="2">J7</f>
        <v>100</v>
      </c>
      <c r="X7" s="1569"/>
      <c r="Y7" s="3405" t="s">
        <v>529</v>
      </c>
      <c r="Z7" s="3406"/>
      <c r="AA7" s="1570">
        <f>D7/F7</f>
        <v>1</v>
      </c>
      <c r="AB7" s="1570">
        <f>D7/H7</f>
        <v>1</v>
      </c>
      <c r="AC7" s="1570">
        <f>D7/J7</f>
        <v>1</v>
      </c>
    </row>
    <row r="8" spans="1:29" s="1219" customFormat="1" ht="15.75" thickBot="1">
      <c r="A8" s="2912"/>
      <c r="B8" s="2919" t="s">
        <v>530</v>
      </c>
      <c r="C8" s="525" t="s">
        <v>575</v>
      </c>
      <c r="D8" s="520">
        <v>100</v>
      </c>
      <c r="E8" s="856" t="s">
        <v>2998</v>
      </c>
      <c r="F8" s="522">
        <f>SUMIF(61:61,E8,62:62)-SUMIF(61:61,C8,62:62)+100</f>
        <v>100</v>
      </c>
      <c r="G8" s="525" t="s">
        <v>2998</v>
      </c>
      <c r="H8" s="520">
        <f>SUMIF(61:61,G8,62:62)-SUMIF(61:61,C8,62:62)+100</f>
        <v>100</v>
      </c>
      <c r="I8" s="856" t="s">
        <v>2998</v>
      </c>
      <c r="J8" s="520">
        <f>SUMIF(61:61,I8,62:62)-SUMIF(61:61,C8,62:62)+100</f>
        <v>100</v>
      </c>
      <c r="K8" s="855"/>
      <c r="L8" s="2135"/>
      <c r="M8" s="2136"/>
      <c r="N8" s="2136"/>
      <c r="O8" s="2136"/>
      <c r="P8" s="3405" t="s">
        <v>532</v>
      </c>
      <c r="Q8" s="3406"/>
      <c r="R8" s="1567" t="s">
        <v>13</v>
      </c>
      <c r="S8" s="1568">
        <f t="shared" si="0"/>
        <v>100</v>
      </c>
      <c r="T8" s="1567" t="s">
        <v>13</v>
      </c>
      <c r="U8" s="1568">
        <f t="shared" si="1"/>
        <v>100</v>
      </c>
      <c r="V8" s="1567" t="s">
        <v>13</v>
      </c>
      <c r="W8" s="1568">
        <f t="shared" si="2"/>
        <v>100</v>
      </c>
      <c r="X8" s="1569"/>
      <c r="Y8" s="3405" t="s">
        <v>532</v>
      </c>
      <c r="Z8" s="3406"/>
      <c r="AA8" s="1570">
        <f t="shared" ref="AA8:AA46" si="3">D8/F8</f>
        <v>1</v>
      </c>
      <c r="AB8" s="1570">
        <f t="shared" ref="AB8:AB46" si="4">D8/H8</f>
        <v>1</v>
      </c>
      <c r="AC8" s="1570">
        <f t="shared" ref="AC8:AC46" si="5">D8/J8</f>
        <v>1</v>
      </c>
    </row>
    <row r="9" spans="1:29" s="1219" customFormat="1" ht="15">
      <c r="A9" s="2913"/>
      <c r="B9" s="2920" t="s">
        <v>2758</v>
      </c>
      <c r="C9" s="3185" t="s">
        <v>3037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5"/>
      <c r="B11" s="2919"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74"/>
      <c r="Q11" s="1150" t="str">
        <f t="shared" si="6"/>
        <v>容积率</v>
      </c>
      <c r="R11" s="1567" t="s">
        <v>11</v>
      </c>
      <c r="S11" s="1568">
        <f t="shared" si="0"/>
        <v>100</v>
      </c>
      <c r="T11" s="1567" t="s">
        <v>11</v>
      </c>
      <c r="U11" s="1568">
        <f t="shared" si="1"/>
        <v>100</v>
      </c>
      <c r="V11" s="1567" t="s">
        <v>11</v>
      </c>
      <c r="W11" s="1568">
        <f t="shared" si="2"/>
        <v>100</v>
      </c>
      <c r="X11" s="1569"/>
      <c r="Y11" s="3320"/>
      <c r="Z11" s="1149" t="str">
        <f t="shared" si="7"/>
        <v>容积率</v>
      </c>
      <c r="AA11" s="1570">
        <f t="shared" si="3"/>
        <v>1</v>
      </c>
      <c r="AB11" s="1570">
        <f t="shared" si="4"/>
        <v>1</v>
      </c>
      <c r="AC11" s="1570">
        <f t="shared" si="5"/>
        <v>1</v>
      </c>
    </row>
    <row r="12" spans="1:29" s="1219"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111</v>
      </c>
      <c r="R12" s="1567" t="s">
        <v>11</v>
      </c>
      <c r="S12" s="1568">
        <f t="shared" si="0"/>
        <v>100</v>
      </c>
      <c r="T12" s="1567" t="s">
        <v>11</v>
      </c>
      <c r="U12" s="1568">
        <f t="shared" si="1"/>
        <v>100</v>
      </c>
      <c r="V12" s="1567" t="s">
        <v>11</v>
      </c>
      <c r="W12" s="1568">
        <f t="shared" si="2"/>
        <v>100</v>
      </c>
      <c r="X12" s="1569"/>
      <c r="Y12" s="3320"/>
      <c r="Z12" s="1149">
        <f t="shared" si="7"/>
        <v>111</v>
      </c>
      <c r="AA12" s="1570">
        <f>D12/F12</f>
        <v>1</v>
      </c>
      <c r="AB12" s="1570">
        <f>D12/H12</f>
        <v>1</v>
      </c>
      <c r="AC12" s="1570">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111</v>
      </c>
      <c r="R13" s="1567" t="s">
        <v>11</v>
      </c>
      <c r="S13" s="1568">
        <f t="shared" si="0"/>
        <v>100</v>
      </c>
      <c r="T13" s="1567" t="s">
        <v>11</v>
      </c>
      <c r="U13" s="1568">
        <f t="shared" si="1"/>
        <v>100</v>
      </c>
      <c r="V13" s="1567" t="s">
        <v>11</v>
      </c>
      <c r="W13" s="1568">
        <f t="shared" si="2"/>
        <v>100</v>
      </c>
      <c r="X13" s="1569"/>
      <c r="Y13" s="3320"/>
      <c r="Z13" s="1149">
        <f t="shared" si="7"/>
        <v>111</v>
      </c>
      <c r="AA13" s="1570">
        <f t="shared" si="3"/>
        <v>1</v>
      </c>
      <c r="AB13" s="1570">
        <f t="shared" si="4"/>
        <v>1</v>
      </c>
      <c r="AC13" s="1570">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111</v>
      </c>
      <c r="R14" s="1567" t="s">
        <v>11</v>
      </c>
      <c r="S14" s="1568">
        <f t="shared" si="0"/>
        <v>100</v>
      </c>
      <c r="T14" s="1567" t="s">
        <v>11</v>
      </c>
      <c r="U14" s="1568">
        <f t="shared" si="1"/>
        <v>100</v>
      </c>
      <c r="V14" s="1567" t="s">
        <v>11</v>
      </c>
      <c r="W14" s="1568">
        <f t="shared" si="2"/>
        <v>100</v>
      </c>
      <c r="X14" s="1569"/>
      <c r="Y14" s="3320"/>
      <c r="Z14" s="1149">
        <f t="shared" si="7"/>
        <v>111</v>
      </c>
      <c r="AA14" s="1570">
        <f t="shared" si="3"/>
        <v>1</v>
      </c>
      <c r="AB14" s="1570">
        <f t="shared" si="4"/>
        <v>1</v>
      </c>
      <c r="AC14" s="1570">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408" t="s">
        <v>539</v>
      </c>
      <c r="Q15" s="1571" t="str">
        <f t="shared" si="6"/>
        <v>居住社区成熟度</v>
      </c>
      <c r="R15" s="1572" t="s">
        <v>11</v>
      </c>
      <c r="S15" s="1573">
        <f t="shared" si="0"/>
        <v>100</v>
      </c>
      <c r="T15" s="1572" t="s">
        <v>11</v>
      </c>
      <c r="U15" s="1573">
        <f t="shared" si="1"/>
        <v>100</v>
      </c>
      <c r="V15" s="1572" t="s">
        <v>11</v>
      </c>
      <c r="W15" s="1573">
        <f t="shared" si="2"/>
        <v>100</v>
      </c>
      <c r="X15" s="1566"/>
      <c r="Y15" s="3408" t="s">
        <v>539</v>
      </c>
      <c r="Z15" s="1574" t="str">
        <f t="shared" si="7"/>
        <v>居住社区成熟度</v>
      </c>
      <c r="AA15" s="1575">
        <f t="shared" si="3"/>
        <v>1</v>
      </c>
      <c r="AB15" s="1575">
        <f t="shared" si="4"/>
        <v>1</v>
      </c>
      <c r="AC15" s="1575">
        <f t="shared" si="5"/>
        <v>1</v>
      </c>
    </row>
    <row r="16" spans="1:29" ht="15">
      <c r="A16" s="532"/>
      <c r="B16" s="869"/>
      <c r="C16" s="576" t="s">
        <v>3000</v>
      </c>
      <c r="D16" s="555"/>
      <c r="E16" s="556" t="s">
        <v>3000</v>
      </c>
      <c r="F16" s="557"/>
      <c r="G16" s="558" t="s">
        <v>3000</v>
      </c>
      <c r="H16" s="559"/>
      <c r="I16" s="556" t="s">
        <v>3000</v>
      </c>
      <c r="J16" s="555"/>
      <c r="K16" s="870"/>
      <c r="L16" s="2142"/>
      <c r="M16" s="2134"/>
      <c r="N16" s="2134"/>
      <c r="O16" s="2141"/>
      <c r="P16" s="3409"/>
      <c r="Q16" s="1571"/>
      <c r="R16" s="1572"/>
      <c r="S16" s="1573"/>
      <c r="T16" s="1572"/>
      <c r="U16" s="1573"/>
      <c r="V16" s="1572"/>
      <c r="W16" s="1573"/>
      <c r="X16" s="1566"/>
      <c r="Y16" s="340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09"/>
      <c r="Q17" s="1571" t="str">
        <f>B17</f>
        <v>交通便捷度</v>
      </c>
      <c r="R17" s="1572" t="s">
        <v>11</v>
      </c>
      <c r="S17" s="1573">
        <f>F17</f>
        <v>100</v>
      </c>
      <c r="T17" s="1572" t="s">
        <v>11</v>
      </c>
      <c r="U17" s="1573">
        <f>H17</f>
        <v>100</v>
      </c>
      <c r="V17" s="1572" t="s">
        <v>11</v>
      </c>
      <c r="W17" s="1573">
        <f>J17</f>
        <v>100</v>
      </c>
      <c r="X17" s="1566"/>
      <c r="Y17" s="3409"/>
      <c r="Z17" s="1574" t="str">
        <f>Q17</f>
        <v>交通便捷度</v>
      </c>
      <c r="AA17" s="1575">
        <f t="shared" si="3"/>
        <v>1</v>
      </c>
      <c r="AB17" s="1575">
        <f t="shared" si="4"/>
        <v>1</v>
      </c>
      <c r="AC17" s="1575">
        <f t="shared" si="5"/>
        <v>1</v>
      </c>
    </row>
    <row r="18" spans="1:29" ht="15">
      <c r="A18" s="532"/>
      <c r="B18" s="595"/>
      <c r="C18" s="873" t="s">
        <v>3000</v>
      </c>
      <c r="D18" s="559"/>
      <c r="E18" s="568" t="s">
        <v>3000</v>
      </c>
      <c r="F18" s="563"/>
      <c r="G18" s="569" t="s">
        <v>3000</v>
      </c>
      <c r="H18" s="555"/>
      <c r="I18" s="568" t="s">
        <v>3000</v>
      </c>
      <c r="J18" s="555"/>
      <c r="K18" s="870"/>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2"/>
      <c r="M19" s="2134"/>
      <c r="N19" s="2134"/>
      <c r="O19" s="2141"/>
      <c r="P19" s="3409"/>
      <c r="Q19" s="1571" t="str">
        <f>B19</f>
        <v>公共配套设施</v>
      </c>
      <c r="R19" s="1572" t="s">
        <v>11</v>
      </c>
      <c r="S19" s="1573">
        <f>F19</f>
        <v>100</v>
      </c>
      <c r="T19" s="1572" t="s">
        <v>11</v>
      </c>
      <c r="U19" s="1573">
        <f>H19</f>
        <v>100</v>
      </c>
      <c r="V19" s="1572" t="s">
        <v>11</v>
      </c>
      <c r="W19" s="1573">
        <f>J19</f>
        <v>100</v>
      </c>
      <c r="X19" s="1566"/>
      <c r="Y19" s="3409"/>
      <c r="Z19" s="1574" t="str">
        <f>Q19</f>
        <v>公共配套设施</v>
      </c>
      <c r="AA19" s="1575">
        <f t="shared" si="3"/>
        <v>1</v>
      </c>
      <c r="AB19" s="1575">
        <f t="shared" si="4"/>
        <v>1</v>
      </c>
      <c r="AC19" s="1575">
        <f t="shared" si="5"/>
        <v>1</v>
      </c>
    </row>
    <row r="20" spans="1:29" ht="15">
      <c r="A20" s="532"/>
      <c r="B20" s="595"/>
      <c r="C20" s="576" t="s">
        <v>3000</v>
      </c>
      <c r="D20" s="555"/>
      <c r="E20" s="556" t="s">
        <v>3000</v>
      </c>
      <c r="F20" s="557"/>
      <c r="G20" s="558" t="s">
        <v>3000</v>
      </c>
      <c r="H20" s="555"/>
      <c r="I20" s="556" t="s">
        <v>3000</v>
      </c>
      <c r="J20" s="555"/>
      <c r="K20" s="870"/>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9"/>
      <c r="Q21" s="2579" t="str">
        <f>B21</f>
        <v>基础设施水平</v>
      </c>
      <c r="R21" s="1572" t="s">
        <v>11</v>
      </c>
      <c r="S21" s="1573">
        <f>F21</f>
        <v>100</v>
      </c>
      <c r="T21" s="1572" t="s">
        <v>11</v>
      </c>
      <c r="U21" s="1573">
        <f>H21</f>
        <v>100</v>
      </c>
      <c r="V21" s="1572" t="s">
        <v>11</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922"/>
      <c r="C22" s="873" t="s">
        <v>3062</v>
      </c>
      <c r="D22" s="555"/>
      <c r="E22" s="576" t="s">
        <v>3062</v>
      </c>
      <c r="F22" s="557"/>
      <c r="G22" s="576" t="s">
        <v>3062</v>
      </c>
      <c r="H22" s="555"/>
      <c r="I22" s="576" t="s">
        <v>3062</v>
      </c>
      <c r="J22" s="555"/>
      <c r="K22" s="2599"/>
      <c r="L22" s="2142"/>
      <c r="M22" s="2134"/>
      <c r="N22" s="2134"/>
      <c r="O22" s="2141"/>
      <c r="P22" s="3409"/>
      <c r="Q22" s="2579"/>
      <c r="R22" s="1572"/>
      <c r="S22" s="1573"/>
      <c r="T22" s="1572"/>
      <c r="U22" s="1573"/>
      <c r="V22" s="1572"/>
      <c r="W22" s="1573"/>
      <c r="X22" s="2581"/>
      <c r="Y22" s="3409"/>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100</v>
      </c>
      <c r="K23" s="868">
        <v>5</v>
      </c>
      <c r="L23" s="2142"/>
      <c r="M23" s="2134"/>
      <c r="N23" s="2134"/>
      <c r="O23" s="2141"/>
      <c r="P23" s="3409"/>
      <c r="Q23" s="1571" t="str">
        <f>B23</f>
        <v>自然及人文环境</v>
      </c>
      <c r="R23" s="1572" t="s">
        <v>11</v>
      </c>
      <c r="S23" s="1573">
        <f>F23</f>
        <v>95</v>
      </c>
      <c r="T23" s="1572" t="s">
        <v>11</v>
      </c>
      <c r="U23" s="1573">
        <f>H23</f>
        <v>95</v>
      </c>
      <c r="V23" s="1572" t="s">
        <v>11</v>
      </c>
      <c r="W23" s="1573">
        <f>J23</f>
        <v>100</v>
      </c>
      <c r="X23" s="1566"/>
      <c r="Y23" s="3409"/>
      <c r="Z23" s="1574" t="str">
        <f>Q23</f>
        <v>自然及人文环境</v>
      </c>
      <c r="AA23" s="1575">
        <f t="shared" si="3"/>
        <v>1.0526315789473684</v>
      </c>
      <c r="AB23" s="1575">
        <f t="shared" si="4"/>
        <v>1.0526315789473684</v>
      </c>
      <c r="AC23" s="1575">
        <f t="shared" si="5"/>
        <v>1</v>
      </c>
    </row>
    <row r="24" spans="1:29" ht="15">
      <c r="A24" s="532"/>
      <c r="B24" s="595"/>
      <c r="C24" s="576" t="s">
        <v>2999</v>
      </c>
      <c r="D24" s="555"/>
      <c r="E24" s="556" t="s">
        <v>3000</v>
      </c>
      <c r="F24" s="557"/>
      <c r="G24" s="558" t="s">
        <v>3000</v>
      </c>
      <c r="H24" s="555"/>
      <c r="I24" s="556" t="s">
        <v>2999</v>
      </c>
      <c r="J24" s="555"/>
      <c r="K24" s="870"/>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9"/>
      <c r="Q25" s="1571" t="str">
        <f t="shared" ref="Q25:Q46" si="11">B25</f>
        <v>楼层-1</v>
      </c>
      <c r="R25" s="1572" t="s">
        <v>11</v>
      </c>
      <c r="S25" s="1573">
        <f>F25</f>
        <v>100</v>
      </c>
      <c r="T25" s="1572" t="s">
        <v>11</v>
      </c>
      <c r="U25" s="1573">
        <f>H25</f>
        <v>100</v>
      </c>
      <c r="V25" s="1572" t="s">
        <v>11</v>
      </c>
      <c r="W25" s="1573">
        <f>J25</f>
        <v>100</v>
      </c>
      <c r="X25" s="1566"/>
      <c r="Y25" s="3409"/>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9"/>
      <c r="Q26" s="1571" t="str">
        <f t="shared" si="11"/>
        <v>朝向</v>
      </c>
      <c r="R26" s="1572" t="s">
        <v>11</v>
      </c>
      <c r="S26" s="1573">
        <f>F26</f>
        <v>100</v>
      </c>
      <c r="T26" s="1572" t="s">
        <v>11</v>
      </c>
      <c r="U26" s="1573">
        <f>H26</f>
        <v>100</v>
      </c>
      <c r="V26" s="1572" t="s">
        <v>11</v>
      </c>
      <c r="W26" s="1573">
        <f>J26</f>
        <v>100</v>
      </c>
      <c r="X26" s="1566"/>
      <c r="Y26" s="3409"/>
      <c r="Z26" s="1574" t="str">
        <f>Q26</f>
        <v>朝向</v>
      </c>
      <c r="AA26" s="1575">
        <f t="shared" si="3"/>
        <v>1</v>
      </c>
      <c r="AB26" s="1575">
        <f t="shared" si="4"/>
        <v>1</v>
      </c>
      <c r="AC26" s="1575">
        <f t="shared" si="5"/>
        <v>1</v>
      </c>
    </row>
    <row r="27" spans="1:29" s="1219" customFormat="1" ht="15">
      <c r="A27" s="536"/>
      <c r="B27" s="537" t="s">
        <v>723</v>
      </c>
      <c r="C27" s="3187" t="s">
        <v>3022</v>
      </c>
      <c r="D27" s="875">
        <v>100</v>
      </c>
      <c r="E27" s="3186" t="s">
        <v>3021</v>
      </c>
      <c r="F27" s="876">
        <f>SUMIF(90:90,E27,91:91)-SUMIF(90:90,C27,91:91)+100</f>
        <v>102</v>
      </c>
      <c r="G27" s="3188" t="s">
        <v>3158</v>
      </c>
      <c r="H27" s="875">
        <f>SUMIF(90:90,G27,91:91)-SUMIF(90:90,C27,91:91)+100</f>
        <v>102</v>
      </c>
      <c r="I27" s="3186" t="s">
        <v>3158</v>
      </c>
      <c r="J27" s="875">
        <f>SUMIF(90:90,I27,91:91)-SUMIF(90:90,C27,91:91)+100</f>
        <v>102</v>
      </c>
      <c r="K27" s="865"/>
      <c r="L27" s="2135"/>
      <c r="M27" s="2136"/>
      <c r="N27" s="2136"/>
      <c r="O27" s="2137"/>
      <c r="P27" s="3409"/>
      <c r="Q27" s="1150" t="str">
        <f t="shared" si="11"/>
        <v>道路级别</v>
      </c>
      <c r="R27" s="1567" t="s">
        <v>11</v>
      </c>
      <c r="S27" s="1568">
        <f>F27</f>
        <v>102</v>
      </c>
      <c r="T27" s="1567" t="s">
        <v>11</v>
      </c>
      <c r="U27" s="1568">
        <f>H27</f>
        <v>102</v>
      </c>
      <c r="V27" s="1567" t="s">
        <v>11</v>
      </c>
      <c r="W27" s="1568">
        <f>J27</f>
        <v>102</v>
      </c>
      <c r="X27" s="1569"/>
      <c r="Y27" s="3409"/>
      <c r="Z27" s="1149" t="str">
        <f>Q27</f>
        <v>道路级别</v>
      </c>
      <c r="AA27" s="1575">
        <f>D27/F27</f>
        <v>0.98039215686274506</v>
      </c>
      <c r="AB27" s="1575">
        <f>D27/H27</f>
        <v>0.98039215686274506</v>
      </c>
      <c r="AC27" s="1575">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9"/>
      <c r="Q29" s="1571">
        <f t="shared" si="11"/>
        <v>111</v>
      </c>
      <c r="R29" s="1572" t="s">
        <v>11</v>
      </c>
      <c r="S29" s="1573">
        <f t="shared" si="12"/>
        <v>100</v>
      </c>
      <c r="T29" s="1572" t="s">
        <v>11</v>
      </c>
      <c r="U29" s="1573">
        <f t="shared" si="13"/>
        <v>100</v>
      </c>
      <c r="V29" s="1572" t="s">
        <v>11</v>
      </c>
      <c r="W29" s="1573">
        <f t="shared" si="14"/>
        <v>100</v>
      </c>
      <c r="X29" s="1566"/>
      <c r="Y29" s="340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9"/>
      <c r="Q30" s="1571">
        <f t="shared" si="11"/>
        <v>111</v>
      </c>
      <c r="R30" s="1572" t="s">
        <v>11</v>
      </c>
      <c r="S30" s="1573">
        <f t="shared" si="12"/>
        <v>100</v>
      </c>
      <c r="T30" s="1572" t="s">
        <v>11</v>
      </c>
      <c r="U30" s="1573">
        <f t="shared" si="13"/>
        <v>100</v>
      </c>
      <c r="V30" s="1572" t="s">
        <v>11</v>
      </c>
      <c r="W30" s="1573">
        <f t="shared" si="14"/>
        <v>100</v>
      </c>
      <c r="X30" s="1566"/>
      <c r="Y30" s="3409"/>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9"/>
      <c r="Q31" s="1571">
        <f t="shared" si="11"/>
        <v>111</v>
      </c>
      <c r="R31" s="1572" t="s">
        <v>11</v>
      </c>
      <c r="S31" s="1573">
        <f t="shared" si="12"/>
        <v>100</v>
      </c>
      <c r="T31" s="1572" t="s">
        <v>11</v>
      </c>
      <c r="U31" s="1573">
        <f t="shared" si="13"/>
        <v>100</v>
      </c>
      <c r="V31" s="1572" t="s">
        <v>11</v>
      </c>
      <c r="W31" s="1573">
        <f t="shared" si="14"/>
        <v>100</v>
      </c>
      <c r="X31" s="1566"/>
      <c r="Y31" s="3409"/>
      <c r="Z31" s="1574">
        <f t="shared" si="15"/>
        <v>111</v>
      </c>
      <c r="AA31" s="1575">
        <f t="shared" si="3"/>
        <v>1</v>
      </c>
      <c r="AB31" s="1575">
        <f t="shared" si="4"/>
        <v>1</v>
      </c>
      <c r="AC31" s="1575">
        <f t="shared" si="5"/>
        <v>1</v>
      </c>
    </row>
    <row r="32" spans="1:29" ht="15">
      <c r="A32" s="2907" t="s">
        <v>2757</v>
      </c>
      <c r="B32" s="172" t="s">
        <v>724</v>
      </c>
      <c r="C32" s="878" t="s">
        <v>3063</v>
      </c>
      <c r="D32" s="597">
        <v>100</v>
      </c>
      <c r="E32" s="879" t="s">
        <v>3063</v>
      </c>
      <c r="F32" s="575">
        <f>SUMIF(100:100,E32,101:101)-SUMIF(100:100,C32,101:101)+100</f>
        <v>100</v>
      </c>
      <c r="G32" s="878" t="s">
        <v>3063</v>
      </c>
      <c r="H32" s="597">
        <f>SUMIF(100:100,G32,101:101)-SUMIF(100:100,C32,101:101)+100</f>
        <v>100</v>
      </c>
      <c r="I32" s="879" t="s">
        <v>3063</v>
      </c>
      <c r="J32" s="540">
        <f>SUMIF(100:100,I32,101:101)-SUMIF(100:100,C32,101:101)+100</f>
        <v>100</v>
      </c>
      <c r="K32" s="864">
        <v>5</v>
      </c>
      <c r="L32" s="2142"/>
      <c r="M32" s="2134"/>
      <c r="N32" s="2134"/>
      <c r="O32" s="2141"/>
      <c r="P32" s="3410" t="s">
        <v>549</v>
      </c>
      <c r="Q32" s="1571" t="str">
        <f t="shared" si="11"/>
        <v>建筑类型</v>
      </c>
      <c r="R32" s="1572" t="s">
        <v>11</v>
      </c>
      <c r="S32" s="1573">
        <f t="shared" si="12"/>
        <v>100</v>
      </c>
      <c r="T32" s="1572" t="s">
        <v>11</v>
      </c>
      <c r="U32" s="1573">
        <f t="shared" si="13"/>
        <v>100</v>
      </c>
      <c r="V32" s="1572" t="s">
        <v>11</v>
      </c>
      <c r="W32" s="1573">
        <f t="shared" si="14"/>
        <v>100</v>
      </c>
      <c r="X32" s="1566"/>
      <c r="Y32" s="3411" t="s">
        <v>549</v>
      </c>
      <c r="Z32" s="1574" t="str">
        <f t="shared" si="15"/>
        <v>建筑类型</v>
      </c>
      <c r="AA32" s="1575">
        <f t="shared" si="3"/>
        <v>1</v>
      </c>
      <c r="AB32" s="1575">
        <f t="shared" si="4"/>
        <v>1</v>
      </c>
      <c r="AC32" s="1575">
        <f t="shared" si="5"/>
        <v>1</v>
      </c>
    </row>
    <row r="33" spans="1:29" s="1338" customFormat="1" ht="15">
      <c r="A33" s="603"/>
      <c r="B33" s="527" t="s">
        <v>725</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140"/>
      <c r="M33" s="2171"/>
      <c r="N33" s="2171"/>
      <c r="O33" s="2143"/>
      <c r="P33" s="3411"/>
      <c r="Q33" s="1604" t="str">
        <f t="shared" si="11"/>
        <v>项目建筑规模</v>
      </c>
      <c r="R33" s="1576" t="s">
        <v>11</v>
      </c>
      <c r="S33" s="1577">
        <f t="shared" si="12"/>
        <v>100</v>
      </c>
      <c r="T33" s="1576" t="s">
        <v>11</v>
      </c>
      <c r="U33" s="1577">
        <f t="shared" si="13"/>
        <v>100</v>
      </c>
      <c r="V33" s="1576" t="s">
        <v>11</v>
      </c>
      <c r="W33" s="1577">
        <f t="shared" si="14"/>
        <v>100</v>
      </c>
      <c r="X33" s="1578"/>
      <c r="Y33" s="3411"/>
      <c r="Z33" s="1579" t="str">
        <f t="shared" si="15"/>
        <v>项目建筑规模</v>
      </c>
      <c r="AA33" s="1575">
        <f t="shared" si="3"/>
        <v>1</v>
      </c>
      <c r="AB33" s="1575">
        <f t="shared" si="4"/>
        <v>1</v>
      </c>
      <c r="AC33" s="1575">
        <f t="shared" si="5"/>
        <v>1</v>
      </c>
    </row>
    <row r="34" spans="1:29" ht="15">
      <c r="A34" s="594"/>
      <c r="B34" s="527" t="s">
        <v>726</v>
      </c>
      <c r="C34" s="881" t="s">
        <v>3010</v>
      </c>
      <c r="D34" s="540">
        <v>100</v>
      </c>
      <c r="E34" s="882" t="s">
        <v>3010</v>
      </c>
      <c r="F34" s="575">
        <f>SUMIF(105:105,E34,106:106)-SUMIF(105:105,C34,106:106)+100</f>
        <v>100</v>
      </c>
      <c r="G34" s="881" t="s">
        <v>3010</v>
      </c>
      <c r="H34" s="540">
        <f>SUMIF(105:105,G34,106:106)-SUMIF(105:105,C34,106:106)+100</f>
        <v>100</v>
      </c>
      <c r="I34" s="882" t="s">
        <v>3010</v>
      </c>
      <c r="J34" s="540">
        <f>SUMIF(105:105,I34,106:106)-SUMIF(105:105,C34,106:106)+100</f>
        <v>100</v>
      </c>
      <c r="K34" s="864">
        <v>1</v>
      </c>
      <c r="L34" s="2142"/>
      <c r="M34" s="2134"/>
      <c r="N34" s="2134"/>
      <c r="O34" s="2141"/>
      <c r="P34" s="3411"/>
      <c r="Q34" s="1571" t="str">
        <f t="shared" si="11"/>
        <v>建筑结构</v>
      </c>
      <c r="R34" s="1572" t="s">
        <v>11</v>
      </c>
      <c r="S34" s="1573">
        <f t="shared" si="12"/>
        <v>100</v>
      </c>
      <c r="T34" s="1572" t="s">
        <v>11</v>
      </c>
      <c r="U34" s="1573">
        <f t="shared" si="13"/>
        <v>100</v>
      </c>
      <c r="V34" s="1572" t="s">
        <v>11</v>
      </c>
      <c r="W34" s="1573">
        <f t="shared" si="14"/>
        <v>100</v>
      </c>
      <c r="X34" s="1566"/>
      <c r="Y34" s="3411"/>
      <c r="Z34" s="1574" t="str">
        <f t="shared" si="15"/>
        <v>建筑结构</v>
      </c>
      <c r="AA34" s="1575">
        <f t="shared" si="3"/>
        <v>1</v>
      </c>
      <c r="AB34" s="1575">
        <f t="shared" si="4"/>
        <v>1</v>
      </c>
      <c r="AC34" s="1575">
        <f t="shared" si="5"/>
        <v>1</v>
      </c>
    </row>
    <row r="35" spans="1:29" ht="15">
      <c r="A35" s="594"/>
      <c r="B35" s="527" t="s">
        <v>727</v>
      </c>
      <c r="C35" s="599" t="s">
        <v>2999</v>
      </c>
      <c r="D35" s="540">
        <v>100</v>
      </c>
      <c r="E35" s="874" t="s">
        <v>2999</v>
      </c>
      <c r="F35" s="575">
        <f>SUMIF(107:107,E35,108:108)-SUMIF(107:107,C35,108:108)+100</f>
        <v>100</v>
      </c>
      <c r="G35" s="599" t="s">
        <v>2999</v>
      </c>
      <c r="H35" s="540">
        <f>SUMIF(107:107,G35,108:108)-SUMIF(107:107,C35,108:108)+100</f>
        <v>100</v>
      </c>
      <c r="I35" s="874" t="s">
        <v>2999</v>
      </c>
      <c r="J35" s="540">
        <f>SUMIF(107:107,I35,108:108)-SUMIF(107:107,C35,108:108)+100</f>
        <v>100</v>
      </c>
      <c r="K35" s="864">
        <v>5</v>
      </c>
      <c r="L35" s="2142"/>
      <c r="M35" s="2134"/>
      <c r="N35" s="2134"/>
      <c r="O35" s="2141"/>
      <c r="P35" s="3411"/>
      <c r="Q35" s="1571" t="str">
        <f t="shared" si="11"/>
        <v>建筑品质</v>
      </c>
      <c r="R35" s="1572" t="s">
        <v>11</v>
      </c>
      <c r="S35" s="1573">
        <f t="shared" si="12"/>
        <v>100</v>
      </c>
      <c r="T35" s="1572" t="s">
        <v>11</v>
      </c>
      <c r="U35" s="1573">
        <f t="shared" si="13"/>
        <v>100</v>
      </c>
      <c r="V35" s="1572" t="s">
        <v>11</v>
      </c>
      <c r="W35" s="1573">
        <f t="shared" si="14"/>
        <v>100</v>
      </c>
      <c r="X35" s="1566"/>
      <c r="Y35" s="3411"/>
      <c r="Z35" s="1574" t="str">
        <f t="shared" si="15"/>
        <v>建筑品质</v>
      </c>
      <c r="AA35" s="1575">
        <f t="shared" si="3"/>
        <v>1</v>
      </c>
      <c r="AB35" s="1575">
        <f t="shared" si="4"/>
        <v>1</v>
      </c>
      <c r="AC35" s="1575">
        <f t="shared" si="5"/>
        <v>1</v>
      </c>
    </row>
    <row r="36" spans="1:29" ht="15">
      <c r="A36" s="594"/>
      <c r="B36" s="527" t="s">
        <v>728</v>
      </c>
      <c r="C36" s="599" t="s">
        <v>3001</v>
      </c>
      <c r="D36" s="540">
        <v>100</v>
      </c>
      <c r="E36" s="874" t="s">
        <v>3001</v>
      </c>
      <c r="F36" s="575">
        <f>SUMIF(109:109,E36,110:110)-SUMIF(109:109,C36,110:110)+100</f>
        <v>100</v>
      </c>
      <c r="G36" s="599" t="s">
        <v>3001</v>
      </c>
      <c r="H36" s="540">
        <f>SUMIF(109:109,G36,110:110)-SUMIF(109:109,C36,110:110)+100</f>
        <v>100</v>
      </c>
      <c r="I36" s="874" t="s">
        <v>3001</v>
      </c>
      <c r="J36" s="540">
        <f>SUMIF(109:109,I36,110:110)-SUMIF(109:109,C36,110:110)+100</f>
        <v>100</v>
      </c>
      <c r="K36" s="864">
        <v>3</v>
      </c>
      <c r="L36" s="2142"/>
      <c r="M36" s="2134"/>
      <c r="N36" s="2134"/>
      <c r="O36" s="2141"/>
      <c r="P36" s="3411"/>
      <c r="Q36" s="1571" t="str">
        <f t="shared" si="11"/>
        <v>公共部分装修</v>
      </c>
      <c r="R36" s="1572" t="s">
        <v>11</v>
      </c>
      <c r="S36" s="1573">
        <f t="shared" si="12"/>
        <v>100</v>
      </c>
      <c r="T36" s="1572" t="s">
        <v>11</v>
      </c>
      <c r="U36" s="1573">
        <f t="shared" si="13"/>
        <v>100</v>
      </c>
      <c r="V36" s="1572" t="s">
        <v>11</v>
      </c>
      <c r="W36" s="1573">
        <f t="shared" si="14"/>
        <v>100</v>
      </c>
      <c r="X36" s="1566"/>
      <c r="Y36" s="3411"/>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11"/>
      <c r="Q37" s="1150" t="str">
        <f t="shared" si="11"/>
        <v>成新度</v>
      </c>
      <c r="R37" s="1567" t="s">
        <v>11</v>
      </c>
      <c r="S37" s="1568">
        <f t="shared" si="12"/>
        <v>100</v>
      </c>
      <c r="T37" s="1567" t="s">
        <v>11</v>
      </c>
      <c r="U37" s="1568">
        <f t="shared" si="13"/>
        <v>100</v>
      </c>
      <c r="V37" s="1567" t="s">
        <v>11</v>
      </c>
      <c r="W37" s="1568">
        <f t="shared" si="14"/>
        <v>100</v>
      </c>
      <c r="X37" s="1569"/>
      <c r="Y37" s="3411"/>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1" t="s">
        <v>549</v>
      </c>
      <c r="Q38" s="1571" t="str">
        <f t="shared" si="11"/>
        <v>物业管理</v>
      </c>
      <c r="R38" s="1572" t="s">
        <v>11</v>
      </c>
      <c r="S38" s="1573">
        <f t="shared" si="12"/>
        <v>100</v>
      </c>
      <c r="T38" s="1572" t="s">
        <v>11</v>
      </c>
      <c r="U38" s="1573">
        <f t="shared" si="13"/>
        <v>100</v>
      </c>
      <c r="V38" s="1572" t="s">
        <v>11</v>
      </c>
      <c r="W38" s="1573">
        <f t="shared" si="14"/>
        <v>100</v>
      </c>
      <c r="X38" s="1566"/>
      <c r="Y38" s="3411"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1"/>
      <c r="Q39" s="1571" t="str">
        <f t="shared" si="11"/>
        <v>市政基础设施</v>
      </c>
      <c r="R39" s="1572" t="s">
        <v>11</v>
      </c>
      <c r="S39" s="1573">
        <f t="shared" si="12"/>
        <v>100</v>
      </c>
      <c r="T39" s="1572" t="s">
        <v>11</v>
      </c>
      <c r="U39" s="1573">
        <f t="shared" si="13"/>
        <v>100</v>
      </c>
      <c r="V39" s="1572" t="s">
        <v>11</v>
      </c>
      <c r="W39" s="1573">
        <f t="shared" si="14"/>
        <v>100</v>
      </c>
      <c r="X39" s="1566"/>
      <c r="Y39" s="3411"/>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1"/>
      <c r="Q40" s="1571" t="str">
        <f t="shared" si="11"/>
        <v>房型</v>
      </c>
      <c r="R40" s="1572" t="s">
        <v>11</v>
      </c>
      <c r="S40" s="1573">
        <f t="shared" si="12"/>
        <v>100</v>
      </c>
      <c r="T40" s="1572" t="s">
        <v>11</v>
      </c>
      <c r="U40" s="1573">
        <f t="shared" si="13"/>
        <v>100</v>
      </c>
      <c r="V40" s="1572" t="s">
        <v>11</v>
      </c>
      <c r="W40" s="1573">
        <f t="shared" si="14"/>
        <v>100</v>
      </c>
      <c r="X40" s="1566"/>
      <c r="Y40" s="3411"/>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1"/>
      <c r="Q41" s="1604" t="str">
        <f t="shared" si="11"/>
        <v>单套/主力户型建筑面积</v>
      </c>
      <c r="R41" s="1576" t="s">
        <v>11</v>
      </c>
      <c r="S41" s="1577">
        <f t="shared" si="12"/>
        <v>100</v>
      </c>
      <c r="T41" s="1576" t="s">
        <v>11</v>
      </c>
      <c r="U41" s="1577">
        <f t="shared" si="13"/>
        <v>100</v>
      </c>
      <c r="V41" s="1576" t="s">
        <v>11</v>
      </c>
      <c r="W41" s="1577">
        <f t="shared" si="14"/>
        <v>100</v>
      </c>
      <c r="X41" s="1578"/>
      <c r="Y41" s="3411"/>
      <c r="Z41" s="1579" t="str">
        <f t="shared" si="15"/>
        <v>单套/主力户型建筑面积</v>
      </c>
      <c r="AA41" s="1575">
        <f t="shared" si="3"/>
        <v>1</v>
      </c>
      <c r="AB41" s="1575">
        <f t="shared" si="4"/>
        <v>1</v>
      </c>
      <c r="AC41" s="1575">
        <f t="shared" si="5"/>
        <v>1</v>
      </c>
    </row>
    <row r="42" spans="1:29" ht="15">
      <c r="A42" s="594"/>
      <c r="B42" s="527" t="s">
        <v>733</v>
      </c>
      <c r="C42" s="599" t="s">
        <v>3005</v>
      </c>
      <c r="D42" s="540">
        <v>100</v>
      </c>
      <c r="E42" s="874" t="s">
        <v>3005</v>
      </c>
      <c r="F42" s="575">
        <f>SUMIF(122:122,E42,123:123)-SUMIF(122:122,C42,123:123)+100</f>
        <v>100</v>
      </c>
      <c r="G42" s="599" t="s">
        <v>3005</v>
      </c>
      <c r="H42" s="540">
        <f>SUMIF(122:122,G42,123:123)-SUMIF(122:122,C42,123:123)+100</f>
        <v>100</v>
      </c>
      <c r="I42" s="874" t="s">
        <v>3001</v>
      </c>
      <c r="J42" s="540">
        <f>SUMIF(122:122,I42,123:123)-SUMIF(122:122,C42,123:123)+100</f>
        <v>115</v>
      </c>
      <c r="K42" s="864">
        <v>5</v>
      </c>
      <c r="L42" s="2142"/>
      <c r="M42" s="2134"/>
      <c r="N42" s="2134"/>
      <c r="O42" s="2141"/>
      <c r="P42" s="3411"/>
      <c r="Q42" s="1571" t="str">
        <f t="shared" si="11"/>
        <v>内部装修</v>
      </c>
      <c r="R42" s="1572" t="s">
        <v>11</v>
      </c>
      <c r="S42" s="1573">
        <f t="shared" si="12"/>
        <v>100</v>
      </c>
      <c r="T42" s="1572" t="s">
        <v>11</v>
      </c>
      <c r="U42" s="1573">
        <f t="shared" si="13"/>
        <v>100</v>
      </c>
      <c r="V42" s="1572" t="s">
        <v>11</v>
      </c>
      <c r="W42" s="1573">
        <f t="shared" si="14"/>
        <v>115</v>
      </c>
      <c r="X42" s="1566"/>
      <c r="Y42" s="3411"/>
      <c r="Z42" s="1574" t="str">
        <f t="shared" si="15"/>
        <v>内部装修</v>
      </c>
      <c r="AA42" s="1575">
        <f t="shared" si="3"/>
        <v>1</v>
      </c>
      <c r="AB42" s="1575">
        <f t="shared" si="4"/>
        <v>1</v>
      </c>
      <c r="AC42" s="1575">
        <f t="shared" si="5"/>
        <v>0.86956521739130432</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11"/>
      <c r="Q43" s="1571" t="str">
        <f t="shared" si="11"/>
        <v>内部装修维护情况</v>
      </c>
      <c r="R43" s="1572" t="s">
        <v>11</v>
      </c>
      <c r="S43" s="1573">
        <f t="shared" si="12"/>
        <v>100</v>
      </c>
      <c r="T43" s="1572" t="s">
        <v>11</v>
      </c>
      <c r="U43" s="1573">
        <f t="shared" si="13"/>
        <v>100</v>
      </c>
      <c r="V43" s="1572" t="s">
        <v>11</v>
      </c>
      <c r="W43" s="1573">
        <f t="shared" si="14"/>
        <v>100</v>
      </c>
      <c r="X43" s="1566"/>
      <c r="Y43" s="3411"/>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1"/>
      <c r="Q44" s="1150">
        <f t="shared" si="11"/>
        <v>111</v>
      </c>
      <c r="R44" s="1567" t="s">
        <v>11</v>
      </c>
      <c r="S44" s="1568">
        <f t="shared" si="12"/>
        <v>100</v>
      </c>
      <c r="T44" s="1567" t="s">
        <v>11</v>
      </c>
      <c r="U44" s="1568">
        <f t="shared" si="13"/>
        <v>100</v>
      </c>
      <c r="V44" s="1567" t="s">
        <v>11</v>
      </c>
      <c r="W44" s="1568">
        <f t="shared" si="14"/>
        <v>100</v>
      </c>
      <c r="X44" s="1569"/>
      <c r="Y44" s="341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1"/>
      <c r="Q45" s="1571">
        <f t="shared" si="11"/>
        <v>111</v>
      </c>
      <c r="R45" s="1572" t="s">
        <v>11</v>
      </c>
      <c r="S45" s="1573">
        <f t="shared" si="12"/>
        <v>100</v>
      </c>
      <c r="T45" s="1572" t="s">
        <v>11</v>
      </c>
      <c r="U45" s="1573">
        <f t="shared" si="13"/>
        <v>100</v>
      </c>
      <c r="V45" s="1572" t="s">
        <v>11</v>
      </c>
      <c r="W45" s="1573">
        <f t="shared" si="14"/>
        <v>100</v>
      </c>
      <c r="X45" s="1566"/>
      <c r="Y45" s="3411"/>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9"/>
      <c r="Q46" s="1571">
        <f t="shared" si="11"/>
        <v>111</v>
      </c>
      <c r="R46" s="1572" t="s">
        <v>10</v>
      </c>
      <c r="S46" s="1573">
        <f t="shared" si="12"/>
        <v>100</v>
      </c>
      <c r="T46" s="1572" t="s">
        <v>10</v>
      </c>
      <c r="U46" s="1573">
        <f t="shared" si="13"/>
        <v>100</v>
      </c>
      <c r="V46" s="1572" t="s">
        <v>10</v>
      </c>
      <c r="W46" s="1573">
        <f t="shared" si="14"/>
        <v>100</v>
      </c>
      <c r="X46" s="1566"/>
      <c r="Y46" s="3489"/>
      <c r="Z46" s="1574">
        <f t="shared" si="15"/>
        <v>111</v>
      </c>
      <c r="AA46" s="1575">
        <f t="shared" si="3"/>
        <v>1</v>
      </c>
      <c r="AB46" s="1575">
        <f t="shared" si="4"/>
        <v>1</v>
      </c>
      <c r="AC46" s="1575">
        <f t="shared" si="5"/>
        <v>1</v>
      </c>
    </row>
    <row r="47" spans="1:29" ht="15">
      <c r="A47" s="607" t="s">
        <v>735</v>
      </c>
      <c r="B47" s="887"/>
      <c r="C47" s="2627" t="s">
        <v>9</v>
      </c>
      <c r="D47" s="2628"/>
      <c r="E47" s="2629">
        <v>11000</v>
      </c>
      <c r="F47" s="2630"/>
      <c r="G47" s="2631">
        <v>11000</v>
      </c>
      <c r="H47" s="2632"/>
      <c r="I47" s="2629">
        <v>13500</v>
      </c>
      <c r="J47" s="2632"/>
      <c r="K47" s="1605"/>
      <c r="L47" s="2144"/>
      <c r="M47" s="2145"/>
      <c r="N47" s="2134"/>
      <c r="O47" s="2145"/>
      <c r="P47" s="3374" t="str">
        <f>A47</f>
        <v>成交单价（元/平方米）</v>
      </c>
      <c r="Q47" s="3374"/>
      <c r="R47" s="3488">
        <f>E47</f>
        <v>11000</v>
      </c>
      <c r="S47" s="3488"/>
      <c r="T47" s="3488">
        <f>G47</f>
        <v>11000</v>
      </c>
      <c r="U47" s="3488"/>
      <c r="V47" s="3488">
        <f>I47</f>
        <v>13500</v>
      </c>
      <c r="W47" s="3488"/>
      <c r="X47" s="1558"/>
      <c r="Y47" s="1580"/>
      <c r="Z47" s="1558"/>
      <c r="AA47" s="1558"/>
      <c r="AB47" s="1558"/>
      <c r="AC47" s="1558"/>
    </row>
    <row r="48" spans="1:29" ht="15.75" thickBot="1">
      <c r="A48" s="615" t="s">
        <v>2762</v>
      </c>
      <c r="B48" s="888"/>
      <c r="C48" s="2633">
        <f>R49</f>
        <v>11404.3</v>
      </c>
      <c r="D48" s="2634"/>
      <c r="E48" s="2635">
        <f>R48</f>
        <v>11351.9</v>
      </c>
      <c r="F48" s="2635"/>
      <c r="G48" s="2633">
        <f>T48</f>
        <v>11351.9</v>
      </c>
      <c r="H48" s="2634"/>
      <c r="I48" s="2635">
        <f>V48</f>
        <v>11509</v>
      </c>
      <c r="J48" s="2634"/>
      <c r="K48" s="1606"/>
      <c r="L48" s="2144"/>
      <c r="M48" s="2145"/>
      <c r="N48" s="2145"/>
      <c r="O48" s="2145"/>
      <c r="P48" s="3374" t="str">
        <f>A48</f>
        <v>比较价格（元/平方米）</v>
      </c>
      <c r="Q48" s="3374"/>
      <c r="R48" s="3488">
        <f>IF(F1="售价",ROUND(PRODUCT(R47,AA7:AA46),0),ROUND(PRODUCT(R47,AA7:AA46),1))</f>
        <v>11351.9</v>
      </c>
      <c r="S48" s="3488"/>
      <c r="T48" s="3488">
        <f>IF(F1="售价",ROUND(PRODUCT(T47,AB7:AB46),0),ROUND(PRODUCT(T47,AB7:AB46),1))</f>
        <v>11351.9</v>
      </c>
      <c r="U48" s="3488"/>
      <c r="V48" s="3488">
        <f>IF(F1="售价",ROUND(PRODUCT(V47,AC7:AC46),0),ROUND(PRODUCT(V47,AC7:AC46),1))</f>
        <v>11509</v>
      </c>
      <c r="W48" s="3488"/>
      <c r="X48" s="1558"/>
      <c r="Y48" s="1558"/>
      <c r="Z48" s="1558"/>
      <c r="AA48" s="1558"/>
      <c r="AB48" s="1558"/>
      <c r="AC48" s="1558"/>
    </row>
    <row r="49" spans="1:29" ht="15.75" thickBot="1">
      <c r="A49" s="621" t="s">
        <v>2939</v>
      </c>
      <c r="B49" s="622"/>
      <c r="C49" s="2636">
        <f>R49</f>
        <v>11404.3</v>
      </c>
      <c r="D49" s="2636"/>
      <c r="E49" s="2636"/>
      <c r="F49" s="2636"/>
      <c r="G49" s="2636"/>
      <c r="H49" s="2636"/>
      <c r="I49" s="2636"/>
      <c r="J49" s="2636"/>
      <c r="K49" s="1607"/>
      <c r="L49" s="2144"/>
      <c r="M49" s="2145"/>
      <c r="N49" s="2145"/>
      <c r="O49" s="2145"/>
      <c r="P49" s="3371" t="str">
        <f>A49</f>
        <v>估价对象XX用房的比较价格（楼面单价，元/平方米）</v>
      </c>
      <c r="Q49" s="3372"/>
      <c r="R49" s="3487">
        <f>IF(F1="售价",ROUND(AVERAGE(R48:V48),0),ROUND(AVERAGE(R48:V48),1))</f>
        <v>11404.3</v>
      </c>
      <c r="S49" s="3487"/>
      <c r="T49" s="3487"/>
      <c r="U49" s="3487"/>
      <c r="V49" s="3487"/>
      <c r="W49" s="34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3.1990909090908959E-2</v>
      </c>
      <c r="F52" s="627" t="str">
        <f>IF(OR(E52&gt;=0.3,E52&lt;=-0.3),"超过30%","")</f>
        <v/>
      </c>
      <c r="G52" s="626">
        <f>IF(G47&lt;G48,G48/G47-1,G47/G48-1)</f>
        <v>3.1990909090908959E-2</v>
      </c>
      <c r="H52" s="627" t="str">
        <f>IF(OR(G52&gt;=0.3,G52&lt;=-0.3),"超过30%","")</f>
        <v/>
      </c>
      <c r="I52" s="626">
        <f>IF(I47&lt;I48,I48/I47-1,I47/I48-1)</f>
        <v>0.17299504735424454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v>
      </c>
      <c r="F53" s="627" t="str">
        <f>IF(OR(E53&gt;=0.2,E53&lt;=-0.2),"超过20%","")</f>
        <v/>
      </c>
      <c r="G53" s="626">
        <f>IF(G48&lt;I48,I48/G48-1,G48/I48-1)</f>
        <v>1.3839093015266091E-2</v>
      </c>
      <c r="H53" s="627" t="str">
        <f>IF(OR(G53&gt;=0.2,G53&lt;=-0.2),"超过20%","")</f>
        <v/>
      </c>
      <c r="I53" s="626">
        <f>IF(I48&lt;E48,E48/I48-1,I48/E48-1)</f>
        <v>1.3839093015266091E-2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v>
      </c>
      <c r="F54" s="627" t="str">
        <f>IF(OR(E54&gt;=0.3,E54&lt;=-0.3),"超过30%","")</f>
        <v/>
      </c>
      <c r="G54" s="626">
        <f>IF(G47&lt;I47,I47/G47-1,G47/I47-1)</f>
        <v>0.22727272727272729</v>
      </c>
      <c r="H54" s="627" t="str">
        <f>IF(OR(G54&gt;=0.3,G54&lt;=-0.3),"超过30%","")</f>
        <v/>
      </c>
      <c r="I54" s="626">
        <f>IF(I47&lt;E47,E47/I47-1,I47/E47-1)</f>
        <v>0.22727272727272729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79" t="s">
        <v>3018</v>
      </c>
      <c r="D90" s="3179" t="s">
        <v>3019</v>
      </c>
      <c r="E90" s="3179" t="s">
        <v>3020</v>
      </c>
      <c r="F90" s="3179" t="s">
        <v>3021</v>
      </c>
      <c r="G90" s="3179" t="s">
        <v>3022</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8" t="s">
        <v>3047</v>
      </c>
      <c r="D100" s="3178" t="s">
        <v>3059</v>
      </c>
      <c r="E100" s="3178" t="s">
        <v>3056</v>
      </c>
      <c r="F100" s="3178" t="s">
        <v>3057</v>
      </c>
      <c r="G100" s="3178" t="s">
        <v>3058</v>
      </c>
      <c r="H100" s="3178" t="s">
        <v>3064</v>
      </c>
      <c r="I100" s="3178" t="s">
        <v>3065</v>
      </c>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79" t="s">
        <v>3011</v>
      </c>
      <c r="D105" s="3179" t="s">
        <v>3012</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0" t="s">
        <v>3013</v>
      </c>
      <c r="D107" s="3180" t="s">
        <v>3014</v>
      </c>
      <c r="E107" s="3180" t="s">
        <v>3015</v>
      </c>
      <c r="F107" s="3180" t="s">
        <v>3016</v>
      </c>
      <c r="G107" s="3180" t="s">
        <v>3017</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79" t="s">
        <v>3009</v>
      </c>
      <c r="D109" s="3179" t="s">
        <v>3003</v>
      </c>
      <c r="E109" s="3179" t="s">
        <v>3004</v>
      </c>
      <c r="F109" s="3180" t="s">
        <v>3006</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79" t="s">
        <v>3007</v>
      </c>
      <c r="D114" s="3179" t="s">
        <v>3008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79" t="s">
        <v>3002</v>
      </c>
      <c r="D122" s="3179" t="s">
        <v>3003</v>
      </c>
      <c r="E122" s="3179" t="s">
        <v>3004</v>
      </c>
      <c r="F122" s="3180" t="s">
        <v>3006</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80" t="s">
        <v>521</v>
      </c>
      <c r="D4" s="3381"/>
      <c r="E4" s="3415" t="s">
        <v>522</v>
      </c>
      <c r="F4" s="3416"/>
      <c r="G4" s="3380" t="s">
        <v>523</v>
      </c>
      <c r="H4" s="3381"/>
      <c r="I4" s="3380" t="s">
        <v>524</v>
      </c>
      <c r="J4" s="3381"/>
      <c r="K4" s="514" t="s">
        <v>525</v>
      </c>
      <c r="L4" s="2133"/>
      <c r="M4" s="2134"/>
      <c r="N4" s="2134"/>
      <c r="O4" s="2134"/>
      <c r="P4" s="3382" t="s">
        <v>526</v>
      </c>
      <c r="Q4" s="3383"/>
      <c r="R4" s="3388" t="s">
        <v>522</v>
      </c>
      <c r="S4" s="3389"/>
      <c r="T4" s="3388" t="s">
        <v>523</v>
      </c>
      <c r="U4" s="3389"/>
      <c r="V4" s="3375" t="s">
        <v>524</v>
      </c>
      <c r="W4" s="3375"/>
      <c r="X4" s="1566"/>
      <c r="Y4" s="3388" t="s">
        <v>526</v>
      </c>
      <c r="Z4" s="3389"/>
      <c r="AA4" s="3377" t="s">
        <v>522</v>
      </c>
      <c r="AB4" s="3375" t="s">
        <v>523</v>
      </c>
      <c r="AC4" s="3377" t="s">
        <v>524</v>
      </c>
    </row>
    <row r="5" spans="1:29" ht="15">
      <c r="A5" s="515"/>
      <c r="B5" s="516"/>
      <c r="C5" s="3412" t="s">
        <v>2933</v>
      </c>
      <c r="D5" s="3397"/>
      <c r="E5" s="3417" t="s">
        <v>2934</v>
      </c>
      <c r="F5" s="3418"/>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5"/>
      <c r="AC5" s="3378"/>
    </row>
    <row r="6" spans="1:29" ht="15.75" thickBot="1">
      <c r="A6" s="517"/>
      <c r="B6" s="518"/>
      <c r="C6" s="3394" t="s">
        <v>2937</v>
      </c>
      <c r="D6" s="3395"/>
      <c r="E6" s="3413" t="s">
        <v>2937</v>
      </c>
      <c r="F6" s="3414"/>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5"/>
      <c r="AC6" s="3379"/>
    </row>
    <row r="7" spans="1:29" s="1219" customFormat="1" ht="15.75" thickBot="1">
      <c r="A7" s="2911"/>
      <c r="B7" s="2918" t="s">
        <v>528</v>
      </c>
      <c r="C7" s="519">
        <f>'数据-取费表'!B2</f>
        <v>43446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5"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75" thickBot="1">
      <c r="A8" s="2912"/>
      <c r="B8" s="2919"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46" si="3">D8/F8</f>
        <v>#DIV/0!</v>
      </c>
      <c r="AB8" s="1570" t="e">
        <f t="shared" ref="AB8:AB46" si="4">D8/H8</f>
        <v>#DIV/0!</v>
      </c>
      <c r="AC8" s="1570" t="e">
        <f t="shared" ref="AC8:AC46" si="5">D8/J8</f>
        <v>#DIV/0!</v>
      </c>
    </row>
    <row r="9" spans="1:29" s="1219"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71.25">
      <c r="A15" s="2909"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8" t="s">
        <v>539</v>
      </c>
      <c r="Q15" s="1571" t="str">
        <f t="shared" si="6"/>
        <v>商业繁华度</v>
      </c>
      <c r="R15" s="1572" t="s">
        <v>8</v>
      </c>
      <c r="S15" s="1573">
        <f t="shared" si="0"/>
        <v>100</v>
      </c>
      <c r="T15" s="1572" t="s">
        <v>8</v>
      </c>
      <c r="U15" s="1573">
        <f t="shared" si="1"/>
        <v>100</v>
      </c>
      <c r="V15" s="1572" t="s">
        <v>8</v>
      </c>
      <c r="W15" s="1573">
        <f t="shared" si="2"/>
        <v>100</v>
      </c>
      <c r="X15" s="1566"/>
      <c r="Y15" s="3408"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9"/>
      <c r="Q16" s="1571"/>
      <c r="R16" s="1572"/>
      <c r="S16" s="1573"/>
      <c r="T16" s="1572"/>
      <c r="U16" s="1573"/>
      <c r="V16" s="1572"/>
      <c r="W16" s="1573"/>
      <c r="X16" s="1566"/>
      <c r="Y16" s="340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9"/>
      <c r="Q21" s="2579" t="str">
        <f>B21</f>
        <v>基础设施水平</v>
      </c>
      <c r="R21" s="1572" t="s">
        <v>8</v>
      </c>
      <c r="S21" s="1573">
        <f>F21</f>
        <v>100</v>
      </c>
      <c r="T21" s="1572" t="s">
        <v>8</v>
      </c>
      <c r="U21" s="1573">
        <f>H21</f>
        <v>100</v>
      </c>
      <c r="V21" s="1572" t="s">
        <v>8</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09"/>
      <c r="Q22" s="2579"/>
      <c r="R22" s="1572"/>
      <c r="S22" s="1573"/>
      <c r="T22" s="1572"/>
      <c r="U22" s="1573"/>
      <c r="V22" s="1572"/>
      <c r="W22" s="1573"/>
      <c r="X22" s="2581"/>
      <c r="Y22" s="3409"/>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9"/>
      <c r="Q23" s="1571" t="str">
        <f>B23</f>
        <v>自然及人文环境</v>
      </c>
      <c r="R23" s="1572" t="s">
        <v>8</v>
      </c>
      <c r="S23" s="1573">
        <f>F23</f>
        <v>100</v>
      </c>
      <c r="T23" s="1572" t="s">
        <v>8</v>
      </c>
      <c r="U23" s="1573">
        <f>H23</f>
        <v>100</v>
      </c>
      <c r="V23" s="1572" t="s">
        <v>8</v>
      </c>
      <c r="W23" s="1573">
        <f>J23</f>
        <v>100</v>
      </c>
      <c r="X23" s="1566"/>
      <c r="Y23" s="340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9"/>
      <c r="Q25" s="1571" t="str">
        <f t="shared" ref="Q25:Q46" si="11">B25</f>
        <v>临街状况</v>
      </c>
      <c r="R25" s="1572" t="s">
        <v>8</v>
      </c>
      <c r="S25" s="1573">
        <f>F25</f>
        <v>100</v>
      </c>
      <c r="T25" s="1572" t="s">
        <v>8</v>
      </c>
      <c r="U25" s="1573">
        <f>H25</f>
        <v>100</v>
      </c>
      <c r="V25" s="1572" t="s">
        <v>8</v>
      </c>
      <c r="W25" s="1573">
        <f>J25</f>
        <v>100</v>
      </c>
      <c r="X25" s="1566"/>
      <c r="Y25" s="340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9"/>
      <c r="Q26" s="1571" t="str">
        <f t="shared" si="11"/>
        <v>平面位置/可视性</v>
      </c>
      <c r="R26" s="1572" t="s">
        <v>8</v>
      </c>
      <c r="S26" s="1573">
        <f>F26</f>
        <v>100</v>
      </c>
      <c r="T26" s="1572" t="s">
        <v>8</v>
      </c>
      <c r="U26" s="1573">
        <f>H26</f>
        <v>100</v>
      </c>
      <c r="V26" s="1572" t="s">
        <v>8</v>
      </c>
      <c r="W26" s="1573">
        <f>J26</f>
        <v>100</v>
      </c>
      <c r="X26" s="1566"/>
      <c r="Y26" s="3409"/>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9"/>
      <c r="Q27" s="1150" t="str">
        <f t="shared" si="11"/>
        <v>人流量</v>
      </c>
      <c r="R27" s="1567" t="s">
        <v>8</v>
      </c>
      <c r="S27" s="1568">
        <f>F27</f>
        <v>100</v>
      </c>
      <c r="T27" s="1567" t="s">
        <v>8</v>
      </c>
      <c r="U27" s="1568">
        <f>H27</f>
        <v>100</v>
      </c>
      <c r="V27" s="1567" t="s">
        <v>8</v>
      </c>
      <c r="W27" s="1568">
        <f>J27</f>
        <v>100</v>
      </c>
      <c r="X27" s="1569"/>
      <c r="Y27" s="3409"/>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9"/>
      <c r="Q29" s="1571">
        <f t="shared" si="11"/>
        <v>111</v>
      </c>
      <c r="R29" s="1572" t="s">
        <v>8</v>
      </c>
      <c r="S29" s="1573">
        <f t="shared" si="12"/>
        <v>100</v>
      </c>
      <c r="T29" s="1572" t="s">
        <v>8</v>
      </c>
      <c r="U29" s="1573">
        <f t="shared" si="13"/>
        <v>100</v>
      </c>
      <c r="V29" s="1572" t="s">
        <v>8</v>
      </c>
      <c r="W29" s="1573">
        <f t="shared" si="14"/>
        <v>100</v>
      </c>
      <c r="X29" s="1566"/>
      <c r="Y29" s="340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0" t="s">
        <v>549</v>
      </c>
      <c r="Q32" s="1571" t="str">
        <f t="shared" si="11"/>
        <v>商业类型</v>
      </c>
      <c r="R32" s="1572" t="s">
        <v>8</v>
      </c>
      <c r="S32" s="1573">
        <f t="shared" si="12"/>
        <v>100</v>
      </c>
      <c r="T32" s="1572" t="s">
        <v>8</v>
      </c>
      <c r="U32" s="1573">
        <f t="shared" si="13"/>
        <v>100</v>
      </c>
      <c r="V32" s="1572" t="s">
        <v>8</v>
      </c>
      <c r="W32" s="1573">
        <f t="shared" si="14"/>
        <v>100</v>
      </c>
      <c r="X32" s="1566"/>
      <c r="Y32" s="3411"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1"/>
      <c r="Q33" s="1604" t="str">
        <f t="shared" si="11"/>
        <v>项目建筑规模</v>
      </c>
      <c r="R33" s="1576" t="s">
        <v>8</v>
      </c>
      <c r="S33" s="1577" t="e">
        <f t="shared" si="12"/>
        <v>#N/A</v>
      </c>
      <c r="T33" s="1576" t="s">
        <v>8</v>
      </c>
      <c r="U33" s="1577" t="e">
        <f t="shared" si="13"/>
        <v>#N/A</v>
      </c>
      <c r="V33" s="1576" t="s">
        <v>8</v>
      </c>
      <c r="W33" s="1577" t="e">
        <f t="shared" si="14"/>
        <v>#N/A</v>
      </c>
      <c r="X33" s="1578"/>
      <c r="Y33" s="3411"/>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1"/>
      <c r="Q34" s="1571" t="str">
        <f t="shared" si="11"/>
        <v>建筑结构</v>
      </c>
      <c r="R34" s="1572" t="s">
        <v>8</v>
      </c>
      <c r="S34" s="1573">
        <f t="shared" si="12"/>
        <v>100</v>
      </c>
      <c r="T34" s="1572" t="s">
        <v>8</v>
      </c>
      <c r="U34" s="1573">
        <f t="shared" si="13"/>
        <v>100</v>
      </c>
      <c r="V34" s="1572" t="s">
        <v>8</v>
      </c>
      <c r="W34" s="1573">
        <f t="shared" si="14"/>
        <v>100</v>
      </c>
      <c r="X34" s="1566"/>
      <c r="Y34" s="341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1"/>
      <c r="Q35" s="1571" t="str">
        <f t="shared" si="11"/>
        <v>公共部分装修</v>
      </c>
      <c r="R35" s="1572" t="s">
        <v>8</v>
      </c>
      <c r="S35" s="1573">
        <f t="shared" si="12"/>
        <v>100</v>
      </c>
      <c r="T35" s="1572" t="s">
        <v>8</v>
      </c>
      <c r="U35" s="1573">
        <f t="shared" si="13"/>
        <v>100</v>
      </c>
      <c r="V35" s="1572" t="s">
        <v>8</v>
      </c>
      <c r="W35" s="1573">
        <f t="shared" si="14"/>
        <v>100</v>
      </c>
      <c r="X35" s="1566"/>
      <c r="Y35" s="3411"/>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1"/>
      <c r="Q36" s="1571" t="str">
        <f t="shared" si="11"/>
        <v>成新度</v>
      </c>
      <c r="R36" s="1572" t="s">
        <v>8</v>
      </c>
      <c r="S36" s="1573" t="e">
        <f t="shared" si="12"/>
        <v>#N/A</v>
      </c>
      <c r="T36" s="1572" t="s">
        <v>8</v>
      </c>
      <c r="U36" s="1573" t="e">
        <f t="shared" si="13"/>
        <v>#N/A</v>
      </c>
      <c r="V36" s="1572" t="s">
        <v>8</v>
      </c>
      <c r="W36" s="1573" t="e">
        <f t="shared" si="14"/>
        <v>#N/A</v>
      </c>
      <c r="X36" s="1566"/>
      <c r="Y36" s="3411"/>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1"/>
      <c r="Q37" s="1150" t="str">
        <f t="shared" si="11"/>
        <v>市政基础设施</v>
      </c>
      <c r="R37" s="1567" t="s">
        <v>8</v>
      </c>
      <c r="S37" s="1568">
        <f t="shared" si="12"/>
        <v>100</v>
      </c>
      <c r="T37" s="1567" t="s">
        <v>8</v>
      </c>
      <c r="U37" s="1568">
        <f t="shared" si="13"/>
        <v>100</v>
      </c>
      <c r="V37" s="1567" t="s">
        <v>8</v>
      </c>
      <c r="W37" s="1568">
        <f t="shared" si="14"/>
        <v>100</v>
      </c>
      <c r="X37" s="1569"/>
      <c r="Y37" s="3411"/>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1" t="s">
        <v>765</v>
      </c>
      <c r="Q38" s="1571" t="str">
        <f t="shared" si="11"/>
        <v>业态</v>
      </c>
      <c r="R38" s="1572" t="s">
        <v>8</v>
      </c>
      <c r="S38" s="1573">
        <f t="shared" si="12"/>
        <v>100</v>
      </c>
      <c r="T38" s="1572" t="s">
        <v>8</v>
      </c>
      <c r="U38" s="1573">
        <f t="shared" si="13"/>
        <v>100</v>
      </c>
      <c r="V38" s="1572" t="s">
        <v>8</v>
      </c>
      <c r="W38" s="1573">
        <f t="shared" si="14"/>
        <v>100</v>
      </c>
      <c r="X38" s="1566"/>
      <c r="Y38" s="341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c r="Q39" s="1571" t="str">
        <f t="shared" si="11"/>
        <v>层高</v>
      </c>
      <c r="R39" s="1572" t="s">
        <v>8</v>
      </c>
      <c r="S39" s="1573">
        <f t="shared" si="12"/>
        <v>100</v>
      </c>
      <c r="T39" s="1572" t="s">
        <v>8</v>
      </c>
      <c r="U39" s="1573">
        <f t="shared" si="13"/>
        <v>100</v>
      </c>
      <c r="V39" s="1572" t="s">
        <v>8</v>
      </c>
      <c r="W39" s="1573">
        <f t="shared" si="14"/>
        <v>100</v>
      </c>
      <c r="X39" s="1566"/>
      <c r="Y39" s="3411"/>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1"/>
      <c r="Q40" s="1571" t="str">
        <f t="shared" si="11"/>
        <v>单套建筑面积</v>
      </c>
      <c r="R40" s="1572" t="s">
        <v>8</v>
      </c>
      <c r="S40" s="1573">
        <f t="shared" si="12"/>
        <v>100</v>
      </c>
      <c r="T40" s="1572" t="s">
        <v>8</v>
      </c>
      <c r="U40" s="1573">
        <f t="shared" si="13"/>
        <v>100</v>
      </c>
      <c r="V40" s="1572" t="s">
        <v>8</v>
      </c>
      <c r="W40" s="1573">
        <f t="shared" si="14"/>
        <v>100</v>
      </c>
      <c r="X40" s="1566"/>
      <c r="Y40" s="3411"/>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1"/>
      <c r="Q41" s="1604" t="str">
        <f t="shared" si="11"/>
        <v>进深比</v>
      </c>
      <c r="R41" s="1576" t="s">
        <v>8</v>
      </c>
      <c r="S41" s="1577">
        <f t="shared" si="12"/>
        <v>100</v>
      </c>
      <c r="T41" s="1576" t="s">
        <v>8</v>
      </c>
      <c r="U41" s="1577">
        <f t="shared" si="13"/>
        <v>100</v>
      </c>
      <c r="V41" s="1576" t="s">
        <v>8</v>
      </c>
      <c r="W41" s="1577">
        <f t="shared" si="14"/>
        <v>100</v>
      </c>
      <c r="X41" s="1578"/>
      <c r="Y41" s="341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1"/>
      <c r="Q42" s="1571" t="str">
        <f t="shared" si="11"/>
        <v>内部装修</v>
      </c>
      <c r="R42" s="1572" t="s">
        <v>8</v>
      </c>
      <c r="S42" s="1573">
        <f t="shared" si="12"/>
        <v>100</v>
      </c>
      <c r="T42" s="1572" t="s">
        <v>8</v>
      </c>
      <c r="U42" s="1573">
        <f t="shared" si="13"/>
        <v>100</v>
      </c>
      <c r="V42" s="1572" t="s">
        <v>8</v>
      </c>
      <c r="W42" s="1573">
        <f t="shared" si="14"/>
        <v>100</v>
      </c>
      <c r="X42" s="1566"/>
      <c r="Y42" s="3411"/>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1"/>
      <c r="Q43" s="1571" t="str">
        <f t="shared" si="11"/>
        <v>内部装修维护情况</v>
      </c>
      <c r="R43" s="1572" t="s">
        <v>8</v>
      </c>
      <c r="S43" s="1573">
        <f t="shared" si="12"/>
        <v>100</v>
      </c>
      <c r="T43" s="1572" t="s">
        <v>8</v>
      </c>
      <c r="U43" s="1573">
        <f t="shared" si="13"/>
        <v>100</v>
      </c>
      <c r="V43" s="1572" t="s">
        <v>8</v>
      </c>
      <c r="W43" s="1573">
        <f t="shared" si="14"/>
        <v>100</v>
      </c>
      <c r="X43" s="1566"/>
      <c r="Y43" s="3411"/>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1"/>
      <c r="Q44" s="1150">
        <f t="shared" si="11"/>
        <v>111</v>
      </c>
      <c r="R44" s="1567" t="s">
        <v>8</v>
      </c>
      <c r="S44" s="1568">
        <f t="shared" si="12"/>
        <v>100</v>
      </c>
      <c r="T44" s="1567" t="s">
        <v>8</v>
      </c>
      <c r="U44" s="1568">
        <f t="shared" si="13"/>
        <v>100</v>
      </c>
      <c r="V44" s="1567" t="s">
        <v>8</v>
      </c>
      <c r="W44" s="1568">
        <f t="shared" si="14"/>
        <v>100</v>
      </c>
      <c r="X44" s="1569"/>
      <c r="Y44" s="341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1"/>
      <c r="Q45" s="1571">
        <f t="shared" si="11"/>
        <v>111</v>
      </c>
      <c r="R45" s="1572" t="s">
        <v>8</v>
      </c>
      <c r="S45" s="1573">
        <f t="shared" si="12"/>
        <v>100</v>
      </c>
      <c r="T45" s="1572" t="s">
        <v>8</v>
      </c>
      <c r="U45" s="1573">
        <f t="shared" si="13"/>
        <v>100</v>
      </c>
      <c r="V45" s="1572" t="s">
        <v>8</v>
      </c>
      <c r="W45" s="1573">
        <f t="shared" si="14"/>
        <v>100</v>
      </c>
      <c r="X45" s="1566"/>
      <c r="Y45" s="3411"/>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9"/>
      <c r="Q46" s="1571">
        <f t="shared" si="11"/>
        <v>111</v>
      </c>
      <c r="R46" s="1572" t="s">
        <v>8</v>
      </c>
      <c r="S46" s="1573">
        <f t="shared" si="12"/>
        <v>100</v>
      </c>
      <c r="T46" s="1572" t="s">
        <v>8</v>
      </c>
      <c r="U46" s="1573">
        <f t="shared" si="13"/>
        <v>100</v>
      </c>
      <c r="V46" s="1572" t="s">
        <v>8</v>
      </c>
      <c r="W46" s="1573">
        <f t="shared" si="14"/>
        <v>100</v>
      </c>
      <c r="X46" s="1566"/>
      <c r="Y46" s="3489"/>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74" t="str">
        <f>A47</f>
        <v>成交单价（元/平方米）</v>
      </c>
      <c r="Q47" s="3374"/>
      <c r="R47" s="3488">
        <f>E47</f>
        <v>0</v>
      </c>
      <c r="S47" s="3488"/>
      <c r="T47" s="3488">
        <f>G47</f>
        <v>0</v>
      </c>
      <c r="U47" s="3488"/>
      <c r="V47" s="3488">
        <f>I47</f>
        <v>0</v>
      </c>
      <c r="W47" s="3488"/>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371" t="str">
        <f>A49</f>
        <v>估价对象XX用房的比较价格（楼面单价，元/平方米）</v>
      </c>
      <c r="Q49" s="3372"/>
      <c r="R49" s="3487" t="e">
        <f>IF(F1="售价",ROUND(AVERAGE(R48:V48),0),ROUND(AVERAGE(R48:V48),1))</f>
        <v>#DIV/0!</v>
      </c>
      <c r="S49" s="3487"/>
      <c r="T49" s="3487"/>
      <c r="U49" s="3487"/>
      <c r="V49" s="3487"/>
      <c r="W49" s="348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80" t="s">
        <v>521</v>
      </c>
      <c r="D4" s="3381"/>
      <c r="E4" s="3415" t="s">
        <v>522</v>
      </c>
      <c r="F4" s="3416"/>
      <c r="G4" s="3380" t="s">
        <v>523</v>
      </c>
      <c r="H4" s="3381"/>
      <c r="I4" s="3380" t="s">
        <v>524</v>
      </c>
      <c r="J4" s="3381"/>
      <c r="K4" s="514" t="s">
        <v>525</v>
      </c>
      <c r="L4" s="2133"/>
      <c r="M4" s="2134"/>
      <c r="N4" s="2134"/>
      <c r="O4" s="2134"/>
      <c r="P4" s="3492" t="s">
        <v>526</v>
      </c>
      <c r="Q4" s="3383"/>
      <c r="R4" s="3388" t="s">
        <v>522</v>
      </c>
      <c r="S4" s="3389"/>
      <c r="T4" s="3388" t="s">
        <v>523</v>
      </c>
      <c r="U4" s="3389"/>
      <c r="V4" s="3375" t="s">
        <v>524</v>
      </c>
      <c r="W4" s="3375"/>
      <c r="X4" s="1566"/>
      <c r="Y4" s="3388" t="s">
        <v>526</v>
      </c>
      <c r="Z4" s="3389"/>
      <c r="AA4" s="3377" t="s">
        <v>522</v>
      </c>
      <c r="AB4" s="3377" t="s">
        <v>523</v>
      </c>
      <c r="AC4" s="3377" t="s">
        <v>524</v>
      </c>
    </row>
    <row r="5" spans="1:29" ht="15">
      <c r="A5" s="515"/>
      <c r="B5" s="516"/>
      <c r="C5" s="3412" t="s">
        <v>2933</v>
      </c>
      <c r="D5" s="3397"/>
      <c r="E5" s="3417" t="s">
        <v>2934</v>
      </c>
      <c r="F5" s="3418"/>
      <c r="G5" s="3412" t="s">
        <v>2935</v>
      </c>
      <c r="H5" s="3397"/>
      <c r="I5" s="3412" t="s">
        <v>2936</v>
      </c>
      <c r="J5" s="3397"/>
      <c r="K5" s="514"/>
      <c r="L5" s="2133"/>
      <c r="M5" s="2134"/>
      <c r="N5" s="2134"/>
      <c r="O5" s="2134"/>
      <c r="P5" s="3493"/>
      <c r="Q5" s="3385"/>
      <c r="R5" s="3390"/>
      <c r="S5" s="3391"/>
      <c r="T5" s="3390"/>
      <c r="U5" s="3391"/>
      <c r="V5" s="3375"/>
      <c r="W5" s="3375"/>
      <c r="X5" s="1566"/>
      <c r="Y5" s="3390"/>
      <c r="Z5" s="3391"/>
      <c r="AA5" s="3378"/>
      <c r="AB5" s="3378"/>
      <c r="AC5" s="3378"/>
    </row>
    <row r="6" spans="1:29" ht="15.75" thickBot="1">
      <c r="A6" s="517"/>
      <c r="B6" s="518"/>
      <c r="C6" s="3394" t="s">
        <v>2937</v>
      </c>
      <c r="D6" s="3395"/>
      <c r="E6" s="3413" t="s">
        <v>2937</v>
      </c>
      <c r="F6" s="3414"/>
      <c r="G6" s="3394" t="s">
        <v>2937</v>
      </c>
      <c r="H6" s="3395"/>
      <c r="I6" s="3394" t="s">
        <v>2937</v>
      </c>
      <c r="J6" s="3395"/>
      <c r="K6" s="514" t="s">
        <v>527</v>
      </c>
      <c r="L6" s="2133"/>
      <c r="M6" s="2134"/>
      <c r="N6" s="2134"/>
      <c r="O6" s="2134"/>
      <c r="P6" s="3494"/>
      <c r="Q6" s="3387"/>
      <c r="R6" s="3390"/>
      <c r="S6" s="3391"/>
      <c r="T6" s="3392"/>
      <c r="U6" s="3393"/>
      <c r="V6" s="3375"/>
      <c r="W6" s="3375"/>
      <c r="X6" s="1566"/>
      <c r="Y6" s="3392"/>
      <c r="Z6" s="3393"/>
      <c r="AA6" s="3379"/>
      <c r="AB6" s="3379"/>
      <c r="AC6" s="3379"/>
    </row>
    <row r="7" spans="1:29" s="1219" customFormat="1" ht="15.75" thickBot="1">
      <c r="A7" s="2911"/>
      <c r="B7" s="2918" t="s">
        <v>528</v>
      </c>
      <c r="C7" s="519">
        <f>'数据-取费表'!B2</f>
        <v>43446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7"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75" thickBot="1">
      <c r="A8" s="2912"/>
      <c r="B8" s="2919"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7" t="s">
        <v>532</v>
      </c>
      <c r="Q8" s="3406"/>
      <c r="R8" s="1567" t="s">
        <v>8</v>
      </c>
      <c r="S8" s="1568">
        <f t="shared" si="0"/>
        <v>0</v>
      </c>
      <c r="T8" s="1567" t="s">
        <v>8</v>
      </c>
      <c r="U8" s="1568">
        <f t="shared" si="1"/>
        <v>0</v>
      </c>
      <c r="V8" s="1567" t="s">
        <v>8</v>
      </c>
      <c r="W8" s="1568">
        <f t="shared" si="2"/>
        <v>0</v>
      </c>
      <c r="X8" s="1569"/>
      <c r="Y8" s="3405" t="s">
        <v>532</v>
      </c>
      <c r="Z8" s="3406"/>
      <c r="AA8" s="1570" t="e">
        <f t="shared" ref="AA8:AA47" si="3">D8/F8</f>
        <v>#DIV/0!</v>
      </c>
      <c r="AB8" s="1570" t="e">
        <f t="shared" ref="AB8:AB47" si="4">D8/H8</f>
        <v>#DIV/0!</v>
      </c>
      <c r="AC8" s="1570" t="e">
        <f t="shared" ref="AC8:AC47" si="5">D8/J8</f>
        <v>#DIV/0!</v>
      </c>
    </row>
    <row r="9" spans="1:29" s="1219"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71.25">
      <c r="A15" s="2909"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8" t="s">
        <v>539</v>
      </c>
      <c r="Q15" s="1571" t="str">
        <f t="shared" si="6"/>
        <v>办公集聚程度</v>
      </c>
      <c r="R15" s="1572" t="s">
        <v>8</v>
      </c>
      <c r="S15" s="1573">
        <f t="shared" si="0"/>
        <v>100</v>
      </c>
      <c r="T15" s="1572" t="s">
        <v>8</v>
      </c>
      <c r="U15" s="1573">
        <f t="shared" si="1"/>
        <v>100</v>
      </c>
      <c r="V15" s="1572" t="s">
        <v>8</v>
      </c>
      <c r="W15" s="1573">
        <f t="shared" si="2"/>
        <v>100</v>
      </c>
      <c r="X15" s="1566"/>
      <c r="Y15" s="340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09"/>
      <c r="Q16" s="1571"/>
      <c r="R16" s="1572"/>
      <c r="S16" s="1573"/>
      <c r="T16" s="1572"/>
      <c r="U16" s="1573"/>
      <c r="V16" s="1572"/>
      <c r="W16" s="1573"/>
      <c r="X16" s="1566"/>
      <c r="Y16" s="3409"/>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09"/>
      <c r="Q18" s="1571"/>
      <c r="R18" s="1572"/>
      <c r="S18" s="1573"/>
      <c r="T18" s="1572"/>
      <c r="U18" s="1573"/>
      <c r="V18" s="1572"/>
      <c r="W18" s="1573"/>
      <c r="X18" s="1566"/>
      <c r="Y18" s="3409"/>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09"/>
      <c r="Q20" s="1571"/>
      <c r="R20" s="1572"/>
      <c r="S20" s="1573"/>
      <c r="T20" s="1572"/>
      <c r="U20" s="1573"/>
      <c r="V20" s="1572"/>
      <c r="W20" s="1573"/>
      <c r="X20" s="1566"/>
      <c r="Y20" s="3409"/>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9"/>
      <c r="Q21" s="2579" t="str">
        <f>B21</f>
        <v>基础设施水平</v>
      </c>
      <c r="R21" s="1572" t="s">
        <v>8</v>
      </c>
      <c r="S21" s="1573">
        <f>F21</f>
        <v>100</v>
      </c>
      <c r="T21" s="1572" t="s">
        <v>8</v>
      </c>
      <c r="U21" s="1573">
        <f>H21</f>
        <v>100</v>
      </c>
      <c r="V21" s="1572" t="s">
        <v>8</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09"/>
      <c r="Q22" s="2579"/>
      <c r="R22" s="1572"/>
      <c r="S22" s="1573"/>
      <c r="T22" s="1572"/>
      <c r="U22" s="1573"/>
      <c r="V22" s="1572"/>
      <c r="W22" s="1573"/>
      <c r="X22" s="2581"/>
      <c r="Y22" s="3409"/>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09"/>
      <c r="Q24" s="1571"/>
      <c r="R24" s="1572"/>
      <c r="S24" s="1573"/>
      <c r="T24" s="1572"/>
      <c r="U24" s="1573"/>
      <c r="V24" s="1572"/>
      <c r="W24" s="1573"/>
      <c r="X24" s="1566"/>
      <c r="Y24" s="3409"/>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9"/>
      <c r="Q25" s="1571" t="str">
        <f>B25</f>
        <v>毗邻道路的类型与等级</v>
      </c>
      <c r="R25" s="1572" t="s">
        <v>8</v>
      </c>
      <c r="S25" s="1573">
        <f>F25</f>
        <v>100</v>
      </c>
      <c r="T25" s="1572" t="s">
        <v>8</v>
      </c>
      <c r="U25" s="1573">
        <f>H25</f>
        <v>100</v>
      </c>
      <c r="V25" s="1572" t="s">
        <v>8</v>
      </c>
      <c r="W25" s="1573">
        <f>J25</f>
        <v>100</v>
      </c>
      <c r="X25" s="1566"/>
      <c r="Y25" s="340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09"/>
      <c r="Q26" s="1571"/>
      <c r="R26" s="1572"/>
      <c r="S26" s="1573"/>
      <c r="T26" s="1572"/>
      <c r="U26" s="1573"/>
      <c r="V26" s="1572"/>
      <c r="W26" s="1573"/>
      <c r="X26" s="1566"/>
      <c r="Y26" s="340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9"/>
      <c r="Q27" s="1571" t="str">
        <f t="shared" ref="Q27:Q47" si="11">B27</f>
        <v>楼层</v>
      </c>
      <c r="R27" s="1572" t="s">
        <v>8</v>
      </c>
      <c r="S27" s="1573">
        <f>F27</f>
        <v>100</v>
      </c>
      <c r="T27" s="1572" t="s">
        <v>8</v>
      </c>
      <c r="U27" s="1573">
        <f>H27</f>
        <v>100</v>
      </c>
      <c r="V27" s="1572" t="s">
        <v>8</v>
      </c>
      <c r="W27" s="1573">
        <f>J27</f>
        <v>100</v>
      </c>
      <c r="X27" s="1566"/>
      <c r="Y27" s="3409"/>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9"/>
      <c r="Q28" s="1150" t="str">
        <f t="shared" si="11"/>
        <v>朝向</v>
      </c>
      <c r="R28" s="1567" t="s">
        <v>8</v>
      </c>
      <c r="S28" s="1568">
        <f>F28</f>
        <v>100</v>
      </c>
      <c r="T28" s="1567" t="s">
        <v>8</v>
      </c>
      <c r="U28" s="1568">
        <f>H28</f>
        <v>100</v>
      </c>
      <c r="V28" s="1567" t="s">
        <v>8</v>
      </c>
      <c r="W28" s="1568">
        <f>J28</f>
        <v>100</v>
      </c>
      <c r="X28" s="1569"/>
      <c r="Y28" s="3409"/>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9"/>
      <c r="Q29" s="1571">
        <f t="shared" si="11"/>
        <v>111</v>
      </c>
      <c r="R29" s="1572" t="s">
        <v>8</v>
      </c>
      <c r="S29" s="1573">
        <f t="shared" ref="S29:S47" si="12">F29</f>
        <v>100</v>
      </c>
      <c r="T29" s="1572" t="s">
        <v>8</v>
      </c>
      <c r="U29" s="1573">
        <f t="shared" ref="U29:U47" si="13">H29</f>
        <v>100</v>
      </c>
      <c r="V29" s="1572" t="s">
        <v>8</v>
      </c>
      <c r="W29" s="1573">
        <f t="shared" ref="W29:W47" si="14">J29</f>
        <v>100</v>
      </c>
      <c r="X29" s="1566"/>
      <c r="Y29" s="340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9"/>
      <c r="Q30" s="1571">
        <f t="shared" si="11"/>
        <v>111</v>
      </c>
      <c r="R30" s="1572" t="s">
        <v>8</v>
      </c>
      <c r="S30" s="1573">
        <f t="shared" si="12"/>
        <v>100</v>
      </c>
      <c r="T30" s="1572" t="s">
        <v>8</v>
      </c>
      <c r="U30" s="1573">
        <f t="shared" si="13"/>
        <v>100</v>
      </c>
      <c r="V30" s="1572" t="s">
        <v>8</v>
      </c>
      <c r="W30" s="1573">
        <f t="shared" si="14"/>
        <v>100</v>
      </c>
      <c r="X30" s="1566"/>
      <c r="Y30" s="340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9"/>
      <c r="Q31" s="1571">
        <f t="shared" si="11"/>
        <v>111</v>
      </c>
      <c r="R31" s="1572" t="s">
        <v>8</v>
      </c>
      <c r="S31" s="1573">
        <f t="shared" si="12"/>
        <v>100</v>
      </c>
      <c r="T31" s="1572" t="s">
        <v>8</v>
      </c>
      <c r="U31" s="1573">
        <f t="shared" si="13"/>
        <v>100</v>
      </c>
      <c r="V31" s="1572" t="s">
        <v>8</v>
      </c>
      <c r="W31" s="1573">
        <f t="shared" si="14"/>
        <v>100</v>
      </c>
      <c r="X31" s="1566"/>
      <c r="Y31" s="3409"/>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9"/>
      <c r="Q32" s="1571">
        <f t="shared" si="11"/>
        <v>111</v>
      </c>
      <c r="R32" s="1572" t="s">
        <v>8</v>
      </c>
      <c r="S32" s="1573">
        <f t="shared" si="12"/>
        <v>100</v>
      </c>
      <c r="T32" s="1572" t="s">
        <v>8</v>
      </c>
      <c r="U32" s="1573">
        <f t="shared" si="13"/>
        <v>100</v>
      </c>
      <c r="V32" s="1572" t="s">
        <v>8</v>
      </c>
      <c r="W32" s="1573">
        <f t="shared" si="14"/>
        <v>100</v>
      </c>
      <c r="X32" s="1566"/>
      <c r="Y32" s="3409"/>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0" t="s">
        <v>549</v>
      </c>
      <c r="Q33" s="1571" t="str">
        <f t="shared" si="11"/>
        <v>建筑类型</v>
      </c>
      <c r="R33" s="1572" t="s">
        <v>8</v>
      </c>
      <c r="S33" s="1573">
        <f t="shared" si="12"/>
        <v>100</v>
      </c>
      <c r="T33" s="1572" t="s">
        <v>8</v>
      </c>
      <c r="U33" s="1573">
        <f t="shared" si="13"/>
        <v>100</v>
      </c>
      <c r="V33" s="1572" t="s">
        <v>8</v>
      </c>
      <c r="W33" s="1573">
        <f t="shared" si="14"/>
        <v>100</v>
      </c>
      <c r="X33" s="1566"/>
      <c r="Y33" s="3411"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1"/>
      <c r="Q34" s="1604" t="str">
        <f t="shared" si="11"/>
        <v>项目建筑规模</v>
      </c>
      <c r="R34" s="1576" t="s">
        <v>8</v>
      </c>
      <c r="S34" s="1577" t="e">
        <f t="shared" si="12"/>
        <v>#N/A</v>
      </c>
      <c r="T34" s="1576" t="s">
        <v>8</v>
      </c>
      <c r="U34" s="1577" t="e">
        <f t="shared" si="13"/>
        <v>#N/A</v>
      </c>
      <c r="V34" s="1576" t="s">
        <v>8</v>
      </c>
      <c r="W34" s="1577" t="e">
        <f t="shared" si="14"/>
        <v>#N/A</v>
      </c>
      <c r="X34" s="1578"/>
      <c r="Y34" s="341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1"/>
      <c r="Q35" s="1571" t="str">
        <f t="shared" si="11"/>
        <v>建筑结构</v>
      </c>
      <c r="R35" s="1572" t="s">
        <v>8</v>
      </c>
      <c r="S35" s="1573">
        <f t="shared" si="12"/>
        <v>100</v>
      </c>
      <c r="T35" s="1572" t="s">
        <v>8</v>
      </c>
      <c r="U35" s="1573">
        <f t="shared" si="13"/>
        <v>100</v>
      </c>
      <c r="V35" s="1572" t="s">
        <v>8</v>
      </c>
      <c r="W35" s="1573">
        <f t="shared" si="14"/>
        <v>100</v>
      </c>
      <c r="X35" s="1566"/>
      <c r="Y35" s="341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1"/>
      <c r="Q36" s="1571" t="str">
        <f t="shared" si="11"/>
        <v>公共部分装修</v>
      </c>
      <c r="R36" s="1572" t="s">
        <v>8</v>
      </c>
      <c r="S36" s="1573">
        <f t="shared" si="12"/>
        <v>100</v>
      </c>
      <c r="T36" s="1572" t="s">
        <v>8</v>
      </c>
      <c r="U36" s="1573">
        <f t="shared" si="13"/>
        <v>100</v>
      </c>
      <c r="V36" s="1572" t="s">
        <v>8</v>
      </c>
      <c r="W36" s="1573">
        <f t="shared" si="14"/>
        <v>100</v>
      </c>
      <c r="X36" s="1566"/>
      <c r="Y36" s="3411"/>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1"/>
      <c r="Q37" s="1571" t="str">
        <f t="shared" si="11"/>
        <v>成新度</v>
      </c>
      <c r="R37" s="1572" t="s">
        <v>8</v>
      </c>
      <c r="S37" s="1573" t="e">
        <f t="shared" si="12"/>
        <v>#N/A</v>
      </c>
      <c r="T37" s="1572" t="s">
        <v>8</v>
      </c>
      <c r="U37" s="1573" t="e">
        <f t="shared" si="13"/>
        <v>#N/A</v>
      </c>
      <c r="V37" s="1572" t="s">
        <v>8</v>
      </c>
      <c r="W37" s="1573" t="e">
        <f t="shared" si="14"/>
        <v>#N/A</v>
      </c>
      <c r="X37" s="1566"/>
      <c r="Y37" s="3411"/>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1"/>
      <c r="Q38" s="1150" t="str">
        <f t="shared" si="11"/>
        <v>写字楼等级</v>
      </c>
      <c r="R38" s="1567" t="s">
        <v>8</v>
      </c>
      <c r="S38" s="1568">
        <f t="shared" si="12"/>
        <v>100</v>
      </c>
      <c r="T38" s="1567" t="s">
        <v>8</v>
      </c>
      <c r="U38" s="1568">
        <f t="shared" si="13"/>
        <v>100</v>
      </c>
      <c r="V38" s="1567" t="s">
        <v>8</v>
      </c>
      <c r="W38" s="1568">
        <f t="shared" si="14"/>
        <v>100</v>
      </c>
      <c r="X38" s="1569"/>
      <c r="Y38" s="3411"/>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1" t="s">
        <v>549</v>
      </c>
      <c r="Q39" s="1571" t="str">
        <f t="shared" si="11"/>
        <v>物业管理</v>
      </c>
      <c r="R39" s="1572" t="s">
        <v>8</v>
      </c>
      <c r="S39" s="1573">
        <f t="shared" si="12"/>
        <v>100</v>
      </c>
      <c r="T39" s="1572" t="s">
        <v>8</v>
      </c>
      <c r="U39" s="1573">
        <f t="shared" si="13"/>
        <v>100</v>
      </c>
      <c r="V39" s="1572" t="s">
        <v>8</v>
      </c>
      <c r="W39" s="1573">
        <f t="shared" si="14"/>
        <v>100</v>
      </c>
      <c r="X39" s="1566"/>
      <c r="Y39" s="3411"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1"/>
      <c r="Q40" s="1571" t="str">
        <f t="shared" si="11"/>
        <v>市政基础设施</v>
      </c>
      <c r="R40" s="1572" t="s">
        <v>8</v>
      </c>
      <c r="S40" s="1573">
        <f t="shared" si="12"/>
        <v>100</v>
      </c>
      <c r="T40" s="1572" t="s">
        <v>8</v>
      </c>
      <c r="U40" s="1573">
        <f t="shared" si="13"/>
        <v>100</v>
      </c>
      <c r="V40" s="1572" t="s">
        <v>8</v>
      </c>
      <c r="W40" s="1573">
        <f t="shared" si="14"/>
        <v>100</v>
      </c>
      <c r="X40" s="1566"/>
      <c r="Y40" s="341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1"/>
      <c r="Q41" s="1571" t="str">
        <f t="shared" si="11"/>
        <v>层高</v>
      </c>
      <c r="R41" s="1572" t="s">
        <v>8</v>
      </c>
      <c r="S41" s="1573">
        <f t="shared" si="12"/>
        <v>100</v>
      </c>
      <c r="T41" s="1572" t="s">
        <v>8</v>
      </c>
      <c r="U41" s="1573">
        <f t="shared" si="13"/>
        <v>100</v>
      </c>
      <c r="V41" s="1572" t="s">
        <v>8</v>
      </c>
      <c r="W41" s="1573">
        <f t="shared" si="14"/>
        <v>100</v>
      </c>
      <c r="X41" s="1566"/>
      <c r="Y41" s="3411"/>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1"/>
      <c r="Q42" s="1604" t="str">
        <f t="shared" si="11"/>
        <v>单套建筑面积</v>
      </c>
      <c r="R42" s="1576" t="s">
        <v>8</v>
      </c>
      <c r="S42" s="1577">
        <f t="shared" si="12"/>
        <v>100</v>
      </c>
      <c r="T42" s="1576" t="s">
        <v>8</v>
      </c>
      <c r="U42" s="1577">
        <f t="shared" si="13"/>
        <v>100</v>
      </c>
      <c r="V42" s="1576" t="s">
        <v>8</v>
      </c>
      <c r="W42" s="1577">
        <f t="shared" si="14"/>
        <v>100</v>
      </c>
      <c r="X42" s="1578"/>
      <c r="Y42" s="341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1"/>
      <c r="Q43" s="1571" t="str">
        <f t="shared" si="11"/>
        <v>内部装修</v>
      </c>
      <c r="R43" s="1572" t="s">
        <v>8</v>
      </c>
      <c r="S43" s="1573">
        <f t="shared" si="12"/>
        <v>100</v>
      </c>
      <c r="T43" s="1572" t="s">
        <v>8</v>
      </c>
      <c r="U43" s="1573">
        <f t="shared" si="13"/>
        <v>100</v>
      </c>
      <c r="V43" s="1572" t="s">
        <v>8</v>
      </c>
      <c r="W43" s="1573">
        <f t="shared" si="14"/>
        <v>100</v>
      </c>
      <c r="X43" s="1566"/>
      <c r="Y43" s="3411"/>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1"/>
      <c r="Q44" s="1571" t="str">
        <f t="shared" si="11"/>
        <v>内部装修维护情况</v>
      </c>
      <c r="R44" s="1572" t="s">
        <v>8</v>
      </c>
      <c r="S44" s="1573">
        <f t="shared" si="12"/>
        <v>100</v>
      </c>
      <c r="T44" s="1572" t="s">
        <v>8</v>
      </c>
      <c r="U44" s="1573">
        <f t="shared" si="13"/>
        <v>100</v>
      </c>
      <c r="V44" s="1572" t="s">
        <v>8</v>
      </c>
      <c r="W44" s="1573">
        <f t="shared" si="14"/>
        <v>100</v>
      </c>
      <c r="X44" s="1566"/>
      <c r="Y44" s="3411"/>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1"/>
      <c r="Q45" s="1150">
        <f t="shared" si="11"/>
        <v>111</v>
      </c>
      <c r="R45" s="1567" t="s">
        <v>8</v>
      </c>
      <c r="S45" s="1568">
        <f t="shared" si="12"/>
        <v>100</v>
      </c>
      <c r="T45" s="1567" t="s">
        <v>8</v>
      </c>
      <c r="U45" s="1568">
        <f t="shared" si="13"/>
        <v>100</v>
      </c>
      <c r="V45" s="1567" t="s">
        <v>8</v>
      </c>
      <c r="W45" s="1568">
        <f t="shared" si="14"/>
        <v>100</v>
      </c>
      <c r="X45" s="1569"/>
      <c r="Y45" s="341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1"/>
      <c r="Q46" s="1571">
        <f t="shared" si="11"/>
        <v>111</v>
      </c>
      <c r="R46" s="1572" t="s">
        <v>8</v>
      </c>
      <c r="S46" s="1573">
        <f t="shared" si="12"/>
        <v>100</v>
      </c>
      <c r="T46" s="1572" t="s">
        <v>8</v>
      </c>
      <c r="U46" s="1573">
        <f t="shared" si="13"/>
        <v>100</v>
      </c>
      <c r="V46" s="1572" t="s">
        <v>8</v>
      </c>
      <c r="W46" s="1573">
        <f t="shared" si="14"/>
        <v>100</v>
      </c>
      <c r="X46" s="1566"/>
      <c r="Y46" s="3411"/>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9"/>
      <c r="Q47" s="1571">
        <f t="shared" si="11"/>
        <v>111</v>
      </c>
      <c r="R47" s="1572" t="s">
        <v>8</v>
      </c>
      <c r="S47" s="1573">
        <f t="shared" si="12"/>
        <v>100</v>
      </c>
      <c r="T47" s="1572" t="s">
        <v>8</v>
      </c>
      <c r="U47" s="1573">
        <f t="shared" si="13"/>
        <v>100</v>
      </c>
      <c r="V47" s="1572" t="s">
        <v>8</v>
      </c>
      <c r="W47" s="1573">
        <f t="shared" si="14"/>
        <v>100</v>
      </c>
      <c r="X47" s="1566"/>
      <c r="Y47" s="3489"/>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372" t="str">
        <f>A48</f>
        <v>成交单价（元/平方米）</v>
      </c>
      <c r="Q48" s="3374"/>
      <c r="R48" s="3488">
        <f>E48</f>
        <v>0</v>
      </c>
      <c r="S48" s="3488"/>
      <c r="T48" s="3488">
        <f>G48</f>
        <v>0</v>
      </c>
      <c r="U48" s="3488"/>
      <c r="V48" s="3488">
        <f>I48</f>
        <v>0</v>
      </c>
      <c r="W48" s="3488"/>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372" t="str">
        <f>A49</f>
        <v>比较价格（元/平方米）</v>
      </c>
      <c r="Q49" s="3374"/>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91" t="str">
        <f>A50</f>
        <v>估价对象XX用房的比较价格（楼面单价，元/平方米）</v>
      </c>
      <c r="Q50" s="3372"/>
      <c r="R50" s="3487" t="e">
        <f>IF(F1="售价",ROUND(AVERAGE(R49:V49),0),ROUND(AVERAGE(R49:V49),1))</f>
        <v>#DIV/0!</v>
      </c>
      <c r="S50" s="3487"/>
      <c r="T50" s="3487"/>
      <c r="U50" s="3487"/>
      <c r="V50" s="3487"/>
      <c r="W50" s="348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2018-12</v>
      </c>
      <c r="D59" s="2804">
        <f>EDATE(C59,-1)</f>
        <v>43405</v>
      </c>
      <c r="E59" s="2804">
        <f t="shared" ref="E59:O59" si="16">EDATE(D59,-1)</f>
        <v>43374</v>
      </c>
      <c r="F59" s="2804">
        <f t="shared" si="16"/>
        <v>43344</v>
      </c>
      <c r="G59" s="2804">
        <f t="shared" si="16"/>
        <v>43313</v>
      </c>
      <c r="H59" s="2804">
        <f t="shared" si="16"/>
        <v>43282</v>
      </c>
      <c r="I59" s="2804">
        <f t="shared" si="16"/>
        <v>43252</v>
      </c>
      <c r="J59" s="2804">
        <f t="shared" si="16"/>
        <v>43221</v>
      </c>
      <c r="K59" s="2804">
        <f t="shared" si="16"/>
        <v>43191</v>
      </c>
      <c r="L59" s="2804">
        <f t="shared" si="16"/>
        <v>43160</v>
      </c>
      <c r="M59" s="2804">
        <f t="shared" si="16"/>
        <v>43132</v>
      </c>
      <c r="N59" s="2804">
        <f t="shared" si="16"/>
        <v>43101</v>
      </c>
      <c r="O59" s="2804">
        <f t="shared" si="16"/>
        <v>43070</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80" t="s">
        <v>521</v>
      </c>
      <c r="D4" s="3381"/>
      <c r="E4" s="3415" t="s">
        <v>522</v>
      </c>
      <c r="F4" s="3416"/>
      <c r="G4" s="3380" t="s">
        <v>523</v>
      </c>
      <c r="H4" s="3381"/>
      <c r="I4" s="3380" t="s">
        <v>524</v>
      </c>
      <c r="J4" s="3381"/>
      <c r="K4" s="514" t="s">
        <v>525</v>
      </c>
      <c r="L4" s="2133"/>
      <c r="M4" s="2134"/>
      <c r="N4" s="2134"/>
      <c r="O4" s="2134"/>
      <c r="P4" s="3382" t="s">
        <v>526</v>
      </c>
      <c r="Q4" s="3383"/>
      <c r="R4" s="3388" t="s">
        <v>522</v>
      </c>
      <c r="S4" s="3389"/>
      <c r="T4" s="3388" t="s">
        <v>523</v>
      </c>
      <c r="U4" s="3389"/>
      <c r="V4" s="3375" t="s">
        <v>524</v>
      </c>
      <c r="W4" s="3375"/>
      <c r="X4" s="1566"/>
      <c r="Y4" s="3388" t="s">
        <v>526</v>
      </c>
      <c r="Z4" s="3389"/>
      <c r="AA4" s="3377" t="s">
        <v>522</v>
      </c>
      <c r="AB4" s="3378" t="s">
        <v>523</v>
      </c>
      <c r="AC4" s="3377" t="s">
        <v>524</v>
      </c>
    </row>
    <row r="5" spans="1:29" ht="15">
      <c r="A5" s="515"/>
      <c r="B5" s="516"/>
      <c r="C5" s="3412" t="s">
        <v>2933</v>
      </c>
      <c r="D5" s="3397"/>
      <c r="E5" s="3417" t="s">
        <v>2934</v>
      </c>
      <c r="F5" s="3418"/>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2937</v>
      </c>
      <c r="D6" s="3395"/>
      <c r="E6" s="3413" t="s">
        <v>2937</v>
      </c>
      <c r="F6" s="3414"/>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1"/>
      <c r="B7" s="2918" t="s">
        <v>528</v>
      </c>
      <c r="C7" s="519">
        <f>'数据-取费表'!B2</f>
        <v>43446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5" t="s">
        <v>529</v>
      </c>
      <c r="Q7" s="3407"/>
      <c r="R7" s="1567" t="s">
        <v>8</v>
      </c>
      <c r="S7" s="1568">
        <f t="shared" ref="S7:S15" si="0">F7</f>
        <v>0</v>
      </c>
      <c r="T7" s="1567" t="s">
        <v>8</v>
      </c>
      <c r="U7" s="1568">
        <f t="shared" ref="U7:U15" si="1">H7</f>
        <v>0</v>
      </c>
      <c r="V7" s="1567" t="s">
        <v>8</v>
      </c>
      <c r="W7" s="1568">
        <f t="shared" ref="W7:W15" si="2">J7</f>
        <v>0</v>
      </c>
      <c r="X7" s="1569"/>
      <c r="Y7" s="3405" t="s">
        <v>529</v>
      </c>
      <c r="Z7" s="3406"/>
      <c r="AA7" s="1570" t="e">
        <f>D7/F7</f>
        <v>#DIV/0!</v>
      </c>
      <c r="AB7" s="1570" t="e">
        <f>D7/H7</f>
        <v>#DIV/0!</v>
      </c>
      <c r="AC7" s="1570" t="e">
        <f>D7/J7</f>
        <v>#DIV/0!</v>
      </c>
    </row>
    <row r="8" spans="1:29" s="1219" customFormat="1" ht="15.75" thickBot="1">
      <c r="A8" s="2912"/>
      <c r="B8" s="2919"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40" si="3">D8/F8</f>
        <v>#DIV/0!</v>
      </c>
      <c r="AB8" s="1570" t="e">
        <f t="shared" ref="AB8:AB40" si="4">D8/H8</f>
        <v>#DIV/0!</v>
      </c>
      <c r="AC8" s="1570" t="e">
        <f t="shared" ref="AC8:AC40" si="5">D8/J8</f>
        <v>#DIV/0!</v>
      </c>
    </row>
    <row r="9" spans="1:29" s="1219"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534</v>
      </c>
      <c r="Q9" s="1150" t="str">
        <f t="shared" ref="Q9:Q15" si="6">B9</f>
        <v>用途</v>
      </c>
      <c r="R9" s="1567" t="s">
        <v>8</v>
      </c>
      <c r="S9" s="1568">
        <f t="shared" si="0"/>
        <v>100</v>
      </c>
      <c r="T9" s="1567" t="s">
        <v>8</v>
      </c>
      <c r="U9" s="1568">
        <f t="shared" si="1"/>
        <v>100</v>
      </c>
      <c r="V9" s="1567" t="s">
        <v>8</v>
      </c>
      <c r="W9" s="1568">
        <f t="shared" si="2"/>
        <v>100</v>
      </c>
      <c r="X9" s="1569"/>
      <c r="Y9" s="3320" t="s">
        <v>535</v>
      </c>
      <c r="Z9" s="1149" t="str">
        <f t="shared" ref="Z9:Z15" si="7">Q9</f>
        <v>用途</v>
      </c>
      <c r="AA9" s="1570">
        <f t="shared" si="3"/>
        <v>1</v>
      </c>
      <c r="AB9" s="1570">
        <f t="shared" si="4"/>
        <v>1</v>
      </c>
      <c r="AC9" s="1570">
        <f t="shared" si="5"/>
        <v>1</v>
      </c>
    </row>
    <row r="10" spans="1:29" s="1337"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57">
      <c r="A15" s="2909"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8" t="s">
        <v>539</v>
      </c>
      <c r="Q15" s="1571" t="str">
        <f t="shared" si="6"/>
        <v>产业集聚程度</v>
      </c>
      <c r="R15" s="1572" t="s">
        <v>8</v>
      </c>
      <c r="S15" s="1573">
        <f t="shared" si="0"/>
        <v>100</v>
      </c>
      <c r="T15" s="1572" t="s">
        <v>8</v>
      </c>
      <c r="U15" s="1573">
        <f t="shared" si="1"/>
        <v>100</v>
      </c>
      <c r="V15" s="1572" t="s">
        <v>8</v>
      </c>
      <c r="W15" s="1573">
        <f t="shared" si="2"/>
        <v>100</v>
      </c>
      <c r="X15" s="1566"/>
      <c r="Y15" s="340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9"/>
      <c r="Q16" s="1571"/>
      <c r="R16" s="1572"/>
      <c r="S16" s="1573"/>
      <c r="T16" s="1572"/>
      <c r="U16" s="1573"/>
      <c r="V16" s="1572"/>
      <c r="W16" s="1573"/>
      <c r="X16" s="1566"/>
      <c r="Y16" s="340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9"/>
      <c r="Q17" s="1571" t="str">
        <f>B17</f>
        <v>交通便捷度</v>
      </c>
      <c r="R17" s="1572" t="s">
        <v>8</v>
      </c>
      <c r="S17" s="1573">
        <f>F17</f>
        <v>100</v>
      </c>
      <c r="T17" s="1572" t="s">
        <v>8</v>
      </c>
      <c r="U17" s="1573">
        <f>H17</f>
        <v>100</v>
      </c>
      <c r="V17" s="1572" t="s">
        <v>8</v>
      </c>
      <c r="W17" s="1573">
        <f>J17</f>
        <v>100</v>
      </c>
      <c r="X17" s="1566"/>
      <c r="Y17" s="340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9"/>
      <c r="Q18" s="1571"/>
      <c r="R18" s="1572"/>
      <c r="S18" s="1573"/>
      <c r="T18" s="1572"/>
      <c r="U18" s="1573"/>
      <c r="V18" s="1572"/>
      <c r="W18" s="1573"/>
      <c r="X18" s="1566"/>
      <c r="Y18" s="3409"/>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9"/>
      <c r="Q19" s="1571" t="str">
        <f>B19</f>
        <v>公共配套设施</v>
      </c>
      <c r="R19" s="1572" t="s">
        <v>8</v>
      </c>
      <c r="S19" s="1573">
        <f>F19</f>
        <v>100</v>
      </c>
      <c r="T19" s="1572" t="s">
        <v>8</v>
      </c>
      <c r="U19" s="1573">
        <f>H19</f>
        <v>100</v>
      </c>
      <c r="V19" s="1572" t="s">
        <v>8</v>
      </c>
      <c r="W19" s="1573">
        <f>J19</f>
        <v>100</v>
      </c>
      <c r="X19" s="1566"/>
      <c r="Y19" s="340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09"/>
      <c r="Q20" s="1571"/>
      <c r="R20" s="1572"/>
      <c r="S20" s="1573"/>
      <c r="T20" s="1572"/>
      <c r="U20" s="1573"/>
      <c r="V20" s="1572"/>
      <c r="W20" s="1573"/>
      <c r="X20" s="1566"/>
      <c r="Y20" s="3409"/>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9"/>
      <c r="Q21" s="2579" t="str">
        <f>B21</f>
        <v>基础设施水平</v>
      </c>
      <c r="R21" s="1572" t="s">
        <v>8</v>
      </c>
      <c r="S21" s="1573">
        <f>F21</f>
        <v>100</v>
      </c>
      <c r="T21" s="1572" t="s">
        <v>8</v>
      </c>
      <c r="U21" s="1573">
        <f>H21</f>
        <v>100</v>
      </c>
      <c r="V21" s="1572" t="s">
        <v>8</v>
      </c>
      <c r="W21" s="1573">
        <f>J21</f>
        <v>100</v>
      </c>
      <c r="X21" s="2581"/>
      <c r="Y21" s="3409"/>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09"/>
      <c r="Q22" s="2579"/>
      <c r="R22" s="1572"/>
      <c r="S22" s="1573"/>
      <c r="T22" s="1572"/>
      <c r="U22" s="1573"/>
      <c r="V22" s="1572"/>
      <c r="W22" s="1573"/>
      <c r="X22" s="2581"/>
      <c r="Y22" s="3409"/>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9"/>
      <c r="Q23" s="1571" t="str">
        <f>B23</f>
        <v>环境质量</v>
      </c>
      <c r="R23" s="1572" t="s">
        <v>8</v>
      </c>
      <c r="S23" s="1573">
        <f>F23</f>
        <v>100</v>
      </c>
      <c r="T23" s="1572" t="s">
        <v>8</v>
      </c>
      <c r="U23" s="1573">
        <f>H23</f>
        <v>100</v>
      </c>
      <c r="V23" s="1572" t="s">
        <v>8</v>
      </c>
      <c r="W23" s="1573">
        <f>J23</f>
        <v>100</v>
      </c>
      <c r="X23" s="1566"/>
      <c r="Y23" s="340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09"/>
      <c r="Q24" s="1571"/>
      <c r="R24" s="1572"/>
      <c r="S24" s="1573"/>
      <c r="T24" s="1572"/>
      <c r="U24" s="1573"/>
      <c r="V24" s="1572"/>
      <c r="W24" s="1573"/>
      <c r="X24" s="1566"/>
      <c r="Y24" s="340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9"/>
      <c r="Q25" s="1571">
        <f>B25</f>
        <v>111</v>
      </c>
      <c r="R25" s="1572" t="s">
        <v>8</v>
      </c>
      <c r="S25" s="1573">
        <f>F25</f>
        <v>100</v>
      </c>
      <c r="T25" s="1572" t="s">
        <v>8</v>
      </c>
      <c r="U25" s="1573">
        <f>H25</f>
        <v>100</v>
      </c>
      <c r="V25" s="1572" t="s">
        <v>8</v>
      </c>
      <c r="W25" s="1573">
        <f>J25</f>
        <v>100</v>
      </c>
      <c r="X25" s="1566"/>
      <c r="Y25" s="340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9"/>
      <c r="Q26" s="1571">
        <f t="shared" ref="Q26:Q40" si="11">B26</f>
        <v>111</v>
      </c>
      <c r="R26" s="1572" t="s">
        <v>8</v>
      </c>
      <c r="S26" s="1573">
        <f>F26</f>
        <v>100</v>
      </c>
      <c r="T26" s="1572" t="s">
        <v>8</v>
      </c>
      <c r="U26" s="1573">
        <f>H26</f>
        <v>100</v>
      </c>
      <c r="V26" s="1572" t="s">
        <v>8</v>
      </c>
      <c r="W26" s="1573">
        <f>J26</f>
        <v>100</v>
      </c>
      <c r="X26" s="1566"/>
      <c r="Y26" s="340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9"/>
      <c r="Q27" s="1150">
        <f t="shared" si="11"/>
        <v>111</v>
      </c>
      <c r="R27" s="1567" t="s">
        <v>8</v>
      </c>
      <c r="S27" s="1568">
        <f>F27</f>
        <v>100</v>
      </c>
      <c r="T27" s="1567" t="s">
        <v>8</v>
      </c>
      <c r="U27" s="1568">
        <f>H27</f>
        <v>100</v>
      </c>
      <c r="V27" s="1567" t="s">
        <v>8</v>
      </c>
      <c r="W27" s="1568">
        <f>J27</f>
        <v>100</v>
      </c>
      <c r="X27" s="1569"/>
      <c r="Y27" s="340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9"/>
      <c r="Q28" s="1571">
        <f t="shared" si="11"/>
        <v>111</v>
      </c>
      <c r="R28" s="1572" t="s">
        <v>8</v>
      </c>
      <c r="S28" s="1573">
        <f t="shared" ref="S28:S40" si="12">F28</f>
        <v>100</v>
      </c>
      <c r="T28" s="1572" t="s">
        <v>8</v>
      </c>
      <c r="U28" s="1573">
        <f t="shared" ref="U28:U40" si="13">H28</f>
        <v>100</v>
      </c>
      <c r="V28" s="1572" t="s">
        <v>8</v>
      </c>
      <c r="W28" s="1573">
        <f t="shared" ref="W28:W40" si="14">J28</f>
        <v>100</v>
      </c>
      <c r="X28" s="1566"/>
      <c r="Y28" s="3409"/>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0" t="s">
        <v>549</v>
      </c>
      <c r="Q29" s="1571" t="str">
        <f t="shared" si="11"/>
        <v>建筑类型</v>
      </c>
      <c r="R29" s="1572" t="s">
        <v>8</v>
      </c>
      <c r="S29" s="1573">
        <f t="shared" si="12"/>
        <v>100</v>
      </c>
      <c r="T29" s="1572" t="s">
        <v>8</v>
      </c>
      <c r="U29" s="1573">
        <f t="shared" si="13"/>
        <v>100</v>
      </c>
      <c r="V29" s="1572" t="s">
        <v>8</v>
      </c>
      <c r="W29" s="1573">
        <f t="shared" si="14"/>
        <v>100</v>
      </c>
      <c r="X29" s="1566"/>
      <c r="Y29" s="3411"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1"/>
      <c r="Q30" s="1604" t="str">
        <f t="shared" si="11"/>
        <v>项目建筑规模</v>
      </c>
      <c r="R30" s="1576" t="s">
        <v>8</v>
      </c>
      <c r="S30" s="1577" t="e">
        <f t="shared" si="12"/>
        <v>#N/A</v>
      </c>
      <c r="T30" s="1576" t="s">
        <v>8</v>
      </c>
      <c r="U30" s="1577" t="e">
        <f t="shared" si="13"/>
        <v>#N/A</v>
      </c>
      <c r="V30" s="1576" t="s">
        <v>8</v>
      </c>
      <c r="W30" s="1577" t="e">
        <f t="shared" si="14"/>
        <v>#N/A</v>
      </c>
      <c r="X30" s="1578"/>
      <c r="Y30" s="341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1"/>
      <c r="Q31" s="1571" t="str">
        <f t="shared" si="11"/>
        <v>建筑结构</v>
      </c>
      <c r="R31" s="1572" t="s">
        <v>8</v>
      </c>
      <c r="S31" s="1573">
        <f t="shared" si="12"/>
        <v>100</v>
      </c>
      <c r="T31" s="1572" t="s">
        <v>8</v>
      </c>
      <c r="U31" s="1573">
        <f t="shared" si="13"/>
        <v>100</v>
      </c>
      <c r="V31" s="1572" t="s">
        <v>8</v>
      </c>
      <c r="W31" s="1573">
        <f t="shared" si="14"/>
        <v>100</v>
      </c>
      <c r="X31" s="1566"/>
      <c r="Y31" s="341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1"/>
      <c r="Q32" s="1571" t="str">
        <f t="shared" si="11"/>
        <v>公共部分装修</v>
      </c>
      <c r="R32" s="1572" t="s">
        <v>8</v>
      </c>
      <c r="S32" s="1573">
        <f t="shared" si="12"/>
        <v>100</v>
      </c>
      <c r="T32" s="1572" t="s">
        <v>8</v>
      </c>
      <c r="U32" s="1573">
        <f t="shared" si="13"/>
        <v>100</v>
      </c>
      <c r="V32" s="1572" t="s">
        <v>8</v>
      </c>
      <c r="W32" s="1573">
        <f t="shared" si="14"/>
        <v>100</v>
      </c>
      <c r="X32" s="1566"/>
      <c r="Y32" s="3411"/>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1"/>
      <c r="Q33" s="1571" t="str">
        <f t="shared" si="11"/>
        <v>成新度</v>
      </c>
      <c r="R33" s="1572" t="s">
        <v>8</v>
      </c>
      <c r="S33" s="1573" t="e">
        <f t="shared" si="12"/>
        <v>#N/A</v>
      </c>
      <c r="T33" s="1572" t="s">
        <v>8</v>
      </c>
      <c r="U33" s="1573" t="e">
        <f t="shared" si="13"/>
        <v>#N/A</v>
      </c>
      <c r="V33" s="1572" t="s">
        <v>8</v>
      </c>
      <c r="W33" s="1573" t="e">
        <f t="shared" si="14"/>
        <v>#N/A</v>
      </c>
      <c r="X33" s="1566"/>
      <c r="Y33" s="341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1"/>
      <c r="Q34" s="1150" t="str">
        <f t="shared" si="11"/>
        <v>物业管理</v>
      </c>
      <c r="R34" s="1567" t="s">
        <v>8</v>
      </c>
      <c r="S34" s="1568">
        <f t="shared" si="12"/>
        <v>100</v>
      </c>
      <c r="T34" s="1567" t="s">
        <v>8</v>
      </c>
      <c r="U34" s="1568">
        <f t="shared" si="13"/>
        <v>100</v>
      </c>
      <c r="V34" s="1567" t="s">
        <v>8</v>
      </c>
      <c r="W34" s="1568">
        <f t="shared" si="14"/>
        <v>100</v>
      </c>
      <c r="X34" s="1569"/>
      <c r="Y34" s="3411"/>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1" t="s">
        <v>549</v>
      </c>
      <c r="Q35" s="1571" t="str">
        <f t="shared" si="11"/>
        <v>市政基础设施</v>
      </c>
      <c r="R35" s="1572" t="s">
        <v>8</v>
      </c>
      <c r="S35" s="1573">
        <f t="shared" si="12"/>
        <v>100</v>
      </c>
      <c r="T35" s="1572" t="s">
        <v>8</v>
      </c>
      <c r="U35" s="1573">
        <f t="shared" si="13"/>
        <v>100</v>
      </c>
      <c r="V35" s="1572" t="s">
        <v>8</v>
      </c>
      <c r="W35" s="1573">
        <f t="shared" si="14"/>
        <v>100</v>
      </c>
      <c r="X35" s="1566"/>
      <c r="Y35" s="341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1"/>
      <c r="Q36" s="1571" t="str">
        <f t="shared" si="11"/>
        <v>内部装修</v>
      </c>
      <c r="R36" s="1572" t="s">
        <v>8</v>
      </c>
      <c r="S36" s="1573">
        <f t="shared" si="12"/>
        <v>100</v>
      </c>
      <c r="T36" s="1572" t="s">
        <v>8</v>
      </c>
      <c r="U36" s="1573">
        <f t="shared" si="13"/>
        <v>100</v>
      </c>
      <c r="V36" s="1572" t="s">
        <v>8</v>
      </c>
      <c r="W36" s="1573">
        <f t="shared" si="14"/>
        <v>100</v>
      </c>
      <c r="X36" s="1566"/>
      <c r="Y36" s="341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1"/>
      <c r="Q37" s="1571" t="str">
        <f t="shared" si="11"/>
        <v>内部装修状况</v>
      </c>
      <c r="R37" s="1572" t="s">
        <v>8</v>
      </c>
      <c r="S37" s="1573">
        <f t="shared" si="12"/>
        <v>100</v>
      </c>
      <c r="T37" s="1572" t="s">
        <v>8</v>
      </c>
      <c r="U37" s="1573">
        <f t="shared" si="13"/>
        <v>100</v>
      </c>
      <c r="V37" s="1572" t="s">
        <v>8</v>
      </c>
      <c r="W37" s="1573">
        <f t="shared" si="14"/>
        <v>100</v>
      </c>
      <c r="X37" s="1566"/>
      <c r="Y37" s="3411"/>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1"/>
      <c r="Q38" s="1604">
        <f t="shared" si="11"/>
        <v>111</v>
      </c>
      <c r="R38" s="1576" t="s">
        <v>8</v>
      </c>
      <c r="S38" s="1577">
        <f t="shared" si="12"/>
        <v>100</v>
      </c>
      <c r="T38" s="1576" t="s">
        <v>8</v>
      </c>
      <c r="U38" s="1577">
        <f t="shared" si="13"/>
        <v>100</v>
      </c>
      <c r="V38" s="1576" t="s">
        <v>8</v>
      </c>
      <c r="W38" s="1577">
        <f t="shared" si="14"/>
        <v>100</v>
      </c>
      <c r="X38" s="1578"/>
      <c r="Y38" s="341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1"/>
      <c r="Q39" s="1571">
        <f t="shared" si="11"/>
        <v>111</v>
      </c>
      <c r="R39" s="1572" t="s">
        <v>8</v>
      </c>
      <c r="S39" s="1573">
        <f t="shared" si="12"/>
        <v>100</v>
      </c>
      <c r="T39" s="1572" t="s">
        <v>8</v>
      </c>
      <c r="U39" s="1573">
        <f t="shared" si="13"/>
        <v>100</v>
      </c>
      <c r="V39" s="1572" t="s">
        <v>8</v>
      </c>
      <c r="W39" s="1573">
        <f t="shared" si="14"/>
        <v>100</v>
      </c>
      <c r="X39" s="1566"/>
      <c r="Y39" s="3411"/>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9"/>
      <c r="Q40" s="1571">
        <f t="shared" si="11"/>
        <v>111</v>
      </c>
      <c r="R40" s="1572" t="s">
        <v>8</v>
      </c>
      <c r="S40" s="1573">
        <f t="shared" si="12"/>
        <v>100</v>
      </c>
      <c r="T40" s="1572" t="s">
        <v>8</v>
      </c>
      <c r="U40" s="1573">
        <f t="shared" si="13"/>
        <v>100</v>
      </c>
      <c r="V40" s="1572" t="s">
        <v>8</v>
      </c>
      <c r="W40" s="1573">
        <f t="shared" si="14"/>
        <v>100</v>
      </c>
      <c r="X40" s="1566"/>
      <c r="Y40" s="3489"/>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74" t="str">
        <f>A41</f>
        <v>成交单价（元/平方米）</v>
      </c>
      <c r="Q41" s="3374"/>
      <c r="R41" s="3488">
        <f>E41</f>
        <v>0</v>
      </c>
      <c r="S41" s="3488"/>
      <c r="T41" s="3488">
        <f>G41</f>
        <v>0</v>
      </c>
      <c r="U41" s="3488"/>
      <c r="V41" s="3488">
        <f>I41</f>
        <v>0</v>
      </c>
      <c r="W41" s="3488"/>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371" t="str">
        <f>A43</f>
        <v>估价对象XX用房的比较价格（楼面单价，元/平方米）</v>
      </c>
      <c r="Q43" s="3372"/>
      <c r="R43" s="3487" t="e">
        <f>IF(F1="售价",ROUND(AVERAGE(R42:V42),0),ROUND(AVERAGE(R42:V42),1))</f>
        <v>#DIV/0!</v>
      </c>
      <c r="S43" s="3487"/>
      <c r="T43" s="3487"/>
      <c r="U43" s="3487"/>
      <c r="V43" s="3487"/>
      <c r="W43" s="348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2018-12</v>
      </c>
      <c r="D52" s="2804">
        <f>EDATE(C52,-1)</f>
        <v>43405</v>
      </c>
      <c r="E52" s="2804">
        <f t="shared" ref="E52:O52" si="16">EDATE(D52,-1)</f>
        <v>43374</v>
      </c>
      <c r="F52" s="2804">
        <f t="shared" si="16"/>
        <v>43344</v>
      </c>
      <c r="G52" s="2804">
        <f t="shared" si="16"/>
        <v>43313</v>
      </c>
      <c r="H52" s="2804">
        <f t="shared" si="16"/>
        <v>43282</v>
      </c>
      <c r="I52" s="2804">
        <f t="shared" si="16"/>
        <v>43252</v>
      </c>
      <c r="J52" s="2804">
        <f t="shared" si="16"/>
        <v>43221</v>
      </c>
      <c r="K52" s="2804">
        <f t="shared" si="16"/>
        <v>43191</v>
      </c>
      <c r="L52" s="2804">
        <f t="shared" si="16"/>
        <v>43160</v>
      </c>
      <c r="M52" s="2804">
        <f t="shared" si="16"/>
        <v>43132</v>
      </c>
      <c r="N52" s="2804">
        <f t="shared" si="16"/>
        <v>43101</v>
      </c>
      <c r="O52" s="2804">
        <f t="shared" si="16"/>
        <v>43070</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80" t="s">
        <v>797</v>
      </c>
      <c r="D4" s="3381"/>
      <c r="E4" s="3380" t="s">
        <v>798</v>
      </c>
      <c r="F4" s="3381"/>
      <c r="G4" s="3380" t="s">
        <v>799</v>
      </c>
      <c r="H4" s="3381"/>
      <c r="I4" s="3380" t="s">
        <v>800</v>
      </c>
      <c r="J4" s="3381"/>
      <c r="K4" s="514" t="s">
        <v>801</v>
      </c>
      <c r="L4" s="2133"/>
      <c r="M4" s="2134"/>
      <c r="N4" s="2134"/>
      <c r="O4" s="2134"/>
      <c r="P4" s="3382" t="s">
        <v>802</v>
      </c>
      <c r="Q4" s="3383"/>
      <c r="R4" s="3388" t="s">
        <v>798</v>
      </c>
      <c r="S4" s="3389"/>
      <c r="T4" s="3388" t="s">
        <v>799</v>
      </c>
      <c r="U4" s="3389"/>
      <c r="V4" s="3375" t="s">
        <v>800</v>
      </c>
      <c r="W4" s="3375"/>
      <c r="X4" s="1566"/>
      <c r="Y4" s="3388" t="s">
        <v>802</v>
      </c>
      <c r="Z4" s="3389"/>
      <c r="AA4" s="3377" t="s">
        <v>798</v>
      </c>
      <c r="AB4" s="3378" t="s">
        <v>799</v>
      </c>
      <c r="AC4" s="3377" t="s">
        <v>800</v>
      </c>
    </row>
    <row r="5" spans="1:29" ht="15">
      <c r="A5" s="515"/>
      <c r="B5" s="516"/>
      <c r="C5" s="3412" t="s">
        <v>2933</v>
      </c>
      <c r="D5" s="3397"/>
      <c r="E5" s="3412" t="s">
        <v>2934</v>
      </c>
      <c r="F5" s="3397"/>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2937</v>
      </c>
      <c r="D6" s="3395"/>
      <c r="E6" s="3398" t="s">
        <v>2937</v>
      </c>
      <c r="F6" s="3399"/>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1"/>
      <c r="B7" s="2918" t="s">
        <v>528</v>
      </c>
      <c r="C7" s="519">
        <f>'数据-取费表'!B2</f>
        <v>43446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5" t="s">
        <v>529</v>
      </c>
      <c r="Q7" s="3407"/>
      <c r="R7" s="1567" t="s">
        <v>8</v>
      </c>
      <c r="S7" s="1568">
        <f t="shared" ref="S7:S14" si="0">F7</f>
        <v>0</v>
      </c>
      <c r="T7" s="1567" t="s">
        <v>8</v>
      </c>
      <c r="U7" s="1568">
        <f t="shared" ref="U7:U14" si="1">H7</f>
        <v>0</v>
      </c>
      <c r="V7" s="1567" t="s">
        <v>8</v>
      </c>
      <c r="W7" s="1568">
        <f t="shared" ref="W7:W14" si="2">J7</f>
        <v>0</v>
      </c>
      <c r="X7" s="1569"/>
      <c r="Y7" s="3405" t="s">
        <v>529</v>
      </c>
      <c r="Z7" s="3406"/>
      <c r="AA7" s="1570" t="e">
        <f>D7/F7</f>
        <v>#DIV/0!</v>
      </c>
      <c r="AB7" s="1570" t="e">
        <f>D7/H7</f>
        <v>#DIV/0!</v>
      </c>
      <c r="AC7" s="1570" t="e">
        <f>D7/J7</f>
        <v>#DIV/0!</v>
      </c>
    </row>
    <row r="8" spans="1:29" s="1219" customFormat="1" ht="15.75" thickBot="1">
      <c r="A8" s="2912"/>
      <c r="B8" s="2919"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36" si="3">D8/F8</f>
        <v>#DIV/0!</v>
      </c>
      <c r="AB8" s="1570" t="e">
        <f t="shared" ref="AB8:AB36" si="4">D8/H8</f>
        <v>#DIV/0!</v>
      </c>
      <c r="AC8" s="1570" t="e">
        <f t="shared" ref="AC8:AC36" si="5">D8/J8</f>
        <v>#DIV/0!</v>
      </c>
    </row>
    <row r="9" spans="1:29" s="1219"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534</v>
      </c>
      <c r="Q9" s="1150" t="str">
        <f t="shared" ref="Q9:Q14" si="6">B9</f>
        <v>用途</v>
      </c>
      <c r="R9" s="1567" t="s">
        <v>8</v>
      </c>
      <c r="S9" s="1568">
        <f t="shared" si="0"/>
        <v>100</v>
      </c>
      <c r="T9" s="1567" t="s">
        <v>8</v>
      </c>
      <c r="U9" s="1568">
        <f t="shared" si="1"/>
        <v>100</v>
      </c>
      <c r="V9" s="1567" t="s">
        <v>8</v>
      </c>
      <c r="W9" s="1568">
        <f t="shared" si="2"/>
        <v>100</v>
      </c>
      <c r="X9" s="1569"/>
      <c r="Y9" s="3320" t="s">
        <v>535</v>
      </c>
      <c r="Z9" s="1149" t="str">
        <f t="shared" ref="Z9:Z14" si="7">Q9</f>
        <v>用途</v>
      </c>
      <c r="AA9" s="1570">
        <f t="shared" si="3"/>
        <v>1</v>
      </c>
      <c r="AB9" s="1570">
        <f t="shared" si="4"/>
        <v>1</v>
      </c>
      <c r="AC9" s="1570">
        <f t="shared" si="5"/>
        <v>1</v>
      </c>
    </row>
    <row r="10" spans="1:29" s="1337"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85.5">
      <c r="A14" s="2909"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8" t="s">
        <v>539</v>
      </c>
      <c r="Q14" s="1571" t="str">
        <f t="shared" si="6"/>
        <v>交通便捷度</v>
      </c>
      <c r="R14" s="1572" t="s">
        <v>8</v>
      </c>
      <c r="S14" s="1573">
        <f t="shared" si="0"/>
        <v>100</v>
      </c>
      <c r="T14" s="1572" t="s">
        <v>8</v>
      </c>
      <c r="U14" s="1573">
        <f t="shared" si="1"/>
        <v>100</v>
      </c>
      <c r="V14" s="1572" t="s">
        <v>8</v>
      </c>
      <c r="W14" s="1573">
        <f t="shared" si="2"/>
        <v>100</v>
      </c>
      <c r="X14" s="1566"/>
      <c r="Y14" s="3408"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09"/>
      <c r="Q15" s="1571"/>
      <c r="R15" s="1572"/>
      <c r="S15" s="1573"/>
      <c r="T15" s="1572"/>
      <c r="U15" s="1573"/>
      <c r="V15" s="1572"/>
      <c r="W15" s="1573"/>
      <c r="X15" s="1566"/>
      <c r="Y15" s="3409"/>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09"/>
      <c r="Q17" s="1571"/>
      <c r="R17" s="1572"/>
      <c r="S17" s="1573"/>
      <c r="T17" s="1572"/>
      <c r="U17" s="1573"/>
      <c r="V17" s="1572"/>
      <c r="W17" s="1573"/>
      <c r="X17" s="1566"/>
      <c r="Y17" s="3409"/>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9"/>
      <c r="Q18" s="2579" t="str">
        <f>B18</f>
        <v>基础设施水平</v>
      </c>
      <c r="R18" s="1572" t="s">
        <v>8</v>
      </c>
      <c r="S18" s="1573">
        <f>F18</f>
        <v>100</v>
      </c>
      <c r="T18" s="1572" t="s">
        <v>8</v>
      </c>
      <c r="U18" s="1573">
        <f>H18</f>
        <v>100</v>
      </c>
      <c r="V18" s="1572" t="s">
        <v>8</v>
      </c>
      <c r="W18" s="1573">
        <f>J18</f>
        <v>100</v>
      </c>
      <c r="X18" s="2581"/>
      <c r="Y18" s="3409"/>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09"/>
      <c r="Q19" s="2579"/>
      <c r="R19" s="1572"/>
      <c r="S19" s="1573"/>
      <c r="T19" s="1572"/>
      <c r="U19" s="1573"/>
      <c r="V19" s="1572"/>
      <c r="W19" s="1573"/>
      <c r="X19" s="2581"/>
      <c r="Y19" s="3409"/>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9"/>
      <c r="Q24" s="1571">
        <f t="shared" ref="Q24:Q36"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9"/>
      <c r="Q25" s="1150">
        <f t="shared" si="11"/>
        <v>111</v>
      </c>
      <c r="R25" s="1567" t="s">
        <v>8</v>
      </c>
      <c r="S25" s="1568">
        <f>F25</f>
        <v>100</v>
      </c>
      <c r="T25" s="1567" t="s">
        <v>8</v>
      </c>
      <c r="U25" s="1568">
        <f>H25</f>
        <v>100</v>
      </c>
      <c r="V25" s="1567" t="s">
        <v>8</v>
      </c>
      <c r="W25" s="1568">
        <f>J25</f>
        <v>100</v>
      </c>
      <c r="X25" s="1569"/>
      <c r="Y25" s="3409"/>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1"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1"/>
      <c r="Q27" s="1604" t="str">
        <f t="shared" si="11"/>
        <v>项目停车位配比</v>
      </c>
      <c r="R27" s="1576" t="s">
        <v>8</v>
      </c>
      <c r="S27" s="1577">
        <f t="shared" si="12"/>
        <v>100</v>
      </c>
      <c r="T27" s="1576" t="s">
        <v>8</v>
      </c>
      <c r="U27" s="1577">
        <f t="shared" si="13"/>
        <v>100</v>
      </c>
      <c r="V27" s="1576" t="s">
        <v>8</v>
      </c>
      <c r="W27" s="1577">
        <f t="shared" si="14"/>
        <v>100</v>
      </c>
      <c r="X27" s="1578"/>
      <c r="Y27" s="3411"/>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1"/>
      <c r="Q28" s="1571" t="str">
        <f t="shared" si="11"/>
        <v>公共部分装修</v>
      </c>
      <c r="R28" s="1572" t="s">
        <v>8</v>
      </c>
      <c r="S28" s="1573">
        <f t="shared" si="12"/>
        <v>100</v>
      </c>
      <c r="T28" s="1572" t="s">
        <v>8</v>
      </c>
      <c r="U28" s="1573">
        <f t="shared" si="13"/>
        <v>100</v>
      </c>
      <c r="V28" s="1572" t="s">
        <v>8</v>
      </c>
      <c r="W28" s="1573">
        <f t="shared" si="14"/>
        <v>100</v>
      </c>
      <c r="X28" s="1566"/>
      <c r="Y28" s="3411"/>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1"/>
      <c r="Q29" s="1571" t="str">
        <f t="shared" si="11"/>
        <v>成新率</v>
      </c>
      <c r="R29" s="1572" t="s">
        <v>8</v>
      </c>
      <c r="S29" s="1573" t="e">
        <f t="shared" si="12"/>
        <v>#N/A</v>
      </c>
      <c r="T29" s="1572" t="s">
        <v>8</v>
      </c>
      <c r="U29" s="1573" t="e">
        <f t="shared" si="13"/>
        <v>#N/A</v>
      </c>
      <c r="V29" s="1572" t="s">
        <v>8</v>
      </c>
      <c r="W29" s="1573" t="e">
        <f t="shared" si="14"/>
        <v>#N/A</v>
      </c>
      <c r="X29" s="1566"/>
      <c r="Y29" s="3411"/>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1"/>
      <c r="Q30" s="1571" t="str">
        <f t="shared" si="11"/>
        <v>物业等级</v>
      </c>
      <c r="R30" s="1572" t="s">
        <v>8</v>
      </c>
      <c r="S30" s="1573">
        <f t="shared" si="12"/>
        <v>100</v>
      </c>
      <c r="T30" s="1572" t="s">
        <v>8</v>
      </c>
      <c r="U30" s="1573">
        <f t="shared" si="13"/>
        <v>100</v>
      </c>
      <c r="V30" s="1572" t="s">
        <v>8</v>
      </c>
      <c r="W30" s="1573">
        <f t="shared" si="14"/>
        <v>100</v>
      </c>
      <c r="X30" s="1566"/>
      <c r="Y30" s="3411"/>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1"/>
      <c r="Q31" s="1150" t="str">
        <f t="shared" si="11"/>
        <v>停车位面积</v>
      </c>
      <c r="R31" s="1567" t="s">
        <v>8</v>
      </c>
      <c r="S31" s="1568" t="e">
        <f t="shared" si="12"/>
        <v>#N/A</v>
      </c>
      <c r="T31" s="1567" t="s">
        <v>8</v>
      </c>
      <c r="U31" s="1568" t="e">
        <f t="shared" si="13"/>
        <v>#N/A</v>
      </c>
      <c r="V31" s="1567" t="s">
        <v>8</v>
      </c>
      <c r="W31" s="1568" t="e">
        <f t="shared" si="14"/>
        <v>#N/A</v>
      </c>
      <c r="X31" s="1569"/>
      <c r="Y31" s="3411"/>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1" t="s">
        <v>549</v>
      </c>
      <c r="Q32" s="1571" t="str">
        <f t="shared" si="11"/>
        <v>车位类型</v>
      </c>
      <c r="R32" s="1572" t="s">
        <v>8</v>
      </c>
      <c r="S32" s="1573">
        <f t="shared" si="12"/>
        <v>100</v>
      </c>
      <c r="T32" s="1572" t="s">
        <v>8</v>
      </c>
      <c r="U32" s="1573">
        <f t="shared" si="13"/>
        <v>100</v>
      </c>
      <c r="V32" s="1572" t="s">
        <v>8</v>
      </c>
      <c r="W32" s="1573">
        <f t="shared" si="14"/>
        <v>100</v>
      </c>
      <c r="X32" s="1566"/>
      <c r="Y32" s="3411"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1"/>
      <c r="Q33" s="1571" t="str">
        <f t="shared" si="11"/>
        <v>是否直接入户</v>
      </c>
      <c r="R33" s="1572" t="s">
        <v>8</v>
      </c>
      <c r="S33" s="1573">
        <f t="shared" si="12"/>
        <v>100</v>
      </c>
      <c r="T33" s="1572" t="s">
        <v>8</v>
      </c>
      <c r="U33" s="1573">
        <f t="shared" si="13"/>
        <v>100</v>
      </c>
      <c r="V33" s="1572" t="s">
        <v>8</v>
      </c>
      <c r="W33" s="1573">
        <f t="shared" si="14"/>
        <v>100</v>
      </c>
      <c r="X33" s="1566"/>
      <c r="Y33" s="341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1"/>
      <c r="Q35" s="1604">
        <f t="shared" si="11"/>
        <v>111</v>
      </c>
      <c r="R35" s="1576" t="s">
        <v>8</v>
      </c>
      <c r="S35" s="1577">
        <f t="shared" si="12"/>
        <v>100</v>
      </c>
      <c r="T35" s="1576" t="s">
        <v>8</v>
      </c>
      <c r="U35" s="1577">
        <f t="shared" si="13"/>
        <v>100</v>
      </c>
      <c r="V35" s="1576" t="s">
        <v>8</v>
      </c>
      <c r="W35" s="1577">
        <f t="shared" si="14"/>
        <v>100</v>
      </c>
      <c r="X35" s="1578"/>
      <c r="Y35" s="3411"/>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1"/>
      <c r="Q36" s="1571">
        <f t="shared" si="11"/>
        <v>111</v>
      </c>
      <c r="R36" s="1572" t="s">
        <v>8</v>
      </c>
      <c r="S36" s="1573">
        <f t="shared" si="12"/>
        <v>100</v>
      </c>
      <c r="T36" s="1572" t="s">
        <v>8</v>
      </c>
      <c r="U36" s="1573">
        <f t="shared" si="13"/>
        <v>100</v>
      </c>
      <c r="V36" s="1572" t="s">
        <v>8</v>
      </c>
      <c r="W36" s="1573">
        <f t="shared" si="14"/>
        <v>100</v>
      </c>
      <c r="X36" s="1566"/>
      <c r="Y36" s="3411"/>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74" t="str">
        <f>A37</f>
        <v>成交单价</v>
      </c>
      <c r="Q37" s="3374"/>
      <c r="R37" s="3488">
        <f>E37</f>
        <v>0</v>
      </c>
      <c r="S37" s="3488"/>
      <c r="T37" s="3488">
        <f>G37</f>
        <v>0</v>
      </c>
      <c r="U37" s="3488"/>
      <c r="V37" s="3488">
        <f>I37</f>
        <v>0</v>
      </c>
      <c r="W37" s="3488"/>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371" t="str">
        <f>A39</f>
        <v>估价对象XX用房的比较价格（楼面单价，元/平方米）</v>
      </c>
      <c r="Q39" s="3372"/>
      <c r="R39" s="3487" t="e">
        <f>IF(F1="售价",ROUND(AVERAGE(R38:V38),0),ROUND(AVERAGE(R38:V38),1))</f>
        <v>#DIV/0!</v>
      </c>
      <c r="S39" s="3487"/>
      <c r="T39" s="3487"/>
      <c r="U39" s="3487"/>
      <c r="V39" s="3487"/>
      <c r="W39" s="348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2018-12</v>
      </c>
      <c r="D48" s="2804">
        <f>EDATE(C48,-1)</f>
        <v>43405</v>
      </c>
      <c r="E48" s="2804">
        <f t="shared" ref="E48:O48" si="16">EDATE(D48,-1)</f>
        <v>43374</v>
      </c>
      <c r="F48" s="2804">
        <f t="shared" si="16"/>
        <v>43344</v>
      </c>
      <c r="G48" s="2804">
        <f t="shared" si="16"/>
        <v>43313</v>
      </c>
      <c r="H48" s="2804">
        <f t="shared" si="16"/>
        <v>43282</v>
      </c>
      <c r="I48" s="2804">
        <f t="shared" si="16"/>
        <v>43252</v>
      </c>
      <c r="J48" s="2804">
        <f t="shared" si="16"/>
        <v>43221</v>
      </c>
      <c r="K48" s="2804">
        <f t="shared" si="16"/>
        <v>43191</v>
      </c>
      <c r="L48" s="2804">
        <f t="shared" si="16"/>
        <v>43160</v>
      </c>
      <c r="M48" s="2804">
        <f t="shared" si="16"/>
        <v>43132</v>
      </c>
      <c r="N48" s="2804">
        <f t="shared" si="16"/>
        <v>43101</v>
      </c>
      <c r="O48" s="2804">
        <f t="shared" si="16"/>
        <v>43070</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80" t="s">
        <v>797</v>
      </c>
      <c r="D4" s="3381"/>
      <c r="E4" s="3415" t="s">
        <v>798</v>
      </c>
      <c r="F4" s="3416"/>
      <c r="G4" s="3380" t="s">
        <v>799</v>
      </c>
      <c r="H4" s="3381"/>
      <c r="I4" s="3380" t="s">
        <v>800</v>
      </c>
      <c r="J4" s="3381"/>
      <c r="K4" s="514" t="s">
        <v>801</v>
      </c>
      <c r="L4" s="2133"/>
      <c r="M4" s="2134"/>
      <c r="N4" s="2134"/>
      <c r="O4" s="2134"/>
      <c r="P4" s="3382" t="s">
        <v>802</v>
      </c>
      <c r="Q4" s="3383"/>
      <c r="R4" s="3388" t="s">
        <v>798</v>
      </c>
      <c r="S4" s="3389"/>
      <c r="T4" s="3388" t="s">
        <v>799</v>
      </c>
      <c r="U4" s="3389"/>
      <c r="V4" s="3375" t="s">
        <v>800</v>
      </c>
      <c r="W4" s="3375"/>
      <c r="X4" s="1566"/>
      <c r="Y4" s="3388" t="s">
        <v>802</v>
      </c>
      <c r="Z4" s="3389"/>
      <c r="AA4" s="3377" t="s">
        <v>798</v>
      </c>
      <c r="AB4" s="3378" t="s">
        <v>799</v>
      </c>
      <c r="AC4" s="3377" t="s">
        <v>800</v>
      </c>
    </row>
    <row r="5" spans="1:29" ht="15">
      <c r="A5" s="515"/>
      <c r="B5" s="516"/>
      <c r="C5" s="3412" t="s">
        <v>2933</v>
      </c>
      <c r="D5" s="3397"/>
      <c r="E5" s="3417" t="s">
        <v>2934</v>
      </c>
      <c r="F5" s="3418"/>
      <c r="G5" s="3412" t="s">
        <v>2935</v>
      </c>
      <c r="H5" s="3397"/>
      <c r="I5" s="3412" t="s">
        <v>2936</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2937</v>
      </c>
      <c r="D6" s="3395"/>
      <c r="E6" s="3413" t="s">
        <v>2937</v>
      </c>
      <c r="F6" s="3414"/>
      <c r="G6" s="3394" t="s">
        <v>2937</v>
      </c>
      <c r="H6" s="3395"/>
      <c r="I6" s="3394" t="s">
        <v>2937</v>
      </c>
      <c r="J6" s="3395"/>
      <c r="K6" s="514" t="s">
        <v>527</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1"/>
      <c r="B7" s="2918" t="s">
        <v>528</v>
      </c>
      <c r="C7" s="519">
        <f>'数据-取费表'!B2</f>
        <v>43446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5" t="s">
        <v>529</v>
      </c>
      <c r="Q7" s="3407"/>
      <c r="R7" s="1567" t="s">
        <v>8</v>
      </c>
      <c r="S7" s="1568">
        <f t="shared" ref="S7:S14" si="0">F7</f>
        <v>0</v>
      </c>
      <c r="T7" s="1567" t="s">
        <v>8</v>
      </c>
      <c r="U7" s="1568">
        <f t="shared" ref="U7:U14" si="1">H7</f>
        <v>0</v>
      </c>
      <c r="V7" s="1567" t="s">
        <v>8</v>
      </c>
      <c r="W7" s="1568">
        <f t="shared" ref="W7:W14" si="2">J7</f>
        <v>0</v>
      </c>
      <c r="X7" s="1569"/>
      <c r="Y7" s="3405" t="s">
        <v>529</v>
      </c>
      <c r="Z7" s="3406"/>
      <c r="AA7" s="1570" t="e">
        <f>D7/F7</f>
        <v>#DIV/0!</v>
      </c>
      <c r="AB7" s="1570" t="e">
        <f>D7/H7</f>
        <v>#DIV/0!</v>
      </c>
      <c r="AC7" s="1570" t="e">
        <f>D7/J7</f>
        <v>#DIV/0!</v>
      </c>
    </row>
    <row r="8" spans="1:29" s="1219" customFormat="1" ht="15.75" thickBot="1">
      <c r="A8" s="2912"/>
      <c r="B8" s="2919"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5" t="s">
        <v>532</v>
      </c>
      <c r="Q8" s="3406"/>
      <c r="R8" s="1567" t="s">
        <v>8</v>
      </c>
      <c r="S8" s="1568">
        <f t="shared" si="0"/>
        <v>0</v>
      </c>
      <c r="T8" s="1567" t="s">
        <v>8</v>
      </c>
      <c r="U8" s="1568">
        <f t="shared" si="1"/>
        <v>0</v>
      </c>
      <c r="V8" s="1567" t="s">
        <v>8</v>
      </c>
      <c r="W8" s="1568">
        <f t="shared" si="2"/>
        <v>0</v>
      </c>
      <c r="X8" s="1569"/>
      <c r="Y8" s="3405" t="s">
        <v>532</v>
      </c>
      <c r="Z8" s="3406"/>
      <c r="AA8" s="1570" t="e">
        <f t="shared" ref="AA8:AA34" si="3">D8/F8</f>
        <v>#DIV/0!</v>
      </c>
      <c r="AB8" s="1570" t="e">
        <f t="shared" ref="AB8:AB34" si="4">D8/H8</f>
        <v>#DIV/0!</v>
      </c>
      <c r="AC8" s="1570" t="e">
        <f t="shared" ref="AC8:AC34" si="5">D8/J8</f>
        <v>#DIV/0!</v>
      </c>
    </row>
    <row r="9" spans="1:29" s="1219"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534</v>
      </c>
      <c r="Q9" s="1150" t="str">
        <f t="shared" ref="Q9:Q14" si="6">B9</f>
        <v>用途</v>
      </c>
      <c r="R9" s="1567" t="s">
        <v>8</v>
      </c>
      <c r="S9" s="1568">
        <f t="shared" si="0"/>
        <v>100</v>
      </c>
      <c r="T9" s="1567" t="s">
        <v>8</v>
      </c>
      <c r="U9" s="1568">
        <f t="shared" si="1"/>
        <v>100</v>
      </c>
      <c r="V9" s="1567" t="s">
        <v>8</v>
      </c>
      <c r="W9" s="1568">
        <f t="shared" si="2"/>
        <v>100</v>
      </c>
      <c r="X9" s="1569"/>
      <c r="Y9" s="3320" t="s">
        <v>535</v>
      </c>
      <c r="Z9" s="1149" t="str">
        <f t="shared" ref="Z9:Z14" si="7">Q9</f>
        <v>用途</v>
      </c>
      <c r="AA9" s="1570">
        <f t="shared" si="3"/>
        <v>1</v>
      </c>
      <c r="AB9" s="1570">
        <f t="shared" si="4"/>
        <v>1</v>
      </c>
      <c r="AC9" s="1570">
        <f t="shared" si="5"/>
        <v>1</v>
      </c>
    </row>
    <row r="10" spans="1:29" s="1337"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85.5">
      <c r="A14" s="2909"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8" t="s">
        <v>539</v>
      </c>
      <c r="Q14" s="1571" t="str">
        <f t="shared" si="6"/>
        <v>交通便捷度</v>
      </c>
      <c r="R14" s="1572" t="s">
        <v>8</v>
      </c>
      <c r="S14" s="1573">
        <f t="shared" si="0"/>
        <v>100</v>
      </c>
      <c r="T14" s="1572" t="s">
        <v>8</v>
      </c>
      <c r="U14" s="1573">
        <f t="shared" si="1"/>
        <v>100</v>
      </c>
      <c r="V14" s="1572" t="s">
        <v>8</v>
      </c>
      <c r="W14" s="1573">
        <f t="shared" si="2"/>
        <v>100</v>
      </c>
      <c r="X14" s="1566"/>
      <c r="Y14" s="340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09"/>
      <c r="Q15" s="1571"/>
      <c r="R15" s="1572"/>
      <c r="S15" s="1573"/>
      <c r="T15" s="1572"/>
      <c r="U15" s="1573"/>
      <c r="V15" s="1572"/>
      <c r="W15" s="1573"/>
      <c r="X15" s="1566"/>
      <c r="Y15" s="3409"/>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9"/>
      <c r="Q16" s="1571" t="str">
        <f>B16</f>
        <v>公共配套设施</v>
      </c>
      <c r="R16" s="1572" t="s">
        <v>8</v>
      </c>
      <c r="S16" s="1573">
        <f>F16</f>
        <v>100</v>
      </c>
      <c r="T16" s="1572" t="s">
        <v>8</v>
      </c>
      <c r="U16" s="1573">
        <f>H16</f>
        <v>100</v>
      </c>
      <c r="V16" s="1572" t="s">
        <v>8</v>
      </c>
      <c r="W16" s="1573">
        <f>J16</f>
        <v>100</v>
      </c>
      <c r="X16" s="1566"/>
      <c r="Y16" s="340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09"/>
      <c r="Q17" s="1571"/>
      <c r="R17" s="1572"/>
      <c r="S17" s="1573"/>
      <c r="T17" s="1572"/>
      <c r="U17" s="1573"/>
      <c r="V17" s="1572"/>
      <c r="W17" s="1573"/>
      <c r="X17" s="1566"/>
      <c r="Y17" s="3409"/>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9"/>
      <c r="Q18" s="2579" t="str">
        <f>B18</f>
        <v>基础设施水平</v>
      </c>
      <c r="R18" s="1572" t="s">
        <v>8</v>
      </c>
      <c r="S18" s="1573">
        <f>F18</f>
        <v>100</v>
      </c>
      <c r="T18" s="1572" t="s">
        <v>8</v>
      </c>
      <c r="U18" s="1573">
        <f>H18</f>
        <v>100</v>
      </c>
      <c r="V18" s="1572" t="s">
        <v>8</v>
      </c>
      <c r="W18" s="1573">
        <f>J18</f>
        <v>100</v>
      </c>
      <c r="X18" s="2581"/>
      <c r="Y18" s="3409"/>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09"/>
      <c r="Q19" s="2579"/>
      <c r="R19" s="1572"/>
      <c r="S19" s="1573"/>
      <c r="T19" s="1572"/>
      <c r="U19" s="1573"/>
      <c r="V19" s="1572"/>
      <c r="W19" s="1573"/>
      <c r="X19" s="2581"/>
      <c r="Y19" s="3409"/>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9"/>
      <c r="Q20" s="1571" t="str">
        <f>B20</f>
        <v>自然及人文环境</v>
      </c>
      <c r="R20" s="1572" t="s">
        <v>8</v>
      </c>
      <c r="S20" s="1573">
        <f>F20</f>
        <v>100</v>
      </c>
      <c r="T20" s="1572" t="s">
        <v>8</v>
      </c>
      <c r="U20" s="1573">
        <f>H20</f>
        <v>100</v>
      </c>
      <c r="V20" s="1572" t="s">
        <v>8</v>
      </c>
      <c r="W20" s="1573">
        <f>J20</f>
        <v>100</v>
      </c>
      <c r="X20" s="1566"/>
      <c r="Y20" s="340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09"/>
      <c r="Q21" s="1571"/>
      <c r="R21" s="1572"/>
      <c r="S21" s="1573"/>
      <c r="T21" s="1572"/>
      <c r="U21" s="1573"/>
      <c r="V21" s="1572"/>
      <c r="W21" s="1573"/>
      <c r="X21" s="1566"/>
      <c r="Y21" s="340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9"/>
      <c r="Q22" s="1571" t="str">
        <f>B22</f>
        <v>楼层</v>
      </c>
      <c r="R22" s="1572" t="s">
        <v>8</v>
      </c>
      <c r="S22" s="1573">
        <f>F22</f>
        <v>100</v>
      </c>
      <c r="T22" s="1572" t="s">
        <v>8</v>
      </c>
      <c r="U22" s="1573">
        <f>H22</f>
        <v>100</v>
      </c>
      <c r="V22" s="1572" t="s">
        <v>8</v>
      </c>
      <c r="W22" s="1573">
        <f>J22</f>
        <v>100</v>
      </c>
      <c r="X22" s="1566"/>
      <c r="Y22" s="340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9"/>
      <c r="Q23" s="1571">
        <f>B23</f>
        <v>111</v>
      </c>
      <c r="R23" s="1572" t="s">
        <v>8</v>
      </c>
      <c r="S23" s="1573">
        <f>F23</f>
        <v>100</v>
      </c>
      <c r="T23" s="1572" t="s">
        <v>8</v>
      </c>
      <c r="U23" s="1573">
        <f>H23</f>
        <v>100</v>
      </c>
      <c r="V23" s="1572" t="s">
        <v>8</v>
      </c>
      <c r="W23" s="1573">
        <f>J23</f>
        <v>100</v>
      </c>
      <c r="X23" s="1566"/>
      <c r="Y23" s="340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9"/>
      <c r="Q24" s="1571">
        <f t="shared" ref="Q24:Q34" si="11">B24</f>
        <v>111</v>
      </c>
      <c r="R24" s="1572" t="s">
        <v>8</v>
      </c>
      <c r="S24" s="1573">
        <f>F24</f>
        <v>100</v>
      </c>
      <c r="T24" s="1572" t="s">
        <v>8</v>
      </c>
      <c r="U24" s="1573">
        <f>H24</f>
        <v>100</v>
      </c>
      <c r="V24" s="1572" t="s">
        <v>8</v>
      </c>
      <c r="W24" s="1573">
        <f>J24</f>
        <v>100</v>
      </c>
      <c r="X24" s="1566"/>
      <c r="Y24" s="3409"/>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9"/>
      <c r="Q25" s="1150">
        <f t="shared" si="11"/>
        <v>111</v>
      </c>
      <c r="R25" s="1567" t="s">
        <v>8</v>
      </c>
      <c r="S25" s="1568">
        <f>F25</f>
        <v>100</v>
      </c>
      <c r="T25" s="1567" t="s">
        <v>8</v>
      </c>
      <c r="U25" s="1568">
        <f>H25</f>
        <v>100</v>
      </c>
      <c r="V25" s="1567" t="s">
        <v>8</v>
      </c>
      <c r="W25" s="1568">
        <f>J25</f>
        <v>100</v>
      </c>
      <c r="X25" s="1569"/>
      <c r="Y25" s="3409"/>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1"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1"/>
      <c r="Q27" s="1604" t="str">
        <f t="shared" si="11"/>
        <v>成新率</v>
      </c>
      <c r="R27" s="1576" t="s">
        <v>8</v>
      </c>
      <c r="S27" s="1577" t="e">
        <f t="shared" si="12"/>
        <v>#N/A</v>
      </c>
      <c r="T27" s="1576" t="s">
        <v>8</v>
      </c>
      <c r="U27" s="1577" t="e">
        <f t="shared" si="13"/>
        <v>#N/A</v>
      </c>
      <c r="V27" s="1576" t="s">
        <v>8</v>
      </c>
      <c r="W27" s="1577" t="e">
        <f t="shared" si="14"/>
        <v>#N/A</v>
      </c>
      <c r="X27" s="1578"/>
      <c r="Y27" s="341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1"/>
      <c r="Q28" s="1571" t="str">
        <f t="shared" si="11"/>
        <v>物业等级</v>
      </c>
      <c r="R28" s="1572" t="s">
        <v>8</v>
      </c>
      <c r="S28" s="1573">
        <f t="shared" si="12"/>
        <v>100</v>
      </c>
      <c r="T28" s="1572" t="s">
        <v>8</v>
      </c>
      <c r="U28" s="1573">
        <f t="shared" si="13"/>
        <v>100</v>
      </c>
      <c r="V28" s="1572" t="s">
        <v>8</v>
      </c>
      <c r="W28" s="1573">
        <f t="shared" si="14"/>
        <v>100</v>
      </c>
      <c r="X28" s="1566"/>
      <c r="Y28" s="3411"/>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1"/>
      <c r="Q29" s="1571" t="str">
        <f t="shared" si="11"/>
        <v>有无电梯</v>
      </c>
      <c r="R29" s="1572" t="s">
        <v>8</v>
      </c>
      <c r="S29" s="1573">
        <f t="shared" si="12"/>
        <v>100</v>
      </c>
      <c r="T29" s="1572" t="s">
        <v>8</v>
      </c>
      <c r="U29" s="1573">
        <f t="shared" si="13"/>
        <v>100</v>
      </c>
      <c r="V29" s="1572" t="s">
        <v>8</v>
      </c>
      <c r="W29" s="1573">
        <f t="shared" si="14"/>
        <v>100</v>
      </c>
      <c r="X29" s="1566"/>
      <c r="Y29" s="3411"/>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1"/>
      <c r="Q30" s="1571" t="str">
        <f t="shared" si="11"/>
        <v>建筑面积</v>
      </c>
      <c r="R30" s="1572" t="s">
        <v>8</v>
      </c>
      <c r="S30" s="1573" t="e">
        <f t="shared" si="12"/>
        <v>#N/A</v>
      </c>
      <c r="T30" s="1572" t="s">
        <v>8</v>
      </c>
      <c r="U30" s="1573" t="e">
        <f t="shared" si="13"/>
        <v>#N/A</v>
      </c>
      <c r="V30" s="1572" t="s">
        <v>8</v>
      </c>
      <c r="W30" s="1573" t="e">
        <f t="shared" si="14"/>
        <v>#N/A</v>
      </c>
      <c r="X30" s="1566"/>
      <c r="Y30" s="3411"/>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1"/>
      <c r="Q31" s="1150" t="str">
        <f t="shared" si="11"/>
        <v>是否封闭</v>
      </c>
      <c r="R31" s="1567" t="s">
        <v>8</v>
      </c>
      <c r="S31" s="1568">
        <f t="shared" si="12"/>
        <v>100</v>
      </c>
      <c r="T31" s="1567" t="s">
        <v>8</v>
      </c>
      <c r="U31" s="1568">
        <f t="shared" si="13"/>
        <v>100</v>
      </c>
      <c r="V31" s="1567" t="s">
        <v>8</v>
      </c>
      <c r="W31" s="1568">
        <f t="shared" si="14"/>
        <v>100</v>
      </c>
      <c r="X31" s="1569"/>
      <c r="Y31" s="3411"/>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1" t="s">
        <v>549</v>
      </c>
      <c r="Q32" s="1571">
        <f t="shared" si="11"/>
        <v>111</v>
      </c>
      <c r="R32" s="1572" t="s">
        <v>8</v>
      </c>
      <c r="S32" s="1573">
        <f t="shared" si="12"/>
        <v>100</v>
      </c>
      <c r="T32" s="1572" t="s">
        <v>8</v>
      </c>
      <c r="U32" s="1573">
        <f t="shared" si="13"/>
        <v>100</v>
      </c>
      <c r="V32" s="1572" t="s">
        <v>8</v>
      </c>
      <c r="W32" s="1573">
        <f t="shared" si="14"/>
        <v>100</v>
      </c>
      <c r="X32" s="1566"/>
      <c r="Y32" s="3411"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1"/>
      <c r="Q33" s="1571">
        <f t="shared" si="11"/>
        <v>111</v>
      </c>
      <c r="R33" s="1572" t="s">
        <v>8</v>
      </c>
      <c r="S33" s="1573">
        <f t="shared" si="12"/>
        <v>100</v>
      </c>
      <c r="T33" s="1572" t="s">
        <v>8</v>
      </c>
      <c r="U33" s="1573">
        <f t="shared" si="13"/>
        <v>100</v>
      </c>
      <c r="V33" s="1572" t="s">
        <v>8</v>
      </c>
      <c r="W33" s="1573">
        <f t="shared" si="14"/>
        <v>100</v>
      </c>
      <c r="X33" s="1566"/>
      <c r="Y33" s="3411"/>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1"/>
      <c r="Q34" s="1571">
        <f t="shared" si="11"/>
        <v>111</v>
      </c>
      <c r="R34" s="1572" t="s">
        <v>8</v>
      </c>
      <c r="S34" s="1573">
        <f t="shared" si="12"/>
        <v>100</v>
      </c>
      <c r="T34" s="1572" t="s">
        <v>8</v>
      </c>
      <c r="U34" s="1573">
        <f t="shared" si="13"/>
        <v>100</v>
      </c>
      <c r="V34" s="1572" t="s">
        <v>8</v>
      </c>
      <c r="W34" s="1573">
        <f t="shared" si="14"/>
        <v>100</v>
      </c>
      <c r="X34" s="1566"/>
      <c r="Y34" s="3411"/>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74" t="str">
        <f>A35</f>
        <v>成交单价（元/平方米）</v>
      </c>
      <c r="Q35" s="3374"/>
      <c r="R35" s="3488">
        <f>E35</f>
        <v>0</v>
      </c>
      <c r="S35" s="3488"/>
      <c r="T35" s="3488">
        <f>G35</f>
        <v>0</v>
      </c>
      <c r="U35" s="3488"/>
      <c r="V35" s="3488">
        <f>I35</f>
        <v>0</v>
      </c>
      <c r="W35" s="3488"/>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371" t="str">
        <f>A37</f>
        <v>估价对象XX用房的比较价格（楼面单价，元/平方米）</v>
      </c>
      <c r="Q37" s="3372"/>
      <c r="R37" s="3487" t="e">
        <f>IF(F1="售价",ROUND(AVERAGE(R36:V36),0),ROUND(AVERAGE(R36:V36),1))</f>
        <v>#DIV/0!</v>
      </c>
      <c r="S37" s="3487"/>
      <c r="T37" s="3487"/>
      <c r="U37" s="3487"/>
      <c r="V37" s="3487"/>
      <c r="W37" s="348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2018-12</v>
      </c>
      <c r="D46" s="2804">
        <f>EDATE(C46,-1)</f>
        <v>43405</v>
      </c>
      <c r="E46" s="2804">
        <f t="shared" ref="E46:O46" si="16">EDATE(D46,-1)</f>
        <v>43374</v>
      </c>
      <c r="F46" s="2804">
        <f t="shared" si="16"/>
        <v>43344</v>
      </c>
      <c r="G46" s="2804">
        <f t="shared" si="16"/>
        <v>43313</v>
      </c>
      <c r="H46" s="2804">
        <f t="shared" si="16"/>
        <v>43282</v>
      </c>
      <c r="I46" s="2804">
        <f t="shared" si="16"/>
        <v>43252</v>
      </c>
      <c r="J46" s="2804">
        <f t="shared" si="16"/>
        <v>43221</v>
      </c>
      <c r="K46" s="2804">
        <f t="shared" si="16"/>
        <v>43191</v>
      </c>
      <c r="L46" s="2804">
        <f t="shared" si="16"/>
        <v>43160</v>
      </c>
      <c r="M46" s="2804">
        <f t="shared" si="16"/>
        <v>43132</v>
      </c>
      <c r="N46" s="2804">
        <f t="shared" si="16"/>
        <v>43101</v>
      </c>
      <c r="O46" s="2804">
        <f t="shared" si="16"/>
        <v>43070</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8" t="s">
        <v>2306</v>
      </c>
      <c r="D1" s="3499"/>
      <c r="E1" s="3499"/>
      <c r="F1" s="3499"/>
      <c r="G1" s="3499"/>
      <c r="H1" s="3499"/>
      <c r="I1" s="3499"/>
      <c r="J1" s="3499"/>
      <c r="K1" s="3499"/>
      <c r="L1" s="3499"/>
      <c r="M1" s="3499"/>
      <c r="N1" s="3499"/>
      <c r="O1" s="3499"/>
      <c r="P1" s="3499"/>
      <c r="Q1" s="3499"/>
      <c r="R1" s="3499"/>
      <c r="S1" s="350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47336平方米。根据《建设工程规划许可证》[]、《出让合同》[]，估价对象规划建筑面积为142008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2018年12月12日（评估专业人员勘察现场之日）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根据《国有土地使用证》[]，估价对象（分摊）出让国有建设用地使用权面积为47336平方米。根据《建设工程规划许可证》[]、《出让合同》[]，估价对象规划建筑面积为142008平方米。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43446</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2</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11"/>
  <sheetViews>
    <sheetView workbookViewId="0">
      <selection activeCell="O27" sqref="O27"/>
    </sheetView>
  </sheetViews>
  <sheetFormatPr defaultRowHeight="13.5"/>
  <sheetData>
    <row r="11" spans="2:2">
      <c r="B11" s="3204"/>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M51"/>
  <sheetViews>
    <sheetView workbookViewId="0">
      <selection activeCell="F8" sqref="F8"/>
    </sheetView>
  </sheetViews>
  <sheetFormatPr defaultRowHeight="13.5"/>
  <cols>
    <col min="1" max="1" width="30.75" customWidth="1"/>
    <col min="6" max="6" width="24.125" customWidth="1"/>
    <col min="7" max="7" width="2.625" customWidth="1"/>
    <col min="8" max="8" width="12.25" customWidth="1"/>
  </cols>
  <sheetData>
    <row r="1" spans="1:13" s="2938" customFormat="1" ht="14.25">
      <c r="A1" s="3194" t="s">
        <v>3023</v>
      </c>
      <c r="B1" s="3194" t="s">
        <v>3024</v>
      </c>
      <c r="C1" s="3194" t="s">
        <v>3025</v>
      </c>
      <c r="D1" s="3194" t="s">
        <v>3026</v>
      </c>
      <c r="E1" s="3194" t="s">
        <v>3027</v>
      </c>
      <c r="F1" s="3194" t="s">
        <v>2034</v>
      </c>
      <c r="G1" s="3194" t="s">
        <v>3028</v>
      </c>
      <c r="H1" s="3194" t="s">
        <v>3029</v>
      </c>
      <c r="I1" s="3194" t="s">
        <v>3030</v>
      </c>
      <c r="J1" s="3194" t="s">
        <v>3031</v>
      </c>
      <c r="K1" s="3194" t="s">
        <v>3032</v>
      </c>
      <c r="L1" s="3194" t="s">
        <v>3033</v>
      </c>
      <c r="M1" s="3194" t="s">
        <v>3034</v>
      </c>
    </row>
    <row r="2" spans="1:13" s="2938" customFormat="1" ht="14.25">
      <c r="A2" s="3194" t="s">
        <v>3066</v>
      </c>
      <c r="B2" s="3194" t="s">
        <v>3067</v>
      </c>
      <c r="C2" s="3194" t="s">
        <v>3035</v>
      </c>
      <c r="D2" s="3194">
        <v>70000</v>
      </c>
      <c r="E2" s="3194">
        <v>140000</v>
      </c>
      <c r="F2" s="3194" t="s">
        <v>3068</v>
      </c>
      <c r="G2" s="3194" t="s">
        <v>3036</v>
      </c>
      <c r="H2" s="3194" t="s">
        <v>3069</v>
      </c>
      <c r="I2" s="3194">
        <v>22400</v>
      </c>
      <c r="J2" s="3194">
        <v>48500</v>
      </c>
      <c r="K2" s="3194">
        <v>3464.28</v>
      </c>
      <c r="L2" s="3194">
        <v>116.52</v>
      </c>
      <c r="M2" s="3194" t="s">
        <v>3070</v>
      </c>
    </row>
    <row r="3" spans="1:13" s="2938" customFormat="1" ht="14.25">
      <c r="A3" s="3194" t="s">
        <v>3071</v>
      </c>
      <c r="B3" s="3194" t="s">
        <v>3067</v>
      </c>
      <c r="C3" s="3194" t="s">
        <v>3035</v>
      </c>
      <c r="D3" s="3194">
        <v>52394</v>
      </c>
      <c r="E3" s="3194">
        <v>208466.3</v>
      </c>
      <c r="F3" s="3194" t="s">
        <v>3072</v>
      </c>
      <c r="G3" s="3194" t="s">
        <v>3036</v>
      </c>
      <c r="H3" s="3194" t="s">
        <v>3073</v>
      </c>
      <c r="I3" s="3194">
        <v>15100</v>
      </c>
      <c r="J3" s="3194">
        <v>21300</v>
      </c>
      <c r="K3" s="3194">
        <v>1021.75</v>
      </c>
      <c r="L3" s="3194">
        <v>41.06</v>
      </c>
      <c r="M3" s="3194" t="s">
        <v>3074</v>
      </c>
    </row>
    <row r="4" spans="1:13" s="2938" customFormat="1" ht="14.25">
      <c r="A4" s="3194" t="s">
        <v>3075</v>
      </c>
      <c r="B4" s="3194" t="s">
        <v>3067</v>
      </c>
      <c r="C4" s="3194" t="s">
        <v>3035</v>
      </c>
      <c r="D4" s="3194">
        <v>122113</v>
      </c>
      <c r="E4" s="3194">
        <v>75710.06</v>
      </c>
      <c r="F4" s="3194" t="s">
        <v>3076</v>
      </c>
      <c r="G4" s="3194" t="s">
        <v>3036</v>
      </c>
      <c r="H4" s="3194" t="s">
        <v>3077</v>
      </c>
      <c r="I4" s="3194">
        <v>31000</v>
      </c>
      <c r="J4" s="3194">
        <v>33200</v>
      </c>
      <c r="K4" s="3194">
        <v>4385.1400000000003</v>
      </c>
      <c r="L4" s="3194">
        <v>7.1</v>
      </c>
      <c r="M4" s="3194" t="s">
        <v>3078</v>
      </c>
    </row>
    <row r="5" spans="1:13" s="2938" customFormat="1" ht="14.25">
      <c r="A5" s="3194" t="s">
        <v>3079</v>
      </c>
      <c r="B5" s="3194" t="s">
        <v>3067</v>
      </c>
      <c r="C5" s="3194" t="s">
        <v>3035</v>
      </c>
      <c r="D5" s="3194">
        <v>58141</v>
      </c>
      <c r="E5" s="3194">
        <v>174423</v>
      </c>
      <c r="F5" s="3194" t="s">
        <v>3080</v>
      </c>
      <c r="G5" s="3194" t="s">
        <v>3036</v>
      </c>
      <c r="H5" s="3194" t="s">
        <v>3081</v>
      </c>
      <c r="I5" s="3194">
        <v>22200</v>
      </c>
      <c r="J5" s="3194">
        <v>26600</v>
      </c>
      <c r="K5" s="3194">
        <v>1525.02</v>
      </c>
      <c r="L5" s="3194">
        <v>19.82</v>
      </c>
      <c r="M5" s="3194" t="s">
        <v>3082</v>
      </c>
    </row>
    <row r="6" spans="1:13" s="2938" customFormat="1" ht="14.25">
      <c r="A6" s="3194" t="s">
        <v>3083</v>
      </c>
      <c r="B6" s="3194" t="s">
        <v>3067</v>
      </c>
      <c r="C6" s="3194" t="s">
        <v>3035</v>
      </c>
      <c r="D6" s="3194">
        <v>26218</v>
      </c>
      <c r="E6" s="3194">
        <v>78654</v>
      </c>
      <c r="F6" s="3194" t="s">
        <v>3080</v>
      </c>
      <c r="G6" s="3194" t="s">
        <v>3036</v>
      </c>
      <c r="H6" s="3194" t="s">
        <v>3081</v>
      </c>
      <c r="I6" s="3194">
        <v>9800</v>
      </c>
      <c r="J6" s="3194">
        <v>11700</v>
      </c>
      <c r="K6" s="3194">
        <v>1487.52</v>
      </c>
      <c r="L6" s="3194">
        <v>19.39</v>
      </c>
      <c r="M6" s="3194" t="s">
        <v>3082</v>
      </c>
    </row>
    <row r="7" spans="1:13" s="3181" customFormat="1" ht="14.25">
      <c r="A7" s="3194" t="s">
        <v>3084</v>
      </c>
      <c r="B7" s="3194" t="s">
        <v>3067</v>
      </c>
      <c r="C7" s="3194" t="s">
        <v>3035</v>
      </c>
      <c r="D7" s="3194">
        <v>61693</v>
      </c>
      <c r="E7" s="3194">
        <v>185079</v>
      </c>
      <c r="F7" s="3194" t="s">
        <v>3080</v>
      </c>
      <c r="G7" s="3194" t="s">
        <v>3036</v>
      </c>
      <c r="H7" s="3194" t="s">
        <v>3081</v>
      </c>
      <c r="I7" s="3194">
        <v>23400</v>
      </c>
      <c r="J7" s="3194">
        <v>28000</v>
      </c>
      <c r="K7" s="3194">
        <v>1512.86</v>
      </c>
      <c r="L7" s="3194">
        <v>19.66</v>
      </c>
      <c r="M7" s="3194" t="s">
        <v>3082</v>
      </c>
    </row>
    <row r="8" spans="1:13" s="2938" customFormat="1" ht="14.25">
      <c r="A8" s="3194" t="s">
        <v>3085</v>
      </c>
      <c r="B8" s="3194" t="s">
        <v>3067</v>
      </c>
      <c r="C8" s="3194" t="s">
        <v>3035</v>
      </c>
      <c r="D8" s="3194">
        <v>34380</v>
      </c>
      <c r="E8" s="3194">
        <v>103140</v>
      </c>
      <c r="F8" s="3194" t="s">
        <v>3080</v>
      </c>
      <c r="G8" s="3194" t="s">
        <v>3036</v>
      </c>
      <c r="H8" s="3194" t="s">
        <v>3081</v>
      </c>
      <c r="I8" s="3194">
        <v>12900</v>
      </c>
      <c r="J8" s="3194">
        <v>15300</v>
      </c>
      <c r="K8" s="3194">
        <v>1483.42</v>
      </c>
      <c r="L8" s="3194">
        <v>18.600000000000001</v>
      </c>
      <c r="M8" s="3194" t="s">
        <v>3082</v>
      </c>
    </row>
    <row r="9" spans="1:13" s="2938" customFormat="1" ht="14.25">
      <c r="A9" s="3194" t="s">
        <v>3086</v>
      </c>
      <c r="B9" s="3194" t="s">
        <v>3067</v>
      </c>
      <c r="C9" s="3194" t="s">
        <v>3035</v>
      </c>
      <c r="D9" s="3194">
        <v>15808</v>
      </c>
      <c r="E9" s="3194">
        <v>47424</v>
      </c>
      <c r="F9" s="3194" t="s">
        <v>3087</v>
      </c>
      <c r="G9" s="3194" t="s">
        <v>3036</v>
      </c>
      <c r="H9" s="3194" t="s">
        <v>3088</v>
      </c>
      <c r="I9" s="3194">
        <v>6200</v>
      </c>
      <c r="J9" s="3194">
        <v>6500</v>
      </c>
      <c r="K9" s="3194">
        <v>1370.6</v>
      </c>
      <c r="L9" s="3194">
        <v>4.84</v>
      </c>
      <c r="M9" s="3194" t="s">
        <v>3089</v>
      </c>
    </row>
    <row r="10" spans="1:13" s="3181" customFormat="1" ht="14.25">
      <c r="A10" s="3194" t="s">
        <v>3090</v>
      </c>
      <c r="B10" s="3194" t="s">
        <v>3067</v>
      </c>
      <c r="C10" s="3194" t="s">
        <v>3035</v>
      </c>
      <c r="D10" s="3194">
        <v>16864</v>
      </c>
      <c r="E10" s="3194">
        <v>50592</v>
      </c>
      <c r="F10" s="3194" t="s">
        <v>3087</v>
      </c>
      <c r="G10" s="3194" t="s">
        <v>3036</v>
      </c>
      <c r="H10" s="3194" t="s">
        <v>3088</v>
      </c>
      <c r="I10" s="3194">
        <v>6700</v>
      </c>
      <c r="J10" s="3194">
        <v>7000</v>
      </c>
      <c r="K10" s="3194">
        <v>1383.61</v>
      </c>
      <c r="L10" s="3194">
        <v>4.4800000000000004</v>
      </c>
      <c r="M10" s="3194" t="s">
        <v>3089</v>
      </c>
    </row>
    <row r="11" spans="1:13" s="3182" customFormat="1" ht="12.75">
      <c r="A11" s="3194" t="s">
        <v>3091</v>
      </c>
      <c r="B11" s="3194" t="s">
        <v>3067</v>
      </c>
      <c r="C11" s="3194" t="s">
        <v>3035</v>
      </c>
      <c r="D11" s="3194">
        <v>22269</v>
      </c>
      <c r="E11" s="3194">
        <v>66807</v>
      </c>
      <c r="F11" s="3194" t="s">
        <v>3087</v>
      </c>
      <c r="G11" s="3194" t="s">
        <v>3036</v>
      </c>
      <c r="H11" s="3194" t="s">
        <v>3088</v>
      </c>
      <c r="I11" s="3194">
        <v>6200</v>
      </c>
      <c r="J11" s="3194">
        <v>6500</v>
      </c>
      <c r="K11" s="3194">
        <v>972.95</v>
      </c>
      <c r="L11" s="3194">
        <v>4.84</v>
      </c>
      <c r="M11" s="3194" t="s">
        <v>3089</v>
      </c>
    </row>
    <row r="12" spans="1:13" s="2938" customFormat="1" ht="14.25">
      <c r="A12" s="3194" t="s">
        <v>3092</v>
      </c>
      <c r="B12" s="3194" t="s">
        <v>3067</v>
      </c>
      <c r="C12" s="3194" t="s">
        <v>3035</v>
      </c>
      <c r="D12" s="3194">
        <v>4764</v>
      </c>
      <c r="E12" s="3194">
        <v>14292</v>
      </c>
      <c r="F12" s="3194" t="s">
        <v>3087</v>
      </c>
      <c r="G12" s="3194" t="s">
        <v>3036</v>
      </c>
      <c r="H12" s="3194" t="s">
        <v>3088</v>
      </c>
      <c r="I12" s="3194">
        <v>1110</v>
      </c>
      <c r="J12" s="3194">
        <v>1170</v>
      </c>
      <c r="K12" s="3194">
        <v>818.63</v>
      </c>
      <c r="L12" s="3194">
        <v>5.41</v>
      </c>
      <c r="M12" s="3194" t="s">
        <v>3089</v>
      </c>
    </row>
    <row r="13" spans="1:13" s="2938" customFormat="1" ht="14.25">
      <c r="A13" s="3194" t="s">
        <v>3093</v>
      </c>
      <c r="B13" s="3194" t="s">
        <v>3067</v>
      </c>
      <c r="C13" s="3194" t="s">
        <v>3035</v>
      </c>
      <c r="D13" s="3194">
        <v>50721</v>
      </c>
      <c r="E13" s="3194">
        <v>152163</v>
      </c>
      <c r="F13" s="3194" t="s">
        <v>3087</v>
      </c>
      <c r="G13" s="3194" t="s">
        <v>3036</v>
      </c>
      <c r="H13" s="3194" t="s">
        <v>3088</v>
      </c>
      <c r="I13" s="3194">
        <v>13200</v>
      </c>
      <c r="J13" s="3194">
        <v>13800</v>
      </c>
      <c r="K13" s="3194">
        <v>906.91</v>
      </c>
      <c r="L13" s="3194">
        <v>4.55</v>
      </c>
      <c r="M13" s="3194" t="s">
        <v>3089</v>
      </c>
    </row>
    <row r="14" spans="1:13" s="3196" customFormat="1" ht="14.25">
      <c r="A14" s="3195" t="s">
        <v>3094</v>
      </c>
      <c r="B14" s="3195" t="s">
        <v>3067</v>
      </c>
      <c r="C14" s="3195" t="s">
        <v>3035</v>
      </c>
      <c r="D14" s="3195">
        <v>47336</v>
      </c>
      <c r="E14" s="3195">
        <v>142008</v>
      </c>
      <c r="F14" s="3195" t="s">
        <v>3087</v>
      </c>
      <c r="G14" s="3195" t="s">
        <v>3036</v>
      </c>
      <c r="H14" s="3195" t="s">
        <v>3088</v>
      </c>
      <c r="I14" s="3195">
        <v>21500</v>
      </c>
      <c r="J14" s="3195">
        <v>25700</v>
      </c>
      <c r="K14" s="3195">
        <v>1809.75</v>
      </c>
      <c r="L14" s="3195">
        <v>19.53</v>
      </c>
      <c r="M14" s="3195" t="s">
        <v>3095</v>
      </c>
    </row>
    <row r="15" spans="1:13" s="2938" customFormat="1" ht="14.25">
      <c r="A15" s="3194" t="s">
        <v>3096</v>
      </c>
      <c r="B15" s="3194" t="s">
        <v>3067</v>
      </c>
      <c r="C15" s="3194" t="s">
        <v>3035</v>
      </c>
      <c r="D15" s="3194">
        <v>20683</v>
      </c>
      <c r="E15" s="3194">
        <v>62049</v>
      </c>
      <c r="F15" s="3194" t="s">
        <v>3087</v>
      </c>
      <c r="G15" s="3194" t="s">
        <v>3036</v>
      </c>
      <c r="H15" s="3194" t="s">
        <v>3097</v>
      </c>
      <c r="I15" s="3194">
        <v>9400</v>
      </c>
      <c r="J15" s="3194">
        <v>11200</v>
      </c>
      <c r="K15" s="3194">
        <v>1805.02</v>
      </c>
      <c r="L15" s="3194">
        <v>19.149999999999999</v>
      </c>
      <c r="M15" s="3194" t="s">
        <v>3095</v>
      </c>
    </row>
    <row r="16" spans="1:13" s="3183" customFormat="1" ht="14.25">
      <c r="A16" s="3194" t="s">
        <v>3098</v>
      </c>
      <c r="B16" s="3194" t="s">
        <v>3067</v>
      </c>
      <c r="C16" s="3194" t="s">
        <v>3035</v>
      </c>
      <c r="D16" s="3194">
        <v>13605</v>
      </c>
      <c r="E16" s="3194">
        <v>40815</v>
      </c>
      <c r="F16" s="3194" t="s">
        <v>3087</v>
      </c>
      <c r="G16" s="3194" t="s">
        <v>3036</v>
      </c>
      <c r="H16" s="3194" t="s">
        <v>3097</v>
      </c>
      <c r="I16" s="3194">
        <v>6200</v>
      </c>
      <c r="J16" s="3194">
        <v>7400</v>
      </c>
      <c r="K16" s="3194">
        <v>1813.05</v>
      </c>
      <c r="L16" s="3194">
        <v>19.350000000000001</v>
      </c>
      <c r="M16" s="3194" t="s">
        <v>3095</v>
      </c>
    </row>
    <row r="17" spans="1:13" s="2938" customFormat="1" ht="14.25">
      <c r="A17" s="3194" t="s">
        <v>3099</v>
      </c>
      <c r="B17" s="3194" t="s">
        <v>3067</v>
      </c>
      <c r="C17" s="3194" t="s">
        <v>3035</v>
      </c>
      <c r="D17" s="3194">
        <v>36992</v>
      </c>
      <c r="E17" s="3194">
        <v>110976</v>
      </c>
      <c r="F17" s="3194" t="s">
        <v>3087</v>
      </c>
      <c r="G17" s="3194" t="s">
        <v>3036</v>
      </c>
      <c r="H17" s="3194" t="s">
        <v>3097</v>
      </c>
      <c r="I17" s="3194">
        <v>16800</v>
      </c>
      <c r="J17" s="3194">
        <v>20000</v>
      </c>
      <c r="K17" s="3194">
        <v>1802.19</v>
      </c>
      <c r="L17" s="3194">
        <v>19.05</v>
      </c>
      <c r="M17" s="3194" t="s">
        <v>3095</v>
      </c>
    </row>
    <row r="18" spans="1:13" s="2938" customFormat="1" ht="14.25">
      <c r="A18" s="3194" t="s">
        <v>3100</v>
      </c>
      <c r="B18" s="3194" t="s">
        <v>3067</v>
      </c>
      <c r="C18" s="3194" t="s">
        <v>3035</v>
      </c>
      <c r="D18" s="3194">
        <v>53261</v>
      </c>
      <c r="E18" s="3194">
        <v>159783</v>
      </c>
      <c r="F18" s="3194" t="s">
        <v>3087</v>
      </c>
      <c r="G18" s="3194" t="s">
        <v>3036</v>
      </c>
      <c r="H18" s="3194" t="s">
        <v>3097</v>
      </c>
      <c r="I18" s="3194">
        <v>20800</v>
      </c>
      <c r="J18" s="3194">
        <v>24800</v>
      </c>
      <c r="K18" s="3194">
        <v>1552.1</v>
      </c>
      <c r="L18" s="3194">
        <v>19.23</v>
      </c>
      <c r="M18" s="3194" t="s">
        <v>3095</v>
      </c>
    </row>
    <row r="19" spans="1:13" s="3181" customFormat="1" ht="14.25">
      <c r="A19" s="3194" t="s">
        <v>3101</v>
      </c>
      <c r="B19" s="3194" t="s">
        <v>3067</v>
      </c>
      <c r="C19" s="3194" t="s">
        <v>3035</v>
      </c>
      <c r="D19" s="3194">
        <v>90230</v>
      </c>
      <c r="E19" s="3194">
        <v>270690</v>
      </c>
      <c r="F19" s="3194" t="s">
        <v>3087</v>
      </c>
      <c r="G19" s="3194" t="s">
        <v>3036</v>
      </c>
      <c r="H19" s="3194" t="s">
        <v>3097</v>
      </c>
      <c r="I19" s="3194">
        <v>32800</v>
      </c>
      <c r="J19" s="3194">
        <v>39200</v>
      </c>
      <c r="K19" s="3194">
        <v>1448.15</v>
      </c>
      <c r="L19" s="3194">
        <v>19.510000000000002</v>
      </c>
      <c r="M19" s="3194" t="s">
        <v>3095</v>
      </c>
    </row>
    <row r="20" spans="1:13" s="2938" customFormat="1" ht="14.25">
      <c r="A20" s="3194" t="s">
        <v>3102</v>
      </c>
      <c r="B20" s="3194" t="s">
        <v>3067</v>
      </c>
      <c r="C20" s="3194" t="s">
        <v>3035</v>
      </c>
      <c r="D20" s="3194">
        <v>30143</v>
      </c>
      <c r="E20" s="3194">
        <v>90429</v>
      </c>
      <c r="F20" s="3194" t="s">
        <v>3087</v>
      </c>
      <c r="G20" s="3194" t="s">
        <v>3036</v>
      </c>
      <c r="H20" s="3194" t="s">
        <v>3097</v>
      </c>
      <c r="I20" s="3194">
        <v>13700</v>
      </c>
      <c r="J20" s="3194">
        <v>16300</v>
      </c>
      <c r="K20" s="3194">
        <v>1802.51</v>
      </c>
      <c r="L20" s="3194">
        <v>18.98</v>
      </c>
      <c r="M20" s="3194" t="s">
        <v>3095</v>
      </c>
    </row>
    <row r="21" spans="1:13" s="2938" customFormat="1"/>
    <row r="22" spans="1:13" s="2938" customFormat="1"/>
    <row r="23" spans="1:13" s="3181" customFormat="1"/>
    <row r="24" spans="1:13" s="2938" customFormat="1"/>
    <row r="25" spans="1:13" s="2938" customFormat="1"/>
    <row r="26" spans="1:13" s="2938" customFormat="1"/>
    <row r="27" spans="1:13" s="2938" customFormat="1"/>
    <row r="28" spans="1:13" s="2938" customFormat="1"/>
    <row r="29" spans="1:13" s="3181" customFormat="1"/>
    <row r="30" spans="1:13" s="3183" customFormat="1">
      <c r="A30" s="3184"/>
      <c r="J30" s="2938"/>
      <c r="L30" s="2938"/>
    </row>
    <row r="31" spans="1:13" s="2938" customFormat="1"/>
    <row r="32" spans="1:13" s="2938" customFormat="1"/>
    <row r="33" spans="1:1" s="2938" customFormat="1"/>
    <row r="34" spans="1:1" s="3181" customFormat="1"/>
    <row r="35" spans="1:1" s="2938" customFormat="1"/>
    <row r="36" spans="1:1" s="2938" customFormat="1"/>
    <row r="37" spans="1:1" s="2938" customFormat="1"/>
    <row r="38" spans="1:1" s="2938" customFormat="1"/>
    <row r="39" spans="1:1" s="3189" customFormat="1">
      <c r="A39" s="3190"/>
    </row>
    <row r="40" spans="1:1" s="2938" customFormat="1"/>
    <row r="41" spans="1:1" s="2938" customFormat="1"/>
    <row r="42" spans="1:1" s="2938" customFormat="1"/>
    <row r="43" spans="1:1" s="2938" customFormat="1"/>
    <row r="44" spans="1:1" s="2938" customFormat="1"/>
    <row r="45" spans="1:1" s="2938" customFormat="1"/>
    <row r="46" spans="1:1" s="2938" customFormat="1"/>
    <row r="47" spans="1:1" s="2938" customFormat="1"/>
    <row r="48" spans="1:1" s="2938" customFormat="1"/>
    <row r="49" s="2938" customFormat="1"/>
    <row r="50" s="2938" customFormat="1"/>
    <row r="51" s="2938" customFormat="1"/>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M51"/>
  <sheetViews>
    <sheetView workbookViewId="0">
      <selection activeCell="J42" sqref="J42"/>
    </sheetView>
  </sheetViews>
  <sheetFormatPr defaultRowHeight="13.5"/>
  <cols>
    <col min="1" max="1" width="27.625" customWidth="1"/>
    <col min="11" max="11" width="9" style="3197"/>
  </cols>
  <sheetData>
    <row r="1" spans="1:13">
      <c r="A1" s="3199" t="s">
        <v>3023</v>
      </c>
      <c r="B1" s="3199" t="s">
        <v>3024</v>
      </c>
      <c r="C1" s="3199" t="s">
        <v>3025</v>
      </c>
      <c r="D1" s="3199" t="s">
        <v>3026</v>
      </c>
      <c r="E1" s="3199" t="s">
        <v>3027</v>
      </c>
      <c r="F1" s="3199" t="s">
        <v>2034</v>
      </c>
      <c r="G1" s="3199" t="s">
        <v>3028</v>
      </c>
      <c r="H1" s="3199" t="s">
        <v>3029</v>
      </c>
      <c r="I1" s="3199" t="s">
        <v>3030</v>
      </c>
      <c r="J1" s="3199" t="s">
        <v>3031</v>
      </c>
      <c r="K1" s="3195" t="s">
        <v>3032</v>
      </c>
      <c r="L1" s="3199" t="s">
        <v>3033</v>
      </c>
      <c r="M1" s="3199" t="s">
        <v>3034</v>
      </c>
    </row>
    <row r="2" spans="1:13" s="3201" customFormat="1">
      <c r="A2" s="3200" t="s">
        <v>3104</v>
      </c>
      <c r="B2" s="3200" t="s">
        <v>3067</v>
      </c>
      <c r="C2" s="3200" t="s">
        <v>3035</v>
      </c>
      <c r="D2" s="3200">
        <v>143712</v>
      </c>
      <c r="E2" s="3200">
        <v>431136</v>
      </c>
      <c r="F2" s="3200" t="s">
        <v>3087</v>
      </c>
      <c r="G2" s="3200" t="s">
        <v>3036</v>
      </c>
      <c r="H2" s="3200" t="s">
        <v>3105</v>
      </c>
      <c r="I2" s="3200">
        <v>134300</v>
      </c>
      <c r="J2" s="3200">
        <v>181300</v>
      </c>
      <c r="K2" s="3200">
        <v>4205.17</v>
      </c>
      <c r="L2" s="3200">
        <v>35</v>
      </c>
      <c r="M2" s="3200" t="s">
        <v>3106</v>
      </c>
    </row>
    <row r="3" spans="1:13" s="3197" customFormat="1">
      <c r="A3" s="3199" t="s">
        <v>3107</v>
      </c>
      <c r="B3" s="3199" t="s">
        <v>3067</v>
      </c>
      <c r="C3" s="3199" t="s">
        <v>3035</v>
      </c>
      <c r="D3" s="3199">
        <v>152282</v>
      </c>
      <c r="E3" s="3199">
        <v>271214.3</v>
      </c>
      <c r="F3" s="3199" t="s">
        <v>3108</v>
      </c>
      <c r="G3" s="3199" t="s">
        <v>3036</v>
      </c>
      <c r="H3" s="3199" t="s">
        <v>3109</v>
      </c>
      <c r="I3" s="3199">
        <v>147100</v>
      </c>
      <c r="J3" s="3199">
        <v>172300</v>
      </c>
      <c r="K3" s="3195">
        <v>6352.9</v>
      </c>
      <c r="L3" s="3199">
        <v>17.13</v>
      </c>
      <c r="M3" s="3199" t="s">
        <v>3110</v>
      </c>
    </row>
    <row r="4" spans="1:13">
      <c r="A4" s="3199" t="s">
        <v>3111</v>
      </c>
      <c r="B4" s="3199" t="s">
        <v>3067</v>
      </c>
      <c r="C4" s="3199" t="s">
        <v>3035</v>
      </c>
      <c r="D4" s="3199">
        <v>85781</v>
      </c>
      <c r="E4" s="3199">
        <v>145827.70000000001</v>
      </c>
      <c r="F4" s="3199" t="s">
        <v>3112</v>
      </c>
      <c r="G4" s="3199" t="s">
        <v>3036</v>
      </c>
      <c r="H4" s="3199" t="s">
        <v>3109</v>
      </c>
      <c r="I4" s="3199">
        <v>89800</v>
      </c>
      <c r="J4" s="3199">
        <v>99000</v>
      </c>
      <c r="K4" s="3195">
        <v>6788.82</v>
      </c>
      <c r="L4" s="3199">
        <v>10.24</v>
      </c>
      <c r="M4" s="3199" t="s">
        <v>3113</v>
      </c>
    </row>
    <row r="5" spans="1:13">
      <c r="A5" s="3199" t="s">
        <v>3114</v>
      </c>
      <c r="B5" s="3199" t="s">
        <v>3067</v>
      </c>
      <c r="C5" s="3199" t="s">
        <v>3035</v>
      </c>
      <c r="D5" s="3199">
        <v>77722</v>
      </c>
      <c r="E5" s="3199">
        <v>170988.4</v>
      </c>
      <c r="F5" s="3199" t="s">
        <v>3103</v>
      </c>
      <c r="G5" s="3199" t="s">
        <v>3036</v>
      </c>
      <c r="H5" s="3199" t="s">
        <v>3115</v>
      </c>
      <c r="I5" s="3199">
        <v>86700</v>
      </c>
      <c r="J5" s="3199">
        <v>99900</v>
      </c>
      <c r="K5" s="3195">
        <v>5842.5</v>
      </c>
      <c r="L5" s="3199">
        <v>15.22</v>
      </c>
      <c r="M5" s="3199" t="s">
        <v>3116</v>
      </c>
    </row>
    <row r="6" spans="1:13">
      <c r="A6" s="3199" t="s">
        <v>3117</v>
      </c>
      <c r="B6" s="3199" t="s">
        <v>3067</v>
      </c>
      <c r="C6" s="3199" t="s">
        <v>3035</v>
      </c>
      <c r="D6" s="3199">
        <v>42150</v>
      </c>
      <c r="E6" s="3199">
        <v>50580</v>
      </c>
      <c r="F6" s="3199" t="s">
        <v>3118</v>
      </c>
      <c r="G6" s="3199" t="s">
        <v>3036</v>
      </c>
      <c r="H6" s="3199" t="s">
        <v>3119</v>
      </c>
      <c r="I6" s="3199">
        <v>28200</v>
      </c>
      <c r="J6" s="3199">
        <v>34800</v>
      </c>
      <c r="K6" s="3195">
        <v>6880.18</v>
      </c>
      <c r="L6" s="3199">
        <v>23.4</v>
      </c>
      <c r="M6" s="3199" t="s">
        <v>3120</v>
      </c>
    </row>
    <row r="7" spans="1:13" s="3197" customFormat="1">
      <c r="A7" s="3205" t="s">
        <v>3160</v>
      </c>
      <c r="B7" s="3195" t="s">
        <v>3067</v>
      </c>
      <c r="C7" s="3195" t="s">
        <v>3035</v>
      </c>
      <c r="D7" s="3195">
        <v>112726</v>
      </c>
      <c r="E7" s="3195">
        <v>217561.2</v>
      </c>
      <c r="F7" s="3195" t="s">
        <v>3122</v>
      </c>
      <c r="G7" s="3195" t="s">
        <v>3036</v>
      </c>
      <c r="H7" s="3195" t="s">
        <v>3119</v>
      </c>
      <c r="I7" s="3195">
        <v>75700</v>
      </c>
      <c r="J7" s="3195">
        <v>120100</v>
      </c>
      <c r="K7" s="3195">
        <v>5520.28</v>
      </c>
      <c r="L7" s="3195">
        <v>58.65</v>
      </c>
      <c r="M7" s="3195" t="s">
        <v>3123</v>
      </c>
    </row>
    <row r="8" spans="1:13">
      <c r="A8" s="3199" t="s">
        <v>3124</v>
      </c>
      <c r="B8" s="3199" t="s">
        <v>3067</v>
      </c>
      <c r="C8" s="3199" t="s">
        <v>3035</v>
      </c>
      <c r="D8" s="3199">
        <v>122257</v>
      </c>
      <c r="E8" s="3199">
        <v>220062.6</v>
      </c>
      <c r="F8" s="3199" t="s">
        <v>3125</v>
      </c>
      <c r="G8" s="3199" t="s">
        <v>3036</v>
      </c>
      <c r="H8" s="3199" t="s">
        <v>3119</v>
      </c>
      <c r="I8" s="3199">
        <v>115900</v>
      </c>
      <c r="J8" s="3199">
        <v>170100</v>
      </c>
      <c r="K8" s="3195">
        <v>7729.61</v>
      </c>
      <c r="L8" s="3199">
        <v>46.76</v>
      </c>
      <c r="M8" s="3199" t="s">
        <v>3120</v>
      </c>
    </row>
    <row r="9" spans="1:13">
      <c r="A9" s="3199" t="s">
        <v>3126</v>
      </c>
      <c r="B9" s="3199" t="s">
        <v>3067</v>
      </c>
      <c r="C9" s="3199" t="s">
        <v>3035</v>
      </c>
      <c r="D9" s="3199">
        <v>47586</v>
      </c>
      <c r="E9" s="3199">
        <v>85654.8</v>
      </c>
      <c r="F9" s="3199" t="s">
        <v>3125</v>
      </c>
      <c r="G9" s="3199" t="s">
        <v>3036</v>
      </c>
      <c r="H9" s="3199" t="s">
        <v>3119</v>
      </c>
      <c r="I9" s="3199">
        <v>50900</v>
      </c>
      <c r="J9" s="3199">
        <v>65500</v>
      </c>
      <c r="K9" s="3195">
        <v>7646.97</v>
      </c>
      <c r="L9" s="3199">
        <v>28.68</v>
      </c>
      <c r="M9" s="3199" t="s">
        <v>3089</v>
      </c>
    </row>
    <row r="10" spans="1:13" s="3197" customFormat="1">
      <c r="A10" s="3205" t="s">
        <v>3161</v>
      </c>
      <c r="B10" s="3195" t="s">
        <v>3067</v>
      </c>
      <c r="C10" s="3195" t="s">
        <v>3035</v>
      </c>
      <c r="D10" s="3195">
        <v>77609</v>
      </c>
      <c r="E10" s="3195">
        <v>170739.8</v>
      </c>
      <c r="F10" s="3195" t="s">
        <v>3103</v>
      </c>
      <c r="G10" s="3195" t="s">
        <v>3036</v>
      </c>
      <c r="H10" s="3195" t="s">
        <v>3127</v>
      </c>
      <c r="I10" s="3195">
        <v>63000</v>
      </c>
      <c r="J10" s="3195">
        <v>94400</v>
      </c>
      <c r="K10" s="3195">
        <v>5528.88</v>
      </c>
      <c r="L10" s="3195">
        <v>49.84</v>
      </c>
      <c r="M10" s="3195" t="s">
        <v>3128</v>
      </c>
    </row>
    <row r="11" spans="1:13" s="3197" customFormat="1">
      <c r="A11" s="3195" t="s">
        <v>3162</v>
      </c>
      <c r="B11" s="3195" t="s">
        <v>3067</v>
      </c>
      <c r="C11" s="3195" t="s">
        <v>3035</v>
      </c>
      <c r="D11" s="3195">
        <v>56724</v>
      </c>
      <c r="E11" s="3195">
        <v>119120.4</v>
      </c>
      <c r="F11" s="3195" t="s">
        <v>3129</v>
      </c>
      <c r="G11" s="3195" t="s">
        <v>3036</v>
      </c>
      <c r="H11" s="3195" t="s">
        <v>3127</v>
      </c>
      <c r="I11" s="3195">
        <v>44400</v>
      </c>
      <c r="J11" s="3195">
        <v>66400</v>
      </c>
      <c r="K11" s="3195">
        <v>5574.18</v>
      </c>
      <c r="L11" s="3195">
        <v>49.55</v>
      </c>
      <c r="M11" s="3195" t="s">
        <v>3130</v>
      </c>
    </row>
    <row r="12" spans="1:13">
      <c r="A12" s="3199" t="s">
        <v>3131</v>
      </c>
      <c r="B12" s="3199" t="s">
        <v>3067</v>
      </c>
      <c r="C12" s="3199" t="s">
        <v>3035</v>
      </c>
      <c r="D12" s="3199">
        <v>57099</v>
      </c>
      <c r="E12" s="3199">
        <v>97068.3</v>
      </c>
      <c r="F12" s="3199" t="s">
        <v>3112</v>
      </c>
      <c r="G12" s="3199" t="s">
        <v>3036</v>
      </c>
      <c r="H12" s="3199" t="s">
        <v>3127</v>
      </c>
      <c r="I12" s="3199">
        <v>40400</v>
      </c>
      <c r="J12" s="3199">
        <v>60400</v>
      </c>
      <c r="K12" s="3195">
        <v>6222.42</v>
      </c>
      <c r="L12" s="3199">
        <v>49.5</v>
      </c>
      <c r="M12" s="3199" t="s">
        <v>3132</v>
      </c>
    </row>
    <row r="13" spans="1:13">
      <c r="A13" s="3199" t="s">
        <v>3133</v>
      </c>
      <c r="B13" s="3199" t="s">
        <v>3067</v>
      </c>
      <c r="C13" s="3199" t="s">
        <v>3035</v>
      </c>
      <c r="D13" s="3199">
        <v>95526</v>
      </c>
      <c r="E13" s="3199">
        <v>130870.6</v>
      </c>
      <c r="F13" s="3199" t="s">
        <v>3134</v>
      </c>
      <c r="G13" s="3199" t="s">
        <v>3036</v>
      </c>
      <c r="H13" s="3199" t="s">
        <v>3073</v>
      </c>
      <c r="I13" s="3199">
        <v>34200</v>
      </c>
      <c r="J13" s="3199">
        <v>47200</v>
      </c>
      <c r="K13" s="3195">
        <v>3606.61</v>
      </c>
      <c r="L13" s="3199">
        <v>38.01</v>
      </c>
      <c r="M13" s="3199" t="s">
        <v>3074</v>
      </c>
    </row>
    <row r="14" spans="1:13">
      <c r="A14" s="3199" t="s">
        <v>3135</v>
      </c>
      <c r="B14" s="3199" t="s">
        <v>3067</v>
      </c>
      <c r="C14" s="3199" t="s">
        <v>3035</v>
      </c>
      <c r="D14" s="3199">
        <v>32122</v>
      </c>
      <c r="E14" s="3199">
        <v>256577.1</v>
      </c>
      <c r="F14" s="3199" t="s">
        <v>3136</v>
      </c>
      <c r="G14" s="3199" t="s">
        <v>3036</v>
      </c>
      <c r="H14" s="3199" t="s">
        <v>3073</v>
      </c>
      <c r="I14" s="3199">
        <v>9900</v>
      </c>
      <c r="J14" s="3199">
        <v>14700</v>
      </c>
      <c r="K14" s="3195">
        <v>572.91999999999996</v>
      </c>
      <c r="L14" s="3199">
        <v>48.48</v>
      </c>
      <c r="M14" s="3199" t="s">
        <v>3074</v>
      </c>
    </row>
    <row r="15" spans="1:13">
      <c r="A15" s="3199" t="s">
        <v>3071</v>
      </c>
      <c r="B15" s="3199" t="s">
        <v>3067</v>
      </c>
      <c r="C15" s="3199" t="s">
        <v>3035</v>
      </c>
      <c r="D15" s="3199">
        <v>52394</v>
      </c>
      <c r="E15" s="3199">
        <v>208466.3</v>
      </c>
      <c r="F15" s="3199" t="s">
        <v>3072</v>
      </c>
      <c r="G15" s="3199" t="s">
        <v>3036</v>
      </c>
      <c r="H15" s="3199" t="s">
        <v>3073</v>
      </c>
      <c r="I15" s="3199">
        <v>15100</v>
      </c>
      <c r="J15" s="3199">
        <v>21300</v>
      </c>
      <c r="K15" s="3195">
        <v>1021.75</v>
      </c>
      <c r="L15" s="3199">
        <v>41.06</v>
      </c>
      <c r="M15" s="3199" t="s">
        <v>3074</v>
      </c>
    </row>
    <row r="16" spans="1:13">
      <c r="A16" s="3199" t="s">
        <v>3137</v>
      </c>
      <c r="B16" s="3199" t="s">
        <v>3067</v>
      </c>
      <c r="C16" s="3199" t="s">
        <v>3035</v>
      </c>
      <c r="D16" s="3199">
        <v>58082</v>
      </c>
      <c r="E16" s="3199">
        <v>69698.399999999994</v>
      </c>
      <c r="F16" s="3199" t="s">
        <v>3138</v>
      </c>
      <c r="G16" s="3199" t="s">
        <v>3036</v>
      </c>
      <c r="H16" s="3199" t="s">
        <v>3139</v>
      </c>
      <c r="I16" s="3199">
        <v>12300</v>
      </c>
      <c r="J16" s="3199">
        <v>19900</v>
      </c>
      <c r="K16" s="3195">
        <v>2855.15</v>
      </c>
      <c r="L16" s="3199">
        <v>61.79</v>
      </c>
      <c r="M16" s="3199" t="s">
        <v>3140</v>
      </c>
    </row>
    <row r="17" spans="1:13" s="3201" customFormat="1">
      <c r="A17" s="3200" t="s">
        <v>3075</v>
      </c>
      <c r="B17" s="3200" t="s">
        <v>3067</v>
      </c>
      <c r="C17" s="3200" t="s">
        <v>3035</v>
      </c>
      <c r="D17" s="3200">
        <v>122113</v>
      </c>
      <c r="E17" s="3200">
        <v>75710.06</v>
      </c>
      <c r="F17" s="3200" t="s">
        <v>3076</v>
      </c>
      <c r="G17" s="3200" t="s">
        <v>3036</v>
      </c>
      <c r="H17" s="3200" t="s">
        <v>3077</v>
      </c>
      <c r="I17" s="3200">
        <v>31000</v>
      </c>
      <c r="J17" s="3200">
        <v>33200</v>
      </c>
      <c r="K17" s="3200">
        <v>4385.1400000000003</v>
      </c>
      <c r="L17" s="3200">
        <v>7.1</v>
      </c>
      <c r="M17" s="3200" t="s">
        <v>3078</v>
      </c>
    </row>
    <row r="18" spans="1:13">
      <c r="A18" s="3199" t="s">
        <v>3141</v>
      </c>
      <c r="B18" s="3199" t="s">
        <v>3067</v>
      </c>
      <c r="C18" s="3199" t="s">
        <v>3035</v>
      </c>
      <c r="D18" s="3199">
        <v>82170</v>
      </c>
      <c r="E18" s="3199">
        <v>105999.3</v>
      </c>
      <c r="F18" s="3199" t="s">
        <v>3142</v>
      </c>
      <c r="G18" s="3199" t="s">
        <v>3036</v>
      </c>
      <c r="H18" s="3199" t="s">
        <v>3143</v>
      </c>
      <c r="I18" s="3199">
        <v>23500</v>
      </c>
      <c r="J18" s="3199">
        <v>24100</v>
      </c>
      <c r="K18" s="3195">
        <v>2273.59</v>
      </c>
      <c r="L18" s="3199">
        <v>2.5499999999999998</v>
      </c>
      <c r="M18" s="3199" t="s">
        <v>3144</v>
      </c>
    </row>
    <row r="19" spans="1:13">
      <c r="A19" s="3199" t="s">
        <v>3079</v>
      </c>
      <c r="B19" s="3199" t="s">
        <v>3067</v>
      </c>
      <c r="C19" s="3199" t="s">
        <v>3035</v>
      </c>
      <c r="D19" s="3199">
        <v>58141</v>
      </c>
      <c r="E19" s="3199">
        <v>174423</v>
      </c>
      <c r="F19" s="3199" t="s">
        <v>3080</v>
      </c>
      <c r="G19" s="3199" t="s">
        <v>3036</v>
      </c>
      <c r="H19" s="3199" t="s">
        <v>3081</v>
      </c>
      <c r="I19" s="3199">
        <v>22200</v>
      </c>
      <c r="J19" s="3199">
        <v>26600</v>
      </c>
      <c r="K19" s="3195">
        <v>1525.02</v>
      </c>
      <c r="L19" s="3199">
        <v>19.82</v>
      </c>
      <c r="M19" s="3199" t="s">
        <v>3082</v>
      </c>
    </row>
    <row r="20" spans="1:13">
      <c r="A20" s="3199" t="s">
        <v>3083</v>
      </c>
      <c r="B20" s="3199" t="s">
        <v>3067</v>
      </c>
      <c r="C20" s="3199" t="s">
        <v>3035</v>
      </c>
      <c r="D20" s="3199">
        <v>26218</v>
      </c>
      <c r="E20" s="3199">
        <v>78654</v>
      </c>
      <c r="F20" s="3199" t="s">
        <v>3080</v>
      </c>
      <c r="G20" s="3199" t="s">
        <v>3036</v>
      </c>
      <c r="H20" s="3199" t="s">
        <v>3081</v>
      </c>
      <c r="I20" s="3199">
        <v>9800</v>
      </c>
      <c r="J20" s="3199">
        <v>11700</v>
      </c>
      <c r="K20" s="3195">
        <v>1487.52</v>
      </c>
      <c r="L20" s="3199">
        <v>19.39</v>
      </c>
      <c r="M20" s="3199" t="s">
        <v>3082</v>
      </c>
    </row>
    <row r="21" spans="1:13">
      <c r="A21" s="3199" t="s">
        <v>3084</v>
      </c>
      <c r="B21" s="3199" t="s">
        <v>3067</v>
      </c>
      <c r="C21" s="3199" t="s">
        <v>3035</v>
      </c>
      <c r="D21" s="3199">
        <v>61693</v>
      </c>
      <c r="E21" s="3199">
        <v>185079</v>
      </c>
      <c r="F21" s="3199" t="s">
        <v>3080</v>
      </c>
      <c r="G21" s="3199" t="s">
        <v>3036</v>
      </c>
      <c r="H21" s="3199" t="s">
        <v>3081</v>
      </c>
      <c r="I21" s="3199">
        <v>23400</v>
      </c>
      <c r="J21" s="3199">
        <v>28000</v>
      </c>
      <c r="K21" s="3195">
        <v>1512.86</v>
      </c>
      <c r="L21" s="3199">
        <v>19.66</v>
      </c>
      <c r="M21" s="3199" t="s">
        <v>3082</v>
      </c>
    </row>
    <row r="22" spans="1:13">
      <c r="A22" s="3199" t="s">
        <v>3085</v>
      </c>
      <c r="B22" s="3199" t="s">
        <v>3067</v>
      </c>
      <c r="C22" s="3199" t="s">
        <v>3035</v>
      </c>
      <c r="D22" s="3199">
        <v>34380</v>
      </c>
      <c r="E22" s="3199">
        <v>103140</v>
      </c>
      <c r="F22" s="3199" t="s">
        <v>3080</v>
      </c>
      <c r="G22" s="3199" t="s">
        <v>3036</v>
      </c>
      <c r="H22" s="3199" t="s">
        <v>3081</v>
      </c>
      <c r="I22" s="3199">
        <v>12900</v>
      </c>
      <c r="J22" s="3199">
        <v>15300</v>
      </c>
      <c r="K22" s="3195">
        <v>1483.42</v>
      </c>
      <c r="L22" s="3199">
        <v>18.600000000000001</v>
      </c>
      <c r="M22" s="3199" t="s">
        <v>3082</v>
      </c>
    </row>
    <row r="23" spans="1:13">
      <c r="A23" s="3199" t="s">
        <v>3086</v>
      </c>
      <c r="B23" s="3199" t="s">
        <v>3067</v>
      </c>
      <c r="C23" s="3199" t="s">
        <v>3035</v>
      </c>
      <c r="D23" s="3199">
        <v>15808</v>
      </c>
      <c r="E23" s="3199">
        <v>47424</v>
      </c>
      <c r="F23" s="3199" t="s">
        <v>3087</v>
      </c>
      <c r="G23" s="3199" t="s">
        <v>3036</v>
      </c>
      <c r="H23" s="3199" t="s">
        <v>3088</v>
      </c>
      <c r="I23" s="3199">
        <v>6200</v>
      </c>
      <c r="J23" s="3199">
        <v>6500</v>
      </c>
      <c r="K23" s="3195">
        <v>1370.6</v>
      </c>
      <c r="L23" s="3199">
        <v>4.84</v>
      </c>
      <c r="M23" s="3199" t="s">
        <v>3089</v>
      </c>
    </row>
    <row r="24" spans="1:13">
      <c r="A24" s="3199" t="s">
        <v>3090</v>
      </c>
      <c r="B24" s="3199" t="s">
        <v>3067</v>
      </c>
      <c r="C24" s="3199" t="s">
        <v>3035</v>
      </c>
      <c r="D24" s="3199">
        <v>16864</v>
      </c>
      <c r="E24" s="3199">
        <v>50592</v>
      </c>
      <c r="F24" s="3199" t="s">
        <v>3087</v>
      </c>
      <c r="G24" s="3199" t="s">
        <v>3036</v>
      </c>
      <c r="H24" s="3199" t="s">
        <v>3088</v>
      </c>
      <c r="I24" s="3199">
        <v>6700</v>
      </c>
      <c r="J24" s="3199">
        <v>7000</v>
      </c>
      <c r="K24" s="3195">
        <v>1383.61</v>
      </c>
      <c r="L24" s="3199">
        <v>4.4800000000000004</v>
      </c>
      <c r="M24" s="3199" t="s">
        <v>3089</v>
      </c>
    </row>
    <row r="25" spans="1:13">
      <c r="A25" s="3199" t="s">
        <v>3091</v>
      </c>
      <c r="B25" s="3199" t="s">
        <v>3067</v>
      </c>
      <c r="C25" s="3199" t="s">
        <v>3035</v>
      </c>
      <c r="D25" s="3199">
        <v>22269</v>
      </c>
      <c r="E25" s="3199">
        <v>66807</v>
      </c>
      <c r="F25" s="3199" t="s">
        <v>3087</v>
      </c>
      <c r="G25" s="3199" t="s">
        <v>3036</v>
      </c>
      <c r="H25" s="3199" t="s">
        <v>3088</v>
      </c>
      <c r="I25" s="3199">
        <v>6200</v>
      </c>
      <c r="J25" s="3199">
        <v>6500</v>
      </c>
      <c r="K25" s="3195">
        <v>972.95</v>
      </c>
      <c r="L25" s="3199">
        <v>4.84</v>
      </c>
      <c r="M25" s="3199" t="s">
        <v>3089</v>
      </c>
    </row>
    <row r="26" spans="1:13">
      <c r="A26" s="3199" t="s">
        <v>3092</v>
      </c>
      <c r="B26" s="3199" t="s">
        <v>3067</v>
      </c>
      <c r="C26" s="3199" t="s">
        <v>3035</v>
      </c>
      <c r="D26" s="3199">
        <v>4764</v>
      </c>
      <c r="E26" s="3199">
        <v>14292</v>
      </c>
      <c r="F26" s="3199" t="s">
        <v>3087</v>
      </c>
      <c r="G26" s="3199" t="s">
        <v>3036</v>
      </c>
      <c r="H26" s="3199" t="s">
        <v>3088</v>
      </c>
      <c r="I26" s="3199">
        <v>1110</v>
      </c>
      <c r="J26" s="3199">
        <v>1170</v>
      </c>
      <c r="K26" s="3195">
        <v>818.63</v>
      </c>
      <c r="L26" s="3199">
        <v>5.41</v>
      </c>
      <c r="M26" s="3199" t="s">
        <v>3089</v>
      </c>
    </row>
    <row r="27" spans="1:13">
      <c r="A27" s="3199" t="s">
        <v>3093</v>
      </c>
      <c r="B27" s="3199" t="s">
        <v>3067</v>
      </c>
      <c r="C27" s="3199" t="s">
        <v>3035</v>
      </c>
      <c r="D27" s="3199">
        <v>50721</v>
      </c>
      <c r="E27" s="3199">
        <v>152163</v>
      </c>
      <c r="F27" s="3199" t="s">
        <v>3087</v>
      </c>
      <c r="G27" s="3199" t="s">
        <v>3036</v>
      </c>
      <c r="H27" s="3199" t="s">
        <v>3088</v>
      </c>
      <c r="I27" s="3199">
        <v>13200</v>
      </c>
      <c r="J27" s="3199">
        <v>13800</v>
      </c>
      <c r="K27" s="3195">
        <v>906.91</v>
      </c>
      <c r="L27" s="3199">
        <v>4.55</v>
      </c>
      <c r="M27" s="3199" t="s">
        <v>3089</v>
      </c>
    </row>
    <row r="28" spans="1:13" s="3203" customFormat="1">
      <c r="A28" s="3202" t="s">
        <v>3094</v>
      </c>
      <c r="B28" s="3202" t="s">
        <v>3067</v>
      </c>
      <c r="C28" s="3202" t="s">
        <v>3035</v>
      </c>
      <c r="D28" s="3202">
        <v>47336</v>
      </c>
      <c r="E28" s="3202">
        <v>142008</v>
      </c>
      <c r="F28" s="3202" t="s">
        <v>3087</v>
      </c>
      <c r="G28" s="3202" t="s">
        <v>3036</v>
      </c>
      <c r="H28" s="3202" t="s">
        <v>3088</v>
      </c>
      <c r="I28" s="3202">
        <v>21500</v>
      </c>
      <c r="J28" s="3202">
        <v>25700</v>
      </c>
      <c r="K28" s="3202">
        <v>1809.75</v>
      </c>
      <c r="L28" s="3202">
        <v>19.53</v>
      </c>
      <c r="M28" s="3202" t="s">
        <v>3095</v>
      </c>
    </row>
    <row r="29" spans="1:13">
      <c r="A29" s="3199" t="s">
        <v>3096</v>
      </c>
      <c r="B29" s="3199" t="s">
        <v>3067</v>
      </c>
      <c r="C29" s="3199" t="s">
        <v>3035</v>
      </c>
      <c r="D29" s="3199">
        <v>20683</v>
      </c>
      <c r="E29" s="3199">
        <v>62049</v>
      </c>
      <c r="F29" s="3199" t="s">
        <v>3087</v>
      </c>
      <c r="G29" s="3199" t="s">
        <v>3036</v>
      </c>
      <c r="H29" s="3199" t="s">
        <v>3097</v>
      </c>
      <c r="I29" s="3199">
        <v>9400</v>
      </c>
      <c r="J29" s="3199">
        <v>11200</v>
      </c>
      <c r="K29" s="3195">
        <v>1805.02</v>
      </c>
      <c r="L29" s="3199">
        <v>19.149999999999999</v>
      </c>
      <c r="M29" s="3199" t="s">
        <v>3095</v>
      </c>
    </row>
    <row r="30" spans="1:13">
      <c r="A30" s="3199" t="s">
        <v>3098</v>
      </c>
      <c r="B30" s="3199" t="s">
        <v>3067</v>
      </c>
      <c r="C30" s="3199" t="s">
        <v>3035</v>
      </c>
      <c r="D30" s="3199">
        <v>13605</v>
      </c>
      <c r="E30" s="3199">
        <v>40815</v>
      </c>
      <c r="F30" s="3199" t="s">
        <v>3087</v>
      </c>
      <c r="G30" s="3199" t="s">
        <v>3036</v>
      </c>
      <c r="H30" s="3199" t="s">
        <v>3097</v>
      </c>
      <c r="I30" s="3199">
        <v>6200</v>
      </c>
      <c r="J30" s="3199">
        <v>7400</v>
      </c>
      <c r="K30" s="3195">
        <v>1813.05</v>
      </c>
      <c r="L30" s="3199">
        <v>19.350000000000001</v>
      </c>
      <c r="M30" s="3199" t="s">
        <v>3095</v>
      </c>
    </row>
    <row r="31" spans="1:13">
      <c r="A31" s="3199" t="s">
        <v>3099</v>
      </c>
      <c r="B31" s="3199" t="s">
        <v>3067</v>
      </c>
      <c r="C31" s="3199" t="s">
        <v>3035</v>
      </c>
      <c r="D31" s="3199">
        <v>36992</v>
      </c>
      <c r="E31" s="3199">
        <v>110976</v>
      </c>
      <c r="F31" s="3199" t="s">
        <v>3087</v>
      </c>
      <c r="G31" s="3199" t="s">
        <v>3036</v>
      </c>
      <c r="H31" s="3199" t="s">
        <v>3097</v>
      </c>
      <c r="I31" s="3199">
        <v>16800</v>
      </c>
      <c r="J31" s="3199">
        <v>20000</v>
      </c>
      <c r="K31" s="3195">
        <v>1802.19</v>
      </c>
      <c r="L31" s="3199">
        <v>19.05</v>
      </c>
      <c r="M31" s="3199" t="s">
        <v>3095</v>
      </c>
    </row>
    <row r="32" spans="1:13">
      <c r="A32" s="3199" t="s">
        <v>3121</v>
      </c>
      <c r="B32" s="3199" t="s">
        <v>3067</v>
      </c>
      <c r="C32" s="3199" t="s">
        <v>3035</v>
      </c>
      <c r="D32" s="3199">
        <v>136714</v>
      </c>
      <c r="E32" s="3199">
        <v>410142</v>
      </c>
      <c r="F32" s="3199" t="s">
        <v>3087</v>
      </c>
      <c r="G32" s="3199" t="s">
        <v>3036</v>
      </c>
      <c r="H32" s="3199" t="s">
        <v>3097</v>
      </c>
      <c r="I32" s="3199">
        <v>54000</v>
      </c>
      <c r="J32" s="3199">
        <v>54600</v>
      </c>
      <c r="K32" s="3195">
        <v>1331.25</v>
      </c>
      <c r="L32" s="3199">
        <v>1.1100000000000001</v>
      </c>
      <c r="M32" s="3199" t="s">
        <v>3145</v>
      </c>
    </row>
    <row r="33" spans="1:13">
      <c r="A33" s="3199" t="s">
        <v>3100</v>
      </c>
      <c r="B33" s="3199" t="s">
        <v>3067</v>
      </c>
      <c r="C33" s="3199" t="s">
        <v>3035</v>
      </c>
      <c r="D33" s="3199">
        <v>53261</v>
      </c>
      <c r="E33" s="3199">
        <v>159783</v>
      </c>
      <c r="F33" s="3199" t="s">
        <v>3087</v>
      </c>
      <c r="G33" s="3199" t="s">
        <v>3036</v>
      </c>
      <c r="H33" s="3199" t="s">
        <v>3097</v>
      </c>
      <c r="I33" s="3199">
        <v>20800</v>
      </c>
      <c r="J33" s="3199">
        <v>24800</v>
      </c>
      <c r="K33" s="3195">
        <v>1552.1</v>
      </c>
      <c r="L33" s="3199">
        <v>19.23</v>
      </c>
      <c r="M33" s="3199" t="s">
        <v>3095</v>
      </c>
    </row>
    <row r="34" spans="1:13">
      <c r="A34" s="3199" t="s">
        <v>3101</v>
      </c>
      <c r="B34" s="3199" t="s">
        <v>3067</v>
      </c>
      <c r="C34" s="3199" t="s">
        <v>3035</v>
      </c>
      <c r="D34" s="3199">
        <v>90230</v>
      </c>
      <c r="E34" s="3199">
        <v>270690</v>
      </c>
      <c r="F34" s="3199" t="s">
        <v>3087</v>
      </c>
      <c r="G34" s="3199" t="s">
        <v>3036</v>
      </c>
      <c r="H34" s="3199" t="s">
        <v>3097</v>
      </c>
      <c r="I34" s="3199">
        <v>32800</v>
      </c>
      <c r="J34" s="3199">
        <v>39200</v>
      </c>
      <c r="K34" s="3195">
        <v>1448.15</v>
      </c>
      <c r="L34" s="3199">
        <v>19.510000000000002</v>
      </c>
      <c r="M34" s="3199" t="s">
        <v>3095</v>
      </c>
    </row>
    <row r="35" spans="1:13">
      <c r="A35" s="3199" t="s">
        <v>3146</v>
      </c>
      <c r="B35" s="3199" t="s">
        <v>3067</v>
      </c>
      <c r="C35" s="3199" t="s">
        <v>3035</v>
      </c>
      <c r="D35" s="3199">
        <v>85989</v>
      </c>
      <c r="E35" s="3199">
        <v>283763.7</v>
      </c>
      <c r="F35" s="3199" t="s">
        <v>3147</v>
      </c>
      <c r="G35" s="3199" t="s">
        <v>3036</v>
      </c>
      <c r="H35" s="3199" t="s">
        <v>3097</v>
      </c>
      <c r="I35" s="3199">
        <v>33800</v>
      </c>
      <c r="J35" s="3199">
        <v>40000</v>
      </c>
      <c r="K35" s="3195">
        <v>1409.61</v>
      </c>
      <c r="L35" s="3199">
        <v>18.34</v>
      </c>
      <c r="M35" s="3199" t="s">
        <v>3148</v>
      </c>
    </row>
    <row r="36" spans="1:13">
      <c r="A36" s="3199" t="s">
        <v>3149</v>
      </c>
      <c r="B36" s="3199" t="s">
        <v>3067</v>
      </c>
      <c r="C36" s="3199" t="s">
        <v>3035</v>
      </c>
      <c r="D36" s="3199">
        <v>49981</v>
      </c>
      <c r="E36" s="3199">
        <v>149943</v>
      </c>
      <c r="F36" s="3199" t="s">
        <v>3087</v>
      </c>
      <c r="G36" s="3199" t="s">
        <v>3036</v>
      </c>
      <c r="H36" s="3199" t="s">
        <v>3097</v>
      </c>
      <c r="I36" s="3199">
        <v>19600</v>
      </c>
      <c r="J36" s="3199">
        <v>20200</v>
      </c>
      <c r="K36" s="3195">
        <v>1347.18</v>
      </c>
      <c r="L36" s="3199">
        <v>3.06</v>
      </c>
      <c r="M36" s="3199" t="s">
        <v>3145</v>
      </c>
    </row>
    <row r="37" spans="1:13">
      <c r="A37" s="3199" t="s">
        <v>3150</v>
      </c>
      <c r="B37" s="3199" t="s">
        <v>3067</v>
      </c>
      <c r="C37" s="3199" t="s">
        <v>3035</v>
      </c>
      <c r="D37" s="3199">
        <v>63219</v>
      </c>
      <c r="E37" s="3199">
        <v>189657</v>
      </c>
      <c r="F37" s="3199" t="s">
        <v>3087</v>
      </c>
      <c r="G37" s="3199" t="s">
        <v>3036</v>
      </c>
      <c r="H37" s="3199" t="s">
        <v>3097</v>
      </c>
      <c r="I37" s="3199">
        <v>22700</v>
      </c>
      <c r="J37" s="3199">
        <v>23300</v>
      </c>
      <c r="K37" s="3195">
        <v>1228.52</v>
      </c>
      <c r="L37" s="3199">
        <v>2.64</v>
      </c>
      <c r="M37" s="3199" t="s">
        <v>3151</v>
      </c>
    </row>
    <row r="38" spans="1:13">
      <c r="A38" s="3199" t="s">
        <v>3152</v>
      </c>
      <c r="B38" s="3199" t="s">
        <v>3067</v>
      </c>
      <c r="C38" s="3199" t="s">
        <v>3035</v>
      </c>
      <c r="D38" s="3199">
        <v>28921</v>
      </c>
      <c r="E38" s="3199">
        <v>86763</v>
      </c>
      <c r="F38" s="3199" t="s">
        <v>3087</v>
      </c>
      <c r="G38" s="3199" t="s">
        <v>3036</v>
      </c>
      <c r="H38" s="3199" t="s">
        <v>3097</v>
      </c>
      <c r="I38" s="3199">
        <v>10300</v>
      </c>
      <c r="J38" s="3199">
        <v>10900</v>
      </c>
      <c r="K38" s="3195">
        <v>1256.29</v>
      </c>
      <c r="L38" s="3199">
        <v>5.83</v>
      </c>
      <c r="M38" s="3199" t="s">
        <v>3151</v>
      </c>
    </row>
    <row r="39" spans="1:13">
      <c r="A39" s="3199" t="s">
        <v>3102</v>
      </c>
      <c r="B39" s="3199" t="s">
        <v>3067</v>
      </c>
      <c r="C39" s="3199" t="s">
        <v>3035</v>
      </c>
      <c r="D39" s="3199">
        <v>30143</v>
      </c>
      <c r="E39" s="3199">
        <v>90429</v>
      </c>
      <c r="F39" s="3199" t="s">
        <v>3087</v>
      </c>
      <c r="G39" s="3199" t="s">
        <v>3036</v>
      </c>
      <c r="H39" s="3199" t="s">
        <v>3097</v>
      </c>
      <c r="I39" s="3199">
        <v>13700</v>
      </c>
      <c r="J39" s="3199">
        <v>16300</v>
      </c>
      <c r="K39" s="3195">
        <v>1802.51</v>
      </c>
      <c r="L39" s="3199">
        <v>18.98</v>
      </c>
      <c r="M39" s="3199" t="s">
        <v>3095</v>
      </c>
    </row>
    <row r="40" spans="1:13">
      <c r="A40" s="3199" t="s">
        <v>3153</v>
      </c>
      <c r="B40" s="3199" t="s">
        <v>3067</v>
      </c>
      <c r="C40" s="3199" t="s">
        <v>3035</v>
      </c>
      <c r="D40" s="3199">
        <v>34456</v>
      </c>
      <c r="E40" s="3199">
        <v>103368</v>
      </c>
      <c r="F40" s="3199" t="s">
        <v>3087</v>
      </c>
      <c r="G40" s="3199" t="s">
        <v>3036</v>
      </c>
      <c r="H40" s="3199" t="s">
        <v>3097</v>
      </c>
      <c r="I40" s="3199">
        <v>12400</v>
      </c>
      <c r="J40" s="3199">
        <v>13000</v>
      </c>
      <c r="K40" s="3195">
        <v>1257.6400000000001</v>
      </c>
      <c r="L40" s="3199">
        <v>4.84</v>
      </c>
      <c r="M40" s="3199" t="s">
        <v>3151</v>
      </c>
    </row>
    <row r="41" spans="1:13">
      <c r="A41" s="3199" t="s">
        <v>3154</v>
      </c>
      <c r="B41" s="3199" t="s">
        <v>3067</v>
      </c>
      <c r="C41" s="3199" t="s">
        <v>3035</v>
      </c>
      <c r="D41" s="3199">
        <v>49452</v>
      </c>
      <c r="E41" s="3199">
        <v>148356</v>
      </c>
      <c r="F41" s="3199" t="s">
        <v>3087</v>
      </c>
      <c r="G41" s="3199" t="s">
        <v>3036</v>
      </c>
      <c r="H41" s="3199" t="s">
        <v>3097</v>
      </c>
      <c r="I41" s="3199">
        <v>18700</v>
      </c>
      <c r="J41" s="3199">
        <v>19300</v>
      </c>
      <c r="K41" s="3195">
        <v>1300.92</v>
      </c>
      <c r="L41" s="3199">
        <v>3.21</v>
      </c>
      <c r="M41" s="3199" t="s">
        <v>3151</v>
      </c>
    </row>
    <row r="42" spans="1:13">
      <c r="A42" s="3198"/>
      <c r="B42" s="3198"/>
      <c r="C42" s="3198"/>
      <c r="D42" s="3198"/>
      <c r="E42" s="3198"/>
      <c r="F42" s="3198"/>
      <c r="G42" s="3198"/>
      <c r="H42" s="3198"/>
      <c r="I42" s="3198"/>
      <c r="J42" s="3198"/>
      <c r="K42" s="3195"/>
      <c r="L42" s="3198"/>
      <c r="M42" s="3198"/>
    </row>
    <row r="43" spans="1:13">
      <c r="A43" s="3198"/>
      <c r="B43" s="3198"/>
      <c r="C43" s="3198"/>
      <c r="D43" s="3198"/>
      <c r="E43" s="3198"/>
      <c r="F43" s="3198"/>
      <c r="G43" s="3198"/>
      <c r="H43" s="3198"/>
      <c r="I43" s="3198"/>
      <c r="J43" s="3198"/>
      <c r="K43" s="3195"/>
      <c r="L43" s="3198"/>
      <c r="M43" s="3198"/>
    </row>
    <row r="44" spans="1:13">
      <c r="A44" s="3198"/>
      <c r="B44" s="3198"/>
      <c r="C44" s="3198"/>
      <c r="D44" s="3198"/>
      <c r="E44" s="3198"/>
      <c r="F44" s="3198"/>
      <c r="G44" s="3198"/>
      <c r="H44" s="3198"/>
      <c r="I44" s="3198"/>
      <c r="J44" s="3198"/>
      <c r="K44" s="3195"/>
      <c r="L44" s="3198"/>
      <c r="M44" s="3198"/>
    </row>
    <row r="45" spans="1:13">
      <c r="A45" s="3198"/>
      <c r="B45" s="3198"/>
      <c r="C45" s="3198"/>
      <c r="D45" s="3198"/>
      <c r="E45" s="3198"/>
      <c r="F45" s="3198"/>
      <c r="G45" s="3198"/>
      <c r="H45" s="3198"/>
      <c r="I45" s="3198"/>
      <c r="J45" s="3198"/>
      <c r="K45" s="3195"/>
      <c r="L45" s="3198"/>
      <c r="M45" s="3198"/>
    </row>
    <row r="46" spans="1:13">
      <c r="A46" s="3198"/>
      <c r="B46" s="3198"/>
      <c r="C46" s="3198"/>
      <c r="D46" s="3198"/>
      <c r="E46" s="3198"/>
      <c r="F46" s="3198"/>
      <c r="G46" s="3198"/>
      <c r="H46" s="3198"/>
      <c r="I46" s="3198"/>
      <c r="J46" s="3198"/>
      <c r="K46" s="3195"/>
      <c r="L46" s="3198"/>
      <c r="M46" s="3198"/>
    </row>
    <row r="47" spans="1:13">
      <c r="A47" s="3198"/>
      <c r="B47" s="3198"/>
      <c r="C47" s="3198"/>
      <c r="D47" s="3198"/>
      <c r="E47" s="3198"/>
      <c r="F47" s="3198"/>
      <c r="G47" s="3198"/>
      <c r="H47" s="3198"/>
      <c r="I47" s="3198"/>
      <c r="J47" s="3198"/>
      <c r="K47" s="3195"/>
      <c r="L47" s="3198"/>
      <c r="M47" s="3198"/>
    </row>
    <row r="48" spans="1:13">
      <c r="A48" s="3198"/>
      <c r="B48" s="3198"/>
      <c r="C48" s="3198"/>
      <c r="D48" s="3198"/>
      <c r="E48" s="3198"/>
      <c r="F48" s="3198"/>
      <c r="G48" s="3198"/>
      <c r="H48" s="3198"/>
      <c r="I48" s="3198"/>
      <c r="J48" s="3198"/>
      <c r="K48" s="3195"/>
      <c r="L48" s="3198"/>
      <c r="M48" s="3198"/>
    </row>
    <row r="49" spans="1:13">
      <c r="A49" s="3198"/>
      <c r="B49" s="3198"/>
      <c r="C49" s="3198"/>
      <c r="D49" s="3198"/>
      <c r="E49" s="3198"/>
      <c r="F49" s="3198"/>
      <c r="G49" s="3198"/>
      <c r="H49" s="3198"/>
      <c r="I49" s="3198"/>
      <c r="J49" s="3198"/>
      <c r="K49" s="3195"/>
      <c r="L49" s="3198"/>
      <c r="M49" s="3198"/>
    </row>
    <row r="50" spans="1:13">
      <c r="A50" s="3198"/>
      <c r="B50" s="3198"/>
      <c r="C50" s="3198"/>
      <c r="D50" s="3198"/>
      <c r="E50" s="3198"/>
      <c r="F50" s="3198"/>
      <c r="G50" s="3198"/>
      <c r="H50" s="3198"/>
      <c r="I50" s="3198"/>
      <c r="J50" s="3198"/>
      <c r="K50" s="3195"/>
      <c r="L50" s="3198"/>
      <c r="M50" s="3198"/>
    </row>
    <row r="51" spans="1:13">
      <c r="A51" s="3198"/>
      <c r="B51" s="3198"/>
      <c r="C51" s="3198"/>
      <c r="D51" s="3198"/>
      <c r="E51" s="3198"/>
      <c r="F51" s="3198"/>
      <c r="G51" s="3198"/>
      <c r="H51" s="3198"/>
      <c r="I51" s="3198"/>
      <c r="J51" s="3198"/>
      <c r="K51" s="3195"/>
      <c r="L51" s="3198"/>
      <c r="M51" s="3198"/>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2040</v>
      </c>
      <c r="B1" s="3211"/>
      <c r="C1" s="3211"/>
      <c r="D1" s="3211"/>
      <c r="E1" s="3211"/>
      <c r="F1" s="3211"/>
      <c r="G1" s="3211"/>
      <c r="H1" s="3211"/>
      <c r="I1" s="3211"/>
      <c r="J1" s="3211"/>
      <c r="K1" s="3211"/>
      <c r="L1" s="3211"/>
      <c r="M1" s="3211"/>
      <c r="N1" s="3211"/>
      <c r="O1" s="3211"/>
      <c r="P1" s="3211"/>
      <c r="Q1" s="3211"/>
      <c r="R1" s="3211"/>
    </row>
    <row r="2" spans="1:18">
      <c r="A2" s="1807" t="s">
        <v>2042</v>
      </c>
      <c r="B2" s="1807"/>
      <c r="C2" s="1807"/>
      <c r="D2" s="1807"/>
      <c r="E2" s="1807"/>
      <c r="F2" s="1807"/>
      <c r="G2" s="1807"/>
      <c r="H2" s="1807"/>
      <c r="I2" s="1808"/>
      <c r="J2" s="1808"/>
      <c r="K2" s="1809" t="str">
        <f>"估价期日："&amp;TEXT(项目基本情况!D3,"yyyy年m月d日;;")</f>
        <v>估价期日：2018年12月12日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2" t="s">
        <v>2031</v>
      </c>
      <c r="B3" s="3212" t="s">
        <v>2733</v>
      </c>
      <c r="C3" s="3213" t="s">
        <v>2032</v>
      </c>
      <c r="D3" s="3212" t="s">
        <v>2737</v>
      </c>
      <c r="E3" s="3207" t="s">
        <v>2033</v>
      </c>
      <c r="F3" s="3207"/>
      <c r="G3" s="3207"/>
      <c r="H3" s="3207" t="s">
        <v>2034</v>
      </c>
      <c r="I3" s="3207"/>
      <c r="J3" s="3207"/>
      <c r="K3" s="3213" t="s">
        <v>2035</v>
      </c>
      <c r="L3" s="3213" t="s">
        <v>2036</v>
      </c>
      <c r="M3" s="3212" t="s">
        <v>2734</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49" t="s">
        <v>2044</v>
      </c>
      <c r="F4" s="2649" t="s">
        <v>2746</v>
      </c>
      <c r="G4" s="2649" t="s">
        <v>2038</v>
      </c>
      <c r="H4" s="2649" t="s">
        <v>2039</v>
      </c>
      <c r="I4" s="2649" t="s">
        <v>2747</v>
      </c>
      <c r="J4" s="2649" t="s">
        <v>2038</v>
      </c>
      <c r="K4" s="3213"/>
      <c r="L4" s="3213"/>
      <c r="M4" s="3212"/>
      <c r="N4" s="3214"/>
      <c r="O4" s="3212"/>
      <c r="P4" s="3213"/>
      <c r="Q4" s="3213"/>
      <c r="R4" s="3213"/>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47336</v>
      </c>
      <c r="O5" s="1810">
        <f>项目基本情况!C21</f>
        <v>142008</v>
      </c>
      <c r="P5" s="1810">
        <f ca="1">结果表!E42</f>
        <v>13361</v>
      </c>
      <c r="Q5" s="1810">
        <f ca="1">结果表!D42</f>
        <v>4454</v>
      </c>
      <c r="R5" s="1811">
        <f ca="1">结果表!C42</f>
        <v>63247</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2"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2"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6" t="s">
        <v>2067</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2068</v>
      </c>
      <c r="B5" s="3215"/>
      <c r="C5" s="3215"/>
      <c r="D5" s="3215"/>
    </row>
    <row r="6" spans="1:4">
      <c r="A6" s="3216" t="s">
        <v>2046</v>
      </c>
      <c r="B6" s="3216"/>
      <c r="C6" s="3216"/>
      <c r="D6" s="3216"/>
    </row>
    <row r="7" spans="1:4" ht="33" customHeight="1">
      <c r="A7" s="3216" t="s">
        <v>2577</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2070</v>
      </c>
      <c r="B12" s="3215"/>
      <c r="C12" s="3215"/>
      <c r="D12" s="3215"/>
    </row>
    <row r="13" spans="1:4">
      <c r="A13" s="3219" t="s">
        <v>2748</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2704</v>
      </c>
      <c r="B17" s="3216"/>
      <c r="C17" s="3216"/>
      <c r="D17" s="3216"/>
    </row>
    <row r="18" spans="1:4">
      <c r="A18" s="3216" t="s">
        <v>2696</v>
      </c>
      <c r="B18" s="3216"/>
      <c r="C18" s="3216"/>
      <c r="D18" s="3216"/>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6" t="s">
        <v>2701</v>
      </c>
      <c r="B23" s="3216"/>
      <c r="C23" s="3216"/>
      <c r="D23" s="3216"/>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7" t="s">
        <v>53</v>
      </c>
      <c r="B15" s="3228" t="s">
        <v>845</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836</v>
      </c>
    </row>
    <row r="25" spans="1:3" ht="14.25">
      <c r="A25" s="3226"/>
      <c r="B25" s="3230"/>
      <c r="C25" s="1175" t="s">
        <v>837</v>
      </c>
    </row>
    <row r="26" spans="1:3" ht="14.25">
      <c r="A26" s="3226"/>
      <c r="B26" s="3230"/>
      <c r="C26" s="1175" t="s">
        <v>838</v>
      </c>
    </row>
    <row r="27" spans="1:3" ht="14.25">
      <c r="A27" s="3226"/>
      <c r="B27" s="3230"/>
      <c r="C27" s="1175" t="s">
        <v>839</v>
      </c>
    </row>
    <row r="28" spans="1:3" ht="14.25">
      <c r="A28" s="3226"/>
      <c r="B28" s="3230"/>
      <c r="C28" s="1175" t="s">
        <v>840</v>
      </c>
    </row>
    <row r="29" spans="1:3" ht="14.25">
      <c r="A29" s="3226"/>
      <c r="B29" s="3230"/>
      <c r="C29" s="1175" t="s">
        <v>841</v>
      </c>
    </row>
    <row r="30" spans="1:3" ht="14.25">
      <c r="A30" s="3226"/>
      <c r="B30" s="3230"/>
      <c r="C30" s="1175" t="s">
        <v>842</v>
      </c>
    </row>
    <row r="31" spans="1:3" ht="14.25">
      <c r="A31" s="3226"/>
      <c r="B31" s="3230"/>
      <c r="C31" s="1175" t="s">
        <v>843</v>
      </c>
    </row>
    <row r="32" spans="1:3" ht="14.25">
      <c r="A32" s="3226"/>
      <c r="B32" s="3230"/>
      <c r="C32" s="1175" t="s">
        <v>1646</v>
      </c>
    </row>
    <row r="33" spans="1:3" ht="14.25">
      <c r="A33" s="3226"/>
      <c r="B33" s="3220" t="s">
        <v>1652</v>
      </c>
      <c r="C33" s="1175" t="s">
        <v>1647</v>
      </c>
    </row>
    <row r="34" spans="1:3" ht="14.25">
      <c r="A34" s="3226"/>
      <c r="B34" s="3221"/>
      <c r="C34" s="1180" t="s">
        <v>1648</v>
      </c>
    </row>
    <row r="35" spans="1:3" ht="14.25">
      <c r="A35" s="3226"/>
      <c r="B35" s="3221"/>
      <c r="C35" s="1181" t="s">
        <v>1649</v>
      </c>
    </row>
    <row r="36" spans="1:3" ht="14.25">
      <c r="A36" s="3226"/>
      <c r="B36" s="3221"/>
      <c r="C36" s="1181" t="s">
        <v>1650</v>
      </c>
    </row>
    <row r="37" spans="1:3" ht="14.25">
      <c r="A37" s="3226"/>
      <c r="B37" s="322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43452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5">
        <v>43849</v>
      </c>
      <c r="D4" s="2343" t="s">
        <v>1914</v>
      </c>
      <c r="E4" s="2343">
        <f ca="1">IF(F4&lt;B2,"已过期",96010014)</f>
        <v>96010014</v>
      </c>
      <c r="F4" s="3006">
        <v>47118</v>
      </c>
    </row>
    <row r="5" spans="1:6" ht="20.25" customHeight="1">
      <c r="A5" s="2343" t="s">
        <v>1915</v>
      </c>
      <c r="B5" s="2343">
        <f ca="1">IF(C5&lt;B2,"已过期",1119970074)</f>
        <v>1119970074</v>
      </c>
      <c r="C5" s="3005">
        <v>43849</v>
      </c>
      <c r="D5" s="2343" t="s">
        <v>1915</v>
      </c>
      <c r="E5" s="2343">
        <f ca="1">IF(F5&lt;B2,"已过期",2002110027)</f>
        <v>2002110027</v>
      </c>
      <c r="F5" s="3006">
        <v>46752</v>
      </c>
    </row>
    <row r="6" spans="1:6" ht="20.25" customHeight="1">
      <c r="A6" s="2343" t="s">
        <v>1916</v>
      </c>
      <c r="B6" s="2343">
        <f ca="1">IF(C6&lt;B2,"已过期",1119970111)</f>
        <v>1119970111</v>
      </c>
      <c r="C6" s="3005">
        <v>43849</v>
      </c>
      <c r="D6" s="2343" t="s">
        <v>1916</v>
      </c>
      <c r="E6" s="2343">
        <f ca="1">IF(F6&lt;B2,"已过期",94010078)</f>
        <v>94010078</v>
      </c>
      <c r="F6" s="3006">
        <v>46387</v>
      </c>
    </row>
    <row r="7" spans="1:6" ht="20.25" customHeight="1">
      <c r="A7" s="2343" t="s">
        <v>1917</v>
      </c>
      <c r="B7" s="2343">
        <f ca="1">IF(C7&lt;B2,"已过期",1120050019)</f>
        <v>1120050019</v>
      </c>
      <c r="C7" s="3005">
        <v>44395</v>
      </c>
      <c r="D7" s="2343" t="s">
        <v>1917</v>
      </c>
      <c r="E7" s="2343">
        <f ca="1">IF(F7&lt;B2,"已过期",2002110030)</f>
        <v>2002110030</v>
      </c>
      <c r="F7" s="3006">
        <v>46387</v>
      </c>
    </row>
    <row r="8" spans="1:6" ht="20.25" customHeight="1">
      <c r="A8" s="2343" t="s">
        <v>1918</v>
      </c>
      <c r="B8" s="2343">
        <f ca="1">IF(C8&lt;B2,"已过期",1120000080)</f>
        <v>1120000080</v>
      </c>
      <c r="C8" s="3005">
        <v>43849</v>
      </c>
      <c r="D8" s="2343" t="s">
        <v>1918</v>
      </c>
      <c r="E8" s="2343">
        <f ca="1">IF(F8&lt;B2,"已过期",2000110082)</f>
        <v>2000110082</v>
      </c>
      <c r="F8" s="3006">
        <v>46387</v>
      </c>
    </row>
    <row r="9" spans="1:6" ht="20.25" customHeight="1">
      <c r="A9" s="2343" t="s">
        <v>1919</v>
      </c>
      <c r="B9" s="2343">
        <f ca="1">IF(C9&lt;B2,"已过期",1419970001)</f>
        <v>1419970001</v>
      </c>
      <c r="C9" s="3005">
        <v>43867</v>
      </c>
      <c r="D9" s="2343" t="s">
        <v>1919</v>
      </c>
      <c r="E9" s="2343">
        <f ca="1">IF(F9&lt;B2,"已过期",2002110125)</f>
        <v>2002110125</v>
      </c>
      <c r="F9" s="3006">
        <v>47118</v>
      </c>
    </row>
    <row r="10" spans="1:6" ht="20.25" customHeight="1">
      <c r="A10" s="2343" t="s">
        <v>1920</v>
      </c>
      <c r="B10" s="2343">
        <f ca="1">IF(C10&lt;B2,"已过期",1120060040)</f>
        <v>1120060040</v>
      </c>
      <c r="C10" s="3005">
        <v>43483</v>
      </c>
      <c r="D10" s="2343" t="s">
        <v>1920</v>
      </c>
      <c r="E10" s="2343">
        <f ca="1">IF(F10&lt;B2,"已过期",2004110096)</f>
        <v>2004110096</v>
      </c>
      <c r="F10" s="3006">
        <v>47118</v>
      </c>
    </row>
    <row r="11" spans="1:6" ht="20.25" customHeight="1">
      <c r="A11" s="2343" t="s">
        <v>1921</v>
      </c>
      <c r="B11" s="2343">
        <f ca="1">IF(C11&lt;B2,"已过期",1120100036)</f>
        <v>1120100036</v>
      </c>
      <c r="C11" s="3005">
        <v>43622</v>
      </c>
      <c r="D11" s="2343" t="s">
        <v>1921</v>
      </c>
      <c r="E11" s="2343">
        <f ca="1">IF(F11&lt;B2,"已过期",2010110070)</f>
        <v>2010110070</v>
      </c>
      <c r="F11" s="3006">
        <v>47907</v>
      </c>
    </row>
    <row r="12" spans="1:6" ht="20.25" customHeight="1">
      <c r="A12" s="2343" t="s">
        <v>2983</v>
      </c>
      <c r="B12" s="2343">
        <v>1120110054</v>
      </c>
      <c r="C12" s="3005">
        <v>43937</v>
      </c>
      <c r="D12" s="2343" t="s">
        <v>2983</v>
      </c>
      <c r="E12" s="2343">
        <v>2008110060</v>
      </c>
      <c r="F12" s="3006">
        <v>47177</v>
      </c>
    </row>
    <row r="13" spans="1:6" ht="20.25" customHeight="1">
      <c r="A13" s="2343" t="s">
        <v>1922</v>
      </c>
      <c r="B13" s="2343">
        <f ca="1">IF(C13&lt;B2,"已过期",1120070131)</f>
        <v>1120070131</v>
      </c>
      <c r="C13" s="3005">
        <v>43814</v>
      </c>
      <c r="D13" s="2343" t="s">
        <v>1922</v>
      </c>
      <c r="E13" s="2343">
        <v>2014110011</v>
      </c>
      <c r="F13" s="3006">
        <v>49302</v>
      </c>
    </row>
    <row r="14" spans="1:6" ht="20.25" customHeight="1">
      <c r="A14" s="2343" t="s">
        <v>1923</v>
      </c>
      <c r="B14" s="2343">
        <f ca="1">IF(C14&lt;B2,"已过期",1120130020)</f>
        <v>1120130020</v>
      </c>
      <c r="C14" s="3005">
        <v>43622</v>
      </c>
      <c r="D14" s="2343"/>
      <c r="E14" s="2343"/>
      <c r="F14" s="2343"/>
    </row>
    <row r="15" spans="1:6" ht="20.25" customHeight="1">
      <c r="A15" s="2343" t="s">
        <v>2576</v>
      </c>
      <c r="B15" s="2343">
        <v>1120070085</v>
      </c>
      <c r="C15" s="3005">
        <v>43814</v>
      </c>
      <c r="D15" s="2343" t="s">
        <v>2576</v>
      </c>
      <c r="E15" s="2343">
        <v>2004110128</v>
      </c>
      <c r="F15" s="3006">
        <v>47118</v>
      </c>
    </row>
    <row r="16" spans="1:6" ht="20.25" customHeight="1">
      <c r="A16" s="2343" t="s">
        <v>1924</v>
      </c>
      <c r="B16" s="2343">
        <f ca="1">IF(C16&lt;B2,"已过期",1120140022)</f>
        <v>1120140022</v>
      </c>
      <c r="C16" s="3005">
        <v>44029</v>
      </c>
      <c r="D16" s="2343" t="s">
        <v>1924</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1925</v>
      </c>
      <c r="E21" s="2343">
        <f ca="1">IF(F21&lt;B2,"已过期",2011110090)</f>
        <v>2011110090</v>
      </c>
      <c r="F21" s="3006">
        <v>48302</v>
      </c>
    </row>
    <row r="22" spans="1:7" ht="20.25" customHeight="1">
      <c r="A22" s="2343" t="s">
        <v>1926</v>
      </c>
      <c r="B22" s="2343">
        <f ca="1">IF(C22&lt;B2,"已过期",1120020033)</f>
        <v>1120020033</v>
      </c>
      <c r="C22" s="3005">
        <v>44339</v>
      </c>
      <c r="D22" s="2343" t="s">
        <v>1926</v>
      </c>
      <c r="E22" s="2343">
        <f ca="1">IF(F22&lt;B2,"已过期",2000110137)</f>
        <v>2000110137</v>
      </c>
      <c r="F22" s="3006">
        <v>46387</v>
      </c>
    </row>
    <row r="23" spans="1:7" ht="20.25" customHeight="1">
      <c r="A23" s="2343" t="s">
        <v>1927</v>
      </c>
      <c r="B23" s="2343">
        <f ca="1">IF(C23&lt;B2,"已过期",1120130048)</f>
        <v>1120130048</v>
      </c>
      <c r="C23" s="3005">
        <v>43686</v>
      </c>
      <c r="D23" s="2343"/>
      <c r="E23" s="2343"/>
      <c r="F23" s="2343"/>
    </row>
    <row r="24" spans="1:7" s="2347" customFormat="1" ht="20.25" customHeight="1">
      <c r="A24" s="2345" t="s">
        <v>2055</v>
      </c>
      <c r="B24" s="2345" t="s">
        <v>2055</v>
      </c>
      <c r="C24" s="3005"/>
      <c r="D24" s="3007" t="s">
        <v>2055</v>
      </c>
      <c r="E24" s="2345" t="s">
        <v>2055</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2" t="s">
        <v>2961</v>
      </c>
      <c r="C18" s="1553"/>
    </row>
    <row r="19" spans="1:3">
      <c r="A19" s="8" t="s">
        <v>120</v>
      </c>
      <c r="B19" s="3112"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c r="D53" s="1767"/>
      <c r="E53" s="1767"/>
    </row>
    <row r="54" spans="1:5">
      <c r="A54" s="323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2018-08-24T07:16:17Z</cp:lastPrinted>
  <dcterms:created xsi:type="dcterms:W3CDTF">2015-07-13T07:17:23Z</dcterms:created>
  <dcterms:modified xsi:type="dcterms:W3CDTF">2018-12-18T08:35:41Z</dcterms:modified>
</cp:coreProperties>
</file>