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收益法" sheetId="15" r:id="rId18"/>
    <sheet name="成本法" sheetId="11" r:id="rId19"/>
    <sheet name="假设开发法" sheetId="12" state="hidden" r:id="rId20"/>
    <sheet name="收益法-酒店模型" sheetId="63" state="hidden" r:id="rId21"/>
    <sheet name="典型户型修正" sheetId="31"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7" i="33" l="1"/>
  <c r="G7" i="33"/>
  <c r="E7" i="33"/>
  <c r="C36" i="33"/>
  <c r="C33" i="33"/>
  <c r="E20" i="1"/>
  <c r="C57" i="1"/>
  <c r="C59"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J52" i="15" s="1"/>
  <c r="B26" i="1"/>
  <c r="E19" i="1" s="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s="1"/>
  <c r="F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s="1"/>
  <c r="F115" i="33" s="1"/>
  <c r="G115" i="33" s="1"/>
  <c r="H115" i="33" s="1"/>
  <c r="I115" i="33" s="1"/>
  <c r="J115" i="33" s="1"/>
  <c r="K115" i="33" s="1"/>
  <c r="L115" i="33" s="1"/>
  <c r="M115" i="33" s="1"/>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W38" i="33" s="1"/>
  <c r="H38" i="33"/>
  <c r="AB38" i="33" s="1"/>
  <c r="F38" i="33"/>
  <c r="AA38" i="33" s="1"/>
  <c r="Q37" i="33"/>
  <c r="Z37" i="33"/>
  <c r="Q36" i="33"/>
  <c r="Z36" i="33"/>
  <c r="Q35" i="33"/>
  <c r="Z35" i="33"/>
  <c r="H35" i="33"/>
  <c r="AB35" i="33"/>
  <c r="F35" i="33"/>
  <c r="S35" i="33"/>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AC34"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S25" i="33"/>
  <c r="F17" i="33"/>
  <c r="AA17" i="33"/>
  <c r="H15" i="33"/>
  <c r="AB15" i="33"/>
  <c r="AB11" i="33"/>
  <c r="AC42" i="34"/>
  <c r="W42" i="34"/>
  <c r="AA42" i="34"/>
  <c r="S42" i="34"/>
  <c r="W38" i="34"/>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s="1"/>
  <c r="G117" i="33" s="1"/>
  <c r="J39" i="33"/>
  <c r="AC39" i="33" s="1"/>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8" i="33"/>
  <c r="AC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13" i="33"/>
  <c r="AC46" i="33"/>
  <c r="AC19" i="33"/>
  <c r="W21" i="33"/>
  <c r="AC21" i="33"/>
  <c r="AB41" i="33"/>
  <c r="AB42" i="33"/>
  <c r="U13"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AB26" i="33"/>
  <c r="W35" i="33"/>
  <c r="W40" i="33"/>
  <c r="W26" i="33"/>
  <c r="S33" i="33"/>
  <c r="U35" i="33"/>
  <c r="U32"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D20" i="1"/>
  <c r="F50" i="11"/>
  <c r="F18" i="1"/>
  <c r="C11" i="12" s="1"/>
  <c r="C15" i="12" s="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C19" i="57"/>
  <c r="D3" i="61"/>
  <c r="E2" i="21"/>
  <c r="E2" i="33"/>
  <c r="F6" i="61"/>
  <c r="D7" i="61"/>
  <c r="E2" i="37"/>
  <c r="H23" i="31"/>
  <c r="D19" i="57"/>
  <c r="E2" i="34"/>
  <c r="E2" i="36"/>
  <c r="C20" i="57"/>
  <c r="F5" i="61"/>
  <c r="F4" i="61"/>
  <c r="D20" i="57"/>
  <c r="F3" i="61"/>
  <c r="E2" i="35"/>
  <c r="D5" i="61"/>
  <c r="F7" i="61"/>
  <c r="E2" i="11"/>
  <c r="D6" i="61"/>
  <c r="D4" i="61"/>
  <c r="S39" i="33" l="1"/>
  <c r="U39" i="33"/>
  <c r="W39" i="33"/>
  <c r="F36" i="33"/>
  <c r="G111" i="33"/>
  <c r="H111" i="33" s="1"/>
  <c r="I111" i="33" s="1"/>
  <c r="J111" i="33" s="1"/>
  <c r="K111" i="33" s="1"/>
  <c r="L111" i="33" s="1"/>
  <c r="M111" i="33" s="1"/>
  <c r="H36" i="33"/>
  <c r="J36" i="33"/>
  <c r="S34" i="33"/>
  <c r="AA28" i="33"/>
  <c r="AB28" i="33"/>
  <c r="W9" i="33"/>
  <c r="S9" i="33"/>
  <c r="D42" i="50"/>
  <c r="D43" i="50" s="1"/>
  <c r="M60" i="15"/>
  <c r="D19" i="1"/>
  <c r="F19" i="1"/>
  <c r="D18" i="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AC36" i="33" l="1"/>
  <c r="W36" i="33"/>
  <c r="U36" i="33"/>
  <c r="AB36" i="33"/>
  <c r="S36" i="33"/>
  <c r="AA36" i="33"/>
  <c r="C105" i="57"/>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22" i="9" l="1"/>
  <c r="G19" i="9"/>
  <c r="C32" i="9" s="1"/>
  <c r="C35" i="9" s="1"/>
  <c r="C34" i="9" s="1"/>
  <c r="D101" i="9"/>
  <c r="G20" i="9"/>
  <c r="D10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F121" i="9" l="1"/>
  <c r="G121" i="9" s="1"/>
  <c r="D121" i="9"/>
  <c r="D122" i="9" s="1"/>
  <c r="H121" i="9"/>
  <c r="I121" i="9" s="1"/>
  <c r="I102" i="9" l="1"/>
  <c r="N48" i="9" s="1"/>
  <c r="C103" i="9"/>
  <c r="D14" i="62"/>
  <c r="H122" i="9"/>
  <c r="C104" i="9"/>
  <c r="I103" i="9"/>
  <c r="D107" i="9"/>
  <c r="D106" i="9"/>
  <c r="D112" i="9" s="1"/>
  <c r="F122" i="9"/>
  <c r="E121" i="9"/>
  <c r="D45" i="9" l="1"/>
  <c r="C85" i="9" s="1"/>
  <c r="I110" i="9"/>
  <c r="D125" i="9" s="1"/>
  <c r="G14" i="62" s="1"/>
  <c r="B6" i="62" s="1"/>
  <c r="D6" i="62" s="1"/>
  <c r="D113" i="9"/>
  <c r="I111" i="9" s="1"/>
  <c r="D126" i="9" s="1"/>
  <c r="D117" i="9"/>
  <c r="I115" i="9" s="1"/>
  <c r="E14" i="62"/>
  <c r="F14" i="62"/>
  <c r="B5" i="62"/>
  <c r="C78" i="9" l="1"/>
  <c r="C73" i="9" s="1"/>
  <c r="C6" i="62"/>
  <c r="C72" i="9"/>
  <c r="C79" i="9" s="1"/>
  <c r="C93" i="9"/>
  <c r="C86" i="9" s="1"/>
  <c r="C95" i="9" s="1"/>
  <c r="D53" i="9"/>
  <c r="D48" i="9" s="1"/>
  <c r="N52" i="9" s="1"/>
  <c r="O57" i="9" s="1"/>
  <c r="O58" i="9" s="1"/>
  <c r="D52" i="9"/>
  <c r="C64" i="9"/>
  <c r="C63" i="9" s="1"/>
  <c r="C67" i="9" s="1"/>
  <c r="C68" i="9" s="1"/>
  <c r="D54" i="9" s="1"/>
  <c r="D5" i="62"/>
  <c r="C5" i="62"/>
  <c r="Q57" i="9" l="1"/>
  <c r="O59" i="9"/>
  <c r="O60" i="9" s="1"/>
  <c r="C80" i="9"/>
  <c r="E80" i="9" s="1"/>
  <c r="E81" i="9" s="1"/>
  <c r="C96" i="9"/>
  <c r="E96" i="9" s="1"/>
  <c r="E97" i="9" s="1"/>
  <c r="C97" i="9" l="1"/>
  <c r="D58" i="9" s="1"/>
  <c r="C81"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<sst xmlns="http://schemas.openxmlformats.org/spreadsheetml/2006/main" count="6933" uniqueCount="3063">
  <si>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</si>
  <si>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</si>
  <si>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</si>
  <si>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</si>
  <si>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</si>
  <si>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</si>
  <si>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</si>
  <si>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</si>
  <si>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</si>
  <si>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</si>
  <si>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</si>
  <si>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</si>
  <si>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</si>
  <si>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</si>
  <si>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</si>
  <si>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</si>
  <si>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</si>
  <si>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</si>
  <si>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</si>
  <si>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</si>
  <si>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</si>
  <si>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</si>
  <si>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</si>
  <si>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</si>
  <si>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</si>
  <si>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</si>
  <si>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</si>
  <si>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</si>
  <si>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</si>
  <si>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</si>
  <si>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</si>
  <si>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</si>
  <si>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</si>
  <si>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</si>
  <si>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</si>
  <si>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</si>
  <si>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</si>
  <si>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</si>
  <si>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</si>
  <si>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</si>
  <si>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</si>
  <si>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</si>
  <si>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</si>
  <si>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</si>
  <si>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</si>
  <si>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</si>
  <si>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</si>
  <si>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</si>
  <si>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</si>
  <si>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</si>
  <si>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</si>
  <si>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</si>
  <si>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</si>
  <si>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</si>
  <si>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</si>
  <si>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</si>
  <si>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</si>
  <si>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</si>
  <si>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</si>
  <si>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</si>
  <si>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</si>
  <si>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</si>
  <si>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</si>
  <si>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</si>
  <si>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</si>
  <si>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</si>
  <si>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</si>
  <si>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</si>
  <si>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</si>
  <si>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</si>
  <si>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</si>
  <si>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</si>
  <si>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</si>
  <si>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</si>
  <si>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</si>
  <si>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</si>
  <si>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</si>
  <si>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</si>
  <si>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</si>
  <si>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</si>
  <si>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</si>
  <si>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</si>
  <si>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</si>
  <si>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</si>
  <si>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</si>
  <si>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</si>
  <si>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</si>
  <si>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</si>
  <si>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</si>
  <si>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</si>
  <si>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</si>
  <si>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</si>
  <si>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</si>
  <si>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</si>
  <si>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</si>
  <si>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</si>
  <si>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</si>
  <si>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</si>
  <si>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</si>
  <si>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</si>
  <si>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</si>
  <si>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</si>
  <si>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</si>
  <si>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</si>
  <si>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</si>
  <si>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</si>
  <si>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</si>
  <si>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</si>
  <si>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</si>
  <si>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</si>
  <si>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</si>
  <si>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</si>
  <si>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</si>
  <si>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</si>
  <si>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</si>
  <si>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</si>
  <si>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</si>
  <si>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</si>
  <si>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</si>
  <si>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</si>
  <si>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</si>
  <si>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</si>
  <si>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</si>
  <si>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</si>
  <si>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</si>
  <si>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</si>
  <si>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</si>
  <si>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</si>
  <si>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</si>
  <si>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</si>
  <si>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</si>
  <si>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</si>
  <si>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</si>
  <si>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</si>
  <si>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</si>
  <si>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</si>
  <si>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</si>
  <si>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</si>
  <si>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</si>
  <si>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</si>
  <si>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</si>
  <si>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</si>
  <si>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</si>
  <si>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</si>
  <si>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</si>
  <si>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</si>
  <si>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</si>
  <si>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</si>
  <si>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</si>
  <si>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</si>
  <si>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</si>
  <si>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</si>
  <si>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</si>
  <si>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</si>
  <si>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</si>
  <si>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</si>
  <si>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</si>
  <si>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</si>
  <si>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</si>
  <si>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</si>
  <si>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</si>
  <si>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</si>
  <si>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</si>
  <si>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</si>
  <si>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</si>
  <si>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</si>
  <si>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</si>
  <si>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</si>
  <si>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</si>
  <si>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</si>
  <si>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</si>
  <si>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</si>
  <si>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</si>
  <si>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</si>
  <si>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</si>
  <si>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</si>
  <si>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</si>
  <si>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</si>
  <si>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</si>
  <si>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</si>
  <si>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</si>
  <si>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</si>
  <si>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</si>
  <si>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</si>
  <si>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</si>
  <si>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</si>
  <si>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</si>
  <si>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</si>
  <si>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</si>
  <si>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</si>
  <si>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</si>
  <si>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</si>
  <si>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</si>
  <si>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</si>
  <si>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</si>
  <si>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</si>
  <si>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</si>
  <si>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</si>
  <si>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</si>
  <si>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</si>
  <si>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</si>
  <si>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</si>
  <si>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</si>
  <si>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</si>
  <si>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</si>
  <si>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</si>
  <si>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</si>
  <si>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</si>
  <si>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</si>
  <si>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</si>
  <si>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</si>
  <si>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</si>
  <si>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</si>
  <si>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</si>
  <si>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</si>
  <si>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</si>
  <si>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</si>
  <si>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</si>
  <si>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</si>
  <si>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</si>
  <si>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</si>
  <si>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</si>
  <si>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</si>
  <si>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</si>
  <si>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</si>
  <si>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</si>
  <si>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</si>
  <si>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</si>
  <si>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</si>
  <si>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</si>
  <si>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</si>
  <si>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</si>
  <si>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</si>
  <si>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</si>
  <si>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</si>
  <si>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</si>
  <si>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</si>
  <si>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</si>
  <si>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</si>
  <si>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</si>
  <si>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</si>
  <si>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</si>
  <si>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</si>
  <si>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</si>
  <si>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</si>
  <si>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</si>
  <si>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</si>
  <si>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</si>
  <si>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</si>
  <si>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</si>
  <si>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</si>
  <si>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</si>
  <si>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</si>
  <si>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</si>
  <si>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</si>
  <si>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</si>
  <si>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</si>
  <si>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</si>
  <si>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</si>
  <si>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</si>
  <si>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</si>
  <si>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</si>
  <si>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</si>
  <si>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</si>
  <si>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</si>
  <si>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</si>
  <si>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</si>
  <si>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</si>
  <si>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</si>
  <si>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</si>
  <si>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</si>
  <si>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</si>
  <si>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</si>
  <si>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</si>
  <si>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</si>
  <si>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</si>
  <si>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</si>
  <si>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</si>
  <si>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</si>
  <si>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</si>
  <si>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</si>
  <si>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</si>
  <si>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</si>
  <si>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</si>
  <si>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</si>
  <si>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</si>
  <si>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</si>
  <si>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</si>
  <si>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</si>
  <si>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</si>
  <si>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</si>
  <si>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</si>
  <si>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</si>
  <si>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</si>
  <si>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</si>
  <si>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</si>
  <si>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</si>
  <si>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</si>
  <si>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</si>
  <si>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</si>
  <si>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</si>
  <si>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</si>
  <si>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</si>
  <si>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</si>
  <si>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</si>
  <si>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</si>
  <si>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</si>
  <si>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</si>
  <si>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</si>
  <si>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</si>
  <si>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</si>
  <si>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</si>
  <si>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</si>
  <si>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</si>
  <si>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</si>
  <si>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</si>
  <si>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</si>
  <si>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</si>
  <si>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</si>
  <si>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</si>
  <si>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</si>
  <si>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</si>
  <si>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</si>
  <si>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</si>
  <si>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</si>
  <si>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</si>
  <si>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</si>
  <si>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</si>
  <si>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</si>
  <si>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</si>
  <si>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</si>
  <si>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</si>
  <si>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</si>
  <si>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</si>
  <si>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</si>
  <si>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</si>
  <si>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</si>
  <si>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</si>
  <si>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</si>
  <si>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</si>
  <si>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</si>
  <si>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</si>
  <si>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</si>
  <si>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</si>
  <si>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</si>
  <si>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</si>
  <si>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</si>
  <si>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</si>
  <si>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</si>
  <si>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</si>
  <si>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</si>
  <si>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</si>
  <si>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</si>
  <si>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</si>
  <si>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</si>
  <si>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</si>
  <si>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</si>
  <si>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</si>
  <si>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</si>
  <si>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</si>
  <si>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</si>
  <si>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</si>
  <si>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</si>
  <si>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</si>
  <si>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</si>
  <si>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</si>
  <si>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</si>
  <si>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</si>
  <si>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</si>
  <si>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</si>
  <si>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</si>
  <si>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</si>
  <si>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</si>
  <si>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</si>
  <si>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</si>
  <si>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</si>
  <si>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</si>
  <si>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</si>
  <si>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</si>
  <si>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</si>
  <si>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</si>
  <si>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</si>
  <si>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</si>
  <si>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</si>
  <si>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</si>
  <si>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</si>
  <si>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</si>
  <si>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</si>
  <si>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</si>
  <si>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</si>
  <si>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</si>
  <si>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</si>
  <si>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</si>
  <si>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</si>
  <si>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</si>
  <si>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</si>
  <si>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</si>
  <si>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</si>
  <si>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</si>
  <si>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</si>
  <si>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</si>
  <si>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</si>
  <si>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</si>
  <si>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</si>
  <si>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</si>
  <si>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</si>
  <si>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</si>
  <si>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</si>
  <si>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</si>
  <si>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</si>
  <si>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</si>
  <si>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</si>
  <si>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</si>
  <si>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</si>
  <si>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</si>
  <si>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</si>
  <si>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</si>
  <si>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</si>
  <si>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</si>
  <si>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</si>
  <si>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</si>
  <si>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</si>
  <si>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</si>
  <si>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</si>
  <si>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</si>
  <si>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</si>
  <si>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</si>
  <si>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</si>
  <si>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</si>
  <si>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</si>
  <si>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</si>
  <si>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</si>
  <si>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</si>
  <si>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</si>
  <si>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</si>
  <si>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</si>
  <si>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</si>
  <si>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</si>
  <si>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</si>
  <si>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</si>
  <si>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</si>
  <si>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</si>
  <si>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</si>
  <si>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</si>
  <si>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</si>
  <si>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</si>
  <si>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</si>
  <si>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</si>
  <si>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</si>
  <si>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</si>
  <si>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</si>
  <si>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</si>
  <si>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</si>
  <si>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</si>
  <si>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</si>
  <si>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</si>
  <si>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</si>
  <si>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</si>
  <si>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</si>
  <si>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</si>
  <si>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</si>
  <si>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</si>
  <si>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</si>
  <si>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</si>
  <si>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</si>
  <si>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</si>
  <si>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</si>
  <si>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</si>
  <si>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</si>
  <si>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</si>
  <si>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</si>
  <si>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</si>
  <si>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</si>
  <si>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</si>
  <si>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</si>
  <si>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</si>
  <si>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</si>
  <si>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</si>
  <si>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</si>
  <si>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</si>
  <si>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</si>
  <si>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</si>
  <si>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</si>
  <si>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</si>
  <si>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</si>
  <si>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</si>
  <si>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</si>
  <si>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</si>
  <si>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</si>
  <si>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</si>
  <si>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</si>
  <si>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</si>
  <si>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</si>
  <si>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</si>
  <si>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</si>
  <si>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</si>
  <si>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</si>
  <si>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</si>
  <si>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</si>
  <si>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</si>
  <si>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</si>
  <si>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</si>
  <si>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</si>
  <si>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</si>
  <si>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</si>
  <si>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</si>
  <si>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</si>
  <si>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</si>
  <si>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</si>
  <si>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</si>
  <si>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</si>
  <si>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</si>
  <si>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</si>
  <si>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</si>
  <si>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</si>
  <si>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</si>
  <si>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</si>
  <si>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</si>
  <si>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</si>
  <si>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</si>
  <si>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</si>
  <si>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</si>
  <si>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</si>
  <si>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</si>
  <si>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</si>
  <si>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</si>
  <si>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</si>
  <si>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</si>
  <si>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</si>
  <si>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</si>
  <si>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</si>
  <si>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</si>
  <si>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</si>
  <si>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</si>
  <si>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</si>
  <si>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</si>
  <si>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</si>
  <si>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</si>
  <si>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</si>
  <si>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</si>
  <si>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</si>
  <si>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</si>
  <si>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</si>
  <si>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</si>
  <si>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</si>
  <si>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</si>
  <si>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</si>
  <si>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</si>
  <si>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</si>
  <si>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</si>
  <si>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</si>
  <si>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</si>
  <si>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</si>
  <si>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</si>
  <si>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</si>
  <si>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</si>
  <si>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</si>
  <si>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</si>
  <si>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</si>
  <si>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</si>
  <si>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</si>
  <si>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</si>
  <si>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</si>
  <si>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</si>
  <si>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</si>
  <si>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</si>
  <si>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</si>
  <si>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</si>
  <si>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</si>
  <si>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</si>
  <si>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</si>
  <si>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</si>
  <si>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</si>
  <si>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</si>
  <si>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</si>
  <si>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</si>
  <si>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</si>
  <si>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</si>
  <si>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</si>
  <si>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</si>
  <si>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</si>
  <si>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</si>
  <si>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</si>
  <si>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</si>
  <si>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</si>
  <si>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</si>
  <si>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</si>
  <si>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</si>
  <si>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</si>
  <si>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</si>
  <si>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</si>
  <si>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</si>
  <si>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</si>
  <si>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</si>
  <si>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</si>
  <si>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</si>
  <si>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</si>
  <si>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</si>
  <si>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</si>
  <si>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</si>
  <si>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</si>
  <si>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</si>
  <si>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</si>
  <si>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</si>
  <si>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</si>
  <si>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</si>
  <si>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</si>
  <si>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</si>
  <si>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</si>
  <si>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</si>
  <si>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</si>
  <si>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</si>
  <si>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</si>
  <si>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</si>
  <si>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</si>
  <si>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</si>
  <si>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</si>
  <si>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</si>
  <si>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</si>
  <si>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</si>
  <si>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</si>
  <si>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</si>
  <si>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</si>
  <si>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</si>
  <si>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</si>
  <si>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</si>
  <si>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</si>
  <si>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</si>
  <si>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</si>
  <si>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</si>
  <si>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</si>
  <si>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</si>
  <si>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</si>
  <si>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</si>
  <si>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</si>
  <si>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</si>
  <si>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</si>
  <si>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</si>
  <si>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</si>
  <si>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</si>
  <si>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</si>
  <si>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</si>
  <si>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</si>
  <si>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</si>
  <si>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</si>
  <si>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</si>
  <si>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</si>
  <si>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</si>
  <si>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</si>
  <si>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</si>
  <si>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</si>
  <si>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</si>
  <si>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</si>
  <si>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</si>
  <si>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</si>
  <si>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</si>
  <si>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</si>
  <si>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</si>
  <si>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</si>
  <si>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</si>
  <si>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</si>
  <si>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</si>
  <si>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</si>
  <si>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</si>
  <si>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</si>
  <si>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</si>
  <si>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</si>
  <si>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</si>
  <si>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</si>
  <si>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</si>
  <si>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</si>
  <si>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</si>
  <si>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</si>
  <si>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</si>
  <si>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</si>
  <si>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</si>
  <si>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</si>
  <si>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</si>
  <si>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</si>
  <si>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</si>
  <si>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</si>
  <si>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</si>
  <si>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</si>
  <si>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</si>
  <si>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</si>
  <si>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</si>
  <si>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</si>
  <si>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</si>
  <si>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</si>
  <si>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</si>
  <si>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</si>
  <si>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</si>
  <si>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</si>
  <si>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</si>
  <si>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</si>
  <si>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</si>
  <si>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</si>
  <si>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</si>
  <si>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</si>
  <si>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</si>
  <si>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</si>
  <si>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</si>
  <si>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</si>
  <si>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</si>
  <si>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</si>
  <si>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</si>
  <si>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</si>
  <si>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</si>
  <si>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</si>
  <si>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</si>
  <si>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</si>
  <si>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</si>
  <si>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</si>
  <si>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</si>
  <si>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</si>
  <si>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</si>
  <si>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</si>
  <si>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</si>
  <si>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</si>
  <si>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</si>
  <si>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</si>
  <si>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</si>
  <si>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</si>
  <si>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</si>
  <si>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</si>
  <si>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</si>
  <si>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</si>
  <si>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</si>
  <si>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</si>
  <si>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</si>
  <si>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</si>
  <si>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</si>
  <si>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</si>
  <si>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</si>
  <si>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</si>
  <si>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</si>
  <si>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</si>
  <si>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</si>
  <si>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</si>
  <si>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</si>
  <si>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</si>
  <si>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</si>
  <si>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</si>
  <si>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</si>
  <si>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</si>
  <si>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</si>
  <si>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</si>
  <si>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</si>
  <si>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</si>
  <si>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</si>
  <si>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</si>
  <si>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</si>
  <si>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</si>
  <si>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</si>
  <si>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</si>
  <si>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</si>
  <si>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</si>
  <si>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</si>
  <si>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</si>
  <si>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</si>
  <si>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</si>
  <si>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</si>
  <si>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</si>
  <si>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</si>
  <si>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</si>
  <si>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</si>
  <si>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</si>
  <si>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</si>
  <si>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</si>
  <si>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</si>
  <si>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</si>
  <si>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</si>
  <si>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</si>
  <si>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</si>
  <si>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</si>
  <si>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</si>
  <si>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</si>
  <si>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</si>
  <si>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</si>
  <si>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</si>
  <si>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</si>
  <si>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</si>
  <si>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</si>
  <si>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</si>
  <si>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</si>
  <si>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</si>
  <si>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</si>
  <si>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</si>
  <si>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</si>
  <si>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</si>
  <si>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</si>
  <si>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</si>
  <si>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</si>
  <si>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</si>
  <si>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</si>
  <si>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</si>
  <si>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</si>
  <si>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</si>
  <si>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</si>
  <si>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</si>
  <si>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</si>
  <si>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</si>
  <si>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</si>
  <si>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</si>
  <si>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</si>
  <si>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</si>
  <si>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</si>
  <si>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</si>
  <si>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</si>
  <si>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</si>
  <si>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</si>
  <si>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</si>
  <si>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</si>
  <si>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</si>
  <si>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</si>
  <si>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</si>
  <si>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</si>
  <si>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</si>
  <si>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</si>
  <si>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</si>
  <si>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</si>
  <si>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</si>
  <si>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</si>
  <si>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</si>
  <si>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</si>
  <si>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</si>
  <si>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</si>
  <si>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</si>
  <si>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</si>
  <si>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</si>
  <si>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</si>
  <si>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</si>
  <si>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</si>
  <si>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</si>
  <si>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</si>
  <si>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</si>
  <si>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</si>
  <si>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</si>
  <si>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</si>
  <si>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</si>
  <si>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</si>
  <si>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</si>
  <si>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</si>
  <si>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</si>
  <si>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</si>
  <si>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</si>
  <si>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</si>
  <si>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</si>
  <si>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</si>
  <si>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</si>
  <si>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</si>
  <si>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</si>
  <si>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</si>
  <si>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</si>
  <si>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</si>
  <si>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</si>
  <si>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</si>
  <si>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</si>
  <si>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</si>
  <si>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</si>
  <si>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</si>
  <si>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</si>
  <si>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</si>
  <si>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</si>
  <si>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</si>
  <si>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</si>
  <si>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</si>
  <si>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</si>
  <si>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</si>
  <si>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</si>
  <si>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</si>
  <si>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</si>
  <si>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</si>
  <si>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</si>
  <si>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</si>
  <si>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</si>
  <si>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</si>
  <si>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</si>
  <si>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</si>
  <si>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</si>
  <si>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</si>
  <si>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</si>
  <si>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</si>
  <si>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</si>
  <si>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</si>
  <si>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</si>
  <si>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</si>
  <si>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</si>
  <si>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</si>
  <si>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</si>
  <si>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</si>
  <si>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</si>
  <si>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</si>
  <si>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</si>
  <si>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</si>
  <si>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</si>
  <si>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</si>
  <si>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</si>
  <si>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</si>
  <si>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</si>
  <si>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</si>
  <si>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</si>
  <si>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</si>
  <si>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</si>
  <si>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</si>
  <si>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</si>
  <si>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</si>
  <si>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</si>
  <si>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</si>
  <si>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</si>
  <si>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</si>
  <si>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</si>
  <si>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</si>
  <si>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</si>
  <si>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</si>
  <si>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</si>
  <si>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</si>
  <si>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</si>
  <si>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</si>
  <si>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</si>
  <si>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</si>
  <si>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</si>
  <si>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</si>
  <si>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</si>
  <si>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</si>
  <si>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</si>
  <si>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</si>
  <si>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</si>
  <si>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</si>
  <si>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</si>
  <si>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</si>
  <si>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</si>
  <si>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</si>
  <si>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</si>
  <si>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</si>
  <si>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</si>
  <si>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</si>
  <si>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</si>
  <si>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</si>
  <si>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</si>
  <si>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</si>
  <si>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</si>
  <si>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</si>
  <si>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</si>
  <si>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</si>
  <si>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</si>
  <si>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</si>
  <si>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</si>
  <si>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</si>
  <si>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</si>
  <si>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</si>
  <si>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</si>
  <si>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</si>
  <si>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</si>
  <si>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</si>
  <si>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</si>
  <si>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</si>
  <si>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</si>
  <si>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</si>
  <si>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</si>
  <si>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</si>
  <si>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</si>
  <si>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</si>
  <si>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</si>
  <si>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</si>
  <si>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</si>
  <si>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</si>
  <si>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</si>
  <si>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</si>
  <si>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</si>
  <si>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</si>
  <si>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</si>
  <si>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</si>
  <si>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</si>
  <si>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</si>
  <si>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</si>
  <si>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</si>
  <si>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</si>
  <si>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</si>
  <si>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</si>
  <si>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</si>
  <si>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</si>
  <si>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</si>
  <si>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</si>
  <si>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</si>
  <si>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</si>
  <si>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</si>
  <si>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</si>
  <si>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</si>
  <si>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</si>
  <si>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</si>
  <si>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</si>
  <si>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</si>
  <si>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</si>
  <si>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</si>
  <si>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</si>
  <si>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</si>
  <si>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</si>
  <si>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</si>
  <si>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</si>
  <si>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</si>
  <si>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</si>
  <si>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</si>
  <si>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</si>
  <si>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</si>
  <si>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</si>
  <si>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</si>
  <si>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</si>
  <si>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</si>
  <si>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</si>
  <si>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</si>
  <si>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</si>
  <si>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</si>
  <si>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</si>
  <si>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</si>
  <si>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</si>
  <si>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</si>
  <si>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</si>
  <si>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</si>
  <si>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</si>
  <si>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</si>
  <si>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</si>
  <si>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</si>
  <si>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</si>
  <si>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</si>
  <si>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</si>
  <si>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</si>
  <si>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</si>
  <si>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</si>
  <si>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</si>
  <si>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</si>
  <si>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</si>
  <si>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</si>
  <si>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</si>
  <si>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</si>
  <si>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</si>
  <si>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</si>
  <si>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</si>
  <si>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</si>
  <si>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</si>
  <si>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</si>
  <si>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</si>
  <si>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</si>
  <si>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</si>
  <si>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</si>
  <si>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</si>
  <si>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</si>
  <si>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</si>
  <si>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</si>
  <si>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</si>
  <si>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</si>
  <si>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</si>
  <si>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</si>
  <si>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</si>
  <si>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</si>
  <si>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</si>
  <si>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</si>
  <si>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</si>
  <si>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</si>
  <si>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</si>
  <si>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</si>
  <si>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</si>
  <si>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</si>
  <si>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</si>
  <si>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</si>
  <si>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</si>
  <si>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</si>
  <si>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</si>
  <si>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</si>
  <si>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</si>
  <si>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</si>
  <si>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</si>
  <si>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</si>
  <si>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</si>
  <si>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</si>
  <si>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</si>
  <si>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</si>
  <si>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</si>
  <si>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</si>
  <si>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</si>
  <si>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</si>
  <si>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</si>
  <si>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</si>
  <si>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</si>
  <si>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</si>
  <si>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</si>
  <si>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</si>
  <si>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</si>
  <si>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</si>
  <si>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</si>
  <si>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</si>
  <si>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</si>
  <si>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</si>
  <si>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</si>
  <si>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</si>
  <si>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</si>
  <si>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</si>
  <si>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</si>
  <si>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</si>
  <si>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</si>
  <si>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</si>
  <si>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</si>
  <si>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</si>
  <si>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</si>
  <si>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</si>
  <si>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</si>
  <si>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</si>
  <si>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</si>
  <si>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</si>
  <si>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</si>
  <si>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</si>
  <si>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</si>
  <si>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</si>
  <si>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</si>
  <si>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</si>
  <si>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</si>
  <si>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</si>
  <si>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</si>
  <si>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</si>
  <si>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</si>
  <si>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</si>
  <si>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</si>
  <si>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</si>
  <si>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</si>
  <si>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</si>
  <si>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</si>
  <si>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</si>
  <si>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</si>
  <si>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</si>
  <si>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</si>
  <si>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</si>
  <si>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</si>
  <si>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</si>
  <si>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</si>
  <si>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</si>
  <si>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</si>
  <si>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</si>
  <si>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</si>
  <si>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</si>
  <si>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</si>
  <si>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</si>
  <si>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</si>
  <si>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</si>
  <si>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</si>
  <si>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</si>
  <si>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</si>
  <si>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</si>
  <si>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</si>
  <si>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</si>
  <si>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</si>
  <si>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</si>
  <si>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</si>
  <si>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</si>
  <si>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</si>
  <si>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</si>
  <si>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</si>
  <si>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</si>
  <si>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</si>
  <si>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</si>
  <si>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</si>
  <si>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</si>
  <si>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</si>
  <si>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</si>
  <si>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</si>
  <si>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</si>
  <si>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</si>
  <si>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</si>
  <si>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</si>
  <si>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</si>
  <si>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</si>
  <si>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</si>
  <si>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</si>
  <si>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</si>
  <si>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</si>
  <si>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</si>
  <si>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</si>
  <si>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</si>
  <si>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</si>
  <si>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</si>
  <si>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</si>
  <si>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</si>
  <si>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</si>
  <si>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</si>
  <si>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</si>
  <si>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</si>
  <si>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</si>
  <si>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</si>
  <si>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</si>
  <si>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</si>
  <si>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</si>
  <si>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</si>
  <si>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</si>
  <si>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</si>
  <si>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</si>
  <si>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</si>
  <si>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</si>
  <si>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</si>
  <si>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</si>
  <si>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</si>
  <si>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</si>
  <si>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</si>
  <si>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</si>
  <si>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</si>
  <si>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</si>
  <si>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</si>
  <si>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</si>
  <si>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</si>
  <si>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</si>
  <si>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</si>
  <si>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</si>
  <si>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</si>
  <si>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</si>
  <si>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</si>
  <si>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</si>
  <si>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</si>
  <si>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</si>
  <si>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</si>
  <si>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</si>
  <si>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</si>
  <si>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</si>
  <si>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</si>
  <si>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</si>
  <si>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</si>
  <si>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</si>
  <si>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</si>
  <si>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</si>
  <si>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</si>
  <si>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</si>
  <si>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</si>
  <si>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</si>
  <si>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</si>
  <si>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</si>
  <si>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</si>
  <si>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</si>
  <si>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</si>
  <si>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</si>
  <si>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</si>
  <si>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</si>
  <si>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</si>
  <si>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</si>
  <si>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</si>
  <si>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</si>
  <si>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</si>
  <si>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</si>
  <si>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</si>
  <si>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</si>
  <si>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</si>
  <si>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</si>
  <si>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</si>
  <si>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</si>
  <si>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</si>
  <si>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</si>
  <si>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</si>
  <si>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</si>
  <si>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</si>
  <si>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</si>
  <si>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</si>
  <si>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</si>
  <si>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</si>
  <si>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</si>
  <si>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</si>
  <si>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</si>
  <si>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</si>
  <si>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</si>
  <si>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</si>
  <si>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</si>
  <si>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</si>
  <si>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</si>
  <si>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</si>
  <si>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</si>
  <si>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</si>
  <si>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</si>
  <si>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</si>
  <si>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</si>
  <si>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</si>
  <si>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</si>
  <si>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</si>
  <si>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</si>
  <si>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</si>
  <si>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</si>
  <si>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</si>
  <si>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</si>
  <si>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</si>
  <si>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</si>
  <si>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</si>
  <si>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</si>
  <si>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</si>
  <si>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</si>
  <si>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</si>
  <si>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</si>
  <si>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</si>
  <si>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</si>
  <si>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</si>
  <si>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</si>
  <si>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</si>
  <si>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</si>
  <si>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</si>
  <si>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</si>
  <si>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</si>
  <si>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</si>
  <si>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</si>
  <si>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</si>
  <si>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</si>
  <si>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</si>
  <si>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</si>
  <si>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</si>
  <si>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</si>
  <si>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</si>
  <si>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</si>
  <si>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</si>
  <si>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</si>
  <si>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</si>
  <si>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</si>
  <si>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</si>
  <si>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</si>
  <si>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</si>
  <si>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</si>
  <si>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</si>
  <si>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</si>
  <si>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</si>
  <si>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</si>
  <si>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</si>
  <si>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</si>
  <si>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</si>
  <si>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</si>
  <si>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</si>
  <si>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</si>
  <si>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</si>
  <si>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</si>
  <si>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</si>
  <si>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</si>
  <si>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</si>
  <si>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</si>
  <si>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</si>
  <si>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</si>
  <si>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</si>
  <si>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</si>
  <si>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</si>
  <si>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</si>
  <si>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</si>
  <si>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</si>
  <si>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</si>
  <si>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</si>
  <si>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</si>
  <si>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</si>
  <si>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</si>
  <si>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</si>
  <si>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</si>
  <si>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</si>
  <si>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</si>
  <si>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</si>
  <si>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</si>
  <si>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</si>
  <si>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</si>
  <si>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</si>
  <si>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</si>
  <si>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</si>
  <si>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</si>
  <si>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</si>
  <si>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</si>
  <si>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</si>
  <si>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</si>
  <si>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</si>
  <si>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</si>
  <si>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</si>
  <si>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</si>
  <si>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</si>
  <si>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</si>
  <si>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</si>
  <si>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</si>
  <si>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</si>
  <si>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</si>
  <si>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</si>
  <si>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</si>
  <si>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</si>
  <si>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</si>
  <si>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</si>
  <si>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</si>
  <si>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</si>
  <si>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</si>
  <si>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</si>
  <si>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</si>
  <si>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</si>
  <si>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</si>
  <si>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</si>
  <si>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</si>
  <si>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</si>
  <si>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</si>
  <si>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</si>
  <si>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</si>
  <si>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</si>
  <si>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</si>
  <si>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</si>
  <si>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</si>
  <si>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</si>
  <si>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</si>
  <si>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</si>
  <si>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</si>
  <si>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</si>
  <si>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</si>
  <si>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</si>
  <si>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</si>
  <si>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</si>
  <si>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</si>
  <si>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</si>
  <si>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</si>
  <si>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</si>
  <si>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</si>
  <si>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</si>
  <si>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</si>
  <si>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</si>
  <si>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</si>
  <si>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</si>
  <si>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</si>
  <si>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</si>
  <si>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</si>
  <si>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</si>
  <si>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</si>
  <si>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</si>
  <si>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</si>
  <si>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</si>
  <si>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</si>
  <si>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</si>
  <si>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</si>
  <si>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</si>
  <si>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</si>
  <si>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</si>
  <si>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</si>
  <si>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</si>
  <si>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</si>
  <si>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</si>
  <si>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</si>
  <si>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</si>
  <si>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</si>
  <si>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</si>
  <si>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</si>
  <si>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</si>
  <si>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</si>
  <si>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</si>
  <si>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</si>
  <si>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</si>
  <si>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</si>
  <si>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</si>
  <si>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</si>
  <si>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</si>
  <si>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</si>
  <si>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</si>
  <si>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</si>
  <si>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</si>
  <si>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</si>
  <si>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</si>
  <si>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</si>
  <si>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</si>
  <si>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</si>
  <si>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</si>
  <si>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</si>
  <si>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</si>
  <si>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</si>
  <si>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</si>
  <si>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</si>
  <si>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</si>
  <si>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</si>
  <si>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</si>
  <si>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</si>
  <si>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</si>
  <si>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</si>
  <si>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</si>
  <si>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</si>
  <si>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</si>
  <si>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</si>
  <si>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</si>
  <si>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</si>
  <si>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</si>
  <si>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</si>
  <si>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</si>
  <si>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</si>
  <si>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</si>
  <si>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</si>
  <si>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</si>
  <si>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</si>
  <si>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</si>
  <si>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</si>
  <si>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</si>
  <si>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</si>
  <si>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</si>
  <si>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</si>
  <si>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</si>
  <si>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</si>
  <si>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</si>
  <si>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</si>
  <si>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</si>
  <si>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</si>
  <si>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</si>
  <si>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</si>
  <si>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</si>
  <si>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</si>
  <si>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</si>
  <si>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</si>
  <si>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</si>
  <si>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</si>
  <si>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</si>
  <si>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</si>
  <si>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</si>
  <si>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</si>
  <si>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</si>
  <si>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</si>
  <si>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</si>
  <si>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</si>
  <si>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</si>
  <si>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</si>
  <si>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</si>
  <si>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</si>
  <si>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</si>
  <si>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</si>
  <si>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</si>
  <si>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</si>
  <si>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</si>
  <si>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</si>
  <si>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</si>
  <si>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</si>
  <si>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</si>
  <si>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</si>
  <si>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</si>
  <si>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</si>
  <si>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</si>
  <si>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</si>
  <si>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</si>
  <si>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</si>
  <si>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</si>
  <si>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</si>
  <si>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</si>
  <si>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</si>
  <si>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</si>
  <si>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</si>
  <si>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</si>
  <si>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</si>
  <si>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</si>
  <si>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</si>
  <si>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</si>
  <si>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</si>
  <si>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</si>
  <si>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</si>
  <si>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</si>
  <si>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</si>
  <si>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</si>
  <si>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</si>
  <si>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</si>
  <si>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</si>
  <si>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</si>
  <si>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</si>
  <si>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</si>
  <si>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</si>
  <si>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</si>
  <si>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</si>
  <si>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</si>
  <si>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</si>
  <si>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</si>
  <si>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</si>
  <si>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</si>
  <si>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</si>
  <si>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</si>
  <si>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</si>
  <si>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</si>
  <si>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</si>
  <si>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</si>
  <si>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</si>
  <si>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</si>
  <si>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</si>
  <si>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</si>
  <si>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</si>
  <si>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</si>
  <si>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</si>
  <si>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</si>
  <si>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</si>
  <si>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</si>
  <si>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</si>
  <si>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</si>
  <si>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</si>
  <si>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</si>
  <si>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</si>
  <si>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</si>
  <si>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</si>
  <si>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</si>
  <si>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</si>
  <si>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</si>
  <si>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</si>
  <si>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</si>
  <si>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</si>
  <si>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</si>
  <si>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</si>
  <si>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</si>
  <si>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</si>
  <si>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</si>
  <si>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</si>
  <si>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</si>
  <si>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</si>
  <si>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</si>
  <si>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</si>
  <si>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</si>
  <si>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</si>
  <si>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</si>
  <si>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</si>
  <si>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</si>
  <si>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</si>
  <si>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</si>
  <si>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</si>
  <si>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</si>
  <si>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</si>
  <si>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</si>
  <si>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</si>
  <si>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</si>
  <si>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</si>
  <si>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</si>
  <si>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</si>
  <si>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</si>
  <si>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</si>
  <si>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</si>
  <si>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</si>
  <si>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</si>
  <si>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</si>
  <si>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</si>
  <si>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</si>
  <si>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</si>
  <si>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</si>
  <si>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</si>
  <si>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</si>
  <si>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</si>
  <si>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</si>
  <si>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</si>
  <si>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</si>
  <si>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</si>
  <si>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</si>
  <si>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</si>
  <si>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</si>
  <si>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</si>
  <si>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</si>
  <si>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</si>
  <si>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</si>
  <si>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</si>
  <si>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</si>
  <si>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</si>
  <si>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</si>
  <si>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</si>
  <si>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</si>
  <si>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</si>
  <si>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</si>
  <si>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</si>
  <si>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</si>
  <si>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</si>
  <si>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</si>
  <si>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</si>
  <si>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</si>
  <si>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</si>
  <si>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</si>
  <si>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</si>
  <si>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</si>
  <si>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</si>
  <si>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</si>
  <si>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</si>
  <si>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</si>
  <si>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</si>
  <si>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</si>
  <si>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</si>
  <si>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</si>
  <si>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</si>
  <si>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</si>
  <si>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</si>
  <si>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</si>
  <si>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</si>
  <si>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</si>
  <si>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</si>
  <si>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</si>
  <si>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</si>
  <si>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</si>
  <si>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</si>
  <si>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</si>
  <si>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</si>
  <si>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</si>
  <si>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</si>
  <si>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</si>
  <si>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</si>
  <si>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</si>
  <si>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</si>
  <si>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</si>
  <si>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</si>
  <si>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</si>
  <si>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</si>
  <si>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</si>
  <si>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</si>
  <si>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</si>
  <si>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</si>
  <si>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</si>
  <si>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</si>
  <si>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</si>
  <si>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</si>
  <si>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</si>
  <si>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</si>
  <si>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</si>
  <si>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</si>
  <si>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</si>
  <si>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</si>
  <si>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</si>
  <si>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</si>
  <si>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</si>
  <si>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</si>
  <si>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</si>
  <si>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</si>
  <si>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</si>
  <si>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</si>
  <si>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</si>
  <si>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</si>
  <si>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</si>
  <si>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</si>
  <si>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</si>
  <si>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</si>
  <si>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</si>
  <si>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</si>
  <si>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</si>
  <si>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</si>
  <si>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</si>
  <si>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</si>
  <si>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</si>
  <si>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</si>
  <si>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</si>
  <si>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</si>
  <si>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</si>
  <si>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</si>
  <si>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</si>
  <si>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</si>
  <si>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</si>
  <si>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</si>
  <si>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</si>
  <si>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</si>
  <si>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</si>
  <si>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</si>
  <si>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</si>
  <si>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</si>
  <si>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</si>
  <si>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</si>
  <si>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</si>
  <si>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</si>
  <si>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</si>
  <si>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</si>
  <si>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</si>
  <si>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</si>
  <si>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</si>
  <si>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</si>
  <si>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</si>
  <si>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</si>
  <si>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</si>
  <si>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</si>
  <si>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</si>
  <si>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</si>
  <si>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</si>
  <si>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</si>
  <si>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</si>
  <si>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</si>
  <si>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</si>
  <si>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</si>
  <si>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</si>
  <si>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</si>
  <si>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</si>
  <si>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</si>
  <si>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</si>
  <si>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</si>
  <si>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</si>
  <si>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</si>
  <si>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</si>
  <si>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</si>
  <si>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</si>
  <si>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</si>
  <si>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</si>
  <si>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</si>
  <si>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</si>
  <si>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</si>
  <si>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</si>
  <si>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</si>
  <si>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</si>
  <si>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</si>
  <si>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</si>
  <si>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</si>
  <si>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</si>
  <si>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</si>
  <si>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</si>
  <si>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</si>
  <si>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</si>
  <si>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</si>
  <si>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</si>
  <si>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</si>
  <si>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</si>
  <si>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</si>
  <si>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</si>
  <si>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</si>
  <si>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</si>
  <si>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</si>
  <si>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</si>
  <si>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</si>
  <si>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</si>
  <si>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</si>
  <si>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</si>
  <si>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</si>
  <si>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</si>
  <si>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</si>
  <si>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</si>
  <si>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</si>
  <si>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</si>
  <si>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</si>
  <si>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</si>
  <si>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</si>
  <si>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</si>
  <si>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</si>
  <si>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</si>
  <si>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</si>
  <si>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</si>
  <si>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</si>
  <si>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</si>
  <si>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</si>
  <si>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</si>
  <si>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</si>
  <si>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</si>
  <si>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</si>
  <si>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</si>
  <si>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</si>
  <si>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</si>
  <si>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</si>
  <si>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</si>
  <si>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</si>
  <si>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</si>
  <si>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</si>
  <si>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</si>
  <si>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</si>
  <si>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</si>
  <si>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</si>
  <si>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</si>
  <si>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</si>
  <si>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</si>
  <si>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</si>
  <si>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</si>
  <si>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</si>
  <si>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</si>
  <si>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</si>
  <si>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</si>
  <si>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</si>
  <si>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</si>
  <si>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</si>
  <si>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</si>
  <si>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</si>
  <si>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</si>
  <si>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</si>
  <si>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</si>
  <si>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</si>
  <si>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</si>
  <si>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</si>
  <si>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</si>
  <si>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</si>
  <si>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</si>
  <si>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</si>
  <si>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</si>
  <si>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</si>
  <si>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</si>
  <si>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</si>
  <si>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</si>
  <si>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</si>
  <si>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</si>
  <si>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</si>
  <si>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</si>
  <si>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</si>
  <si>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</si>
  <si>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</si>
  <si>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</si>
  <si>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</si>
  <si>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</si>
  <si>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</si>
  <si>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</si>
  <si>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</si>
  <si>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</si>
  <si>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</si>
  <si>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</si>
  <si>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</si>
  <si>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</si>
  <si>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</si>
  <si>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</si>
  <si>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</si>
  <si>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</si>
  <si>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</si>
  <si>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</si>
  <si>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</si>
  <si>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</si>
  <si>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</si>
  <si>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</si>
  <si>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</si>
  <si>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</si>
  <si>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</si>
  <si>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</si>
  <si>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</si>
  <si>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</si>
  <si>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</si>
  <si>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</si>
  <si>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</si>
  <si>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</si>
  <si>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</si>
  <si>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</si>
  <si>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</si>
  <si>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</si>
  <si>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</si>
  <si>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</si>
  <si>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</si>
  <si>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</si>
  <si>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</si>
  <si>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</si>
  <si>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</si>
  <si>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</si>
  <si>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</si>
  <si>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</si>
  <si>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</si>
  <si>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</si>
  <si>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</si>
  <si>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</si>
  <si>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</si>
  <si>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</si>
  <si>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</si>
  <si>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</si>
  <si>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</si>
  <si>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</si>
  <si>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</si>
  <si>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</si>
  <si>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</si>
  <si>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</si>
  <si>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</si>
  <si>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</si>
  <si>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</si>
  <si>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</si>
  <si>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</si>
  <si>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</si>
  <si>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</si>
  <si>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</si>
  <si>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</si>
  <si>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</si>
  <si>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</si>
  <si>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</si>
  <si>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</si>
  <si>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</si>
  <si>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</si>
  <si>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</si>
  <si>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</si>
  <si>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</si>
  <si>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</si>
  <si>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</si>
  <si>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</si>
  <si>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</si>
  <si>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</si>
  <si>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</si>
  <si>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</si>
  <si>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</si>
  <si>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</si>
  <si>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</si>
  <si>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</si>
  <si>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</si>
  <si>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</si>
  <si>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</si>
  <si>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</si>
  <si>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</si>
  <si>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</si>
  <si>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</si>
  <si>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</si>
  <si>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</si>
  <si>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</si>
  <si>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</si>
  <si>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</si>
  <si>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</si>
  <si>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</si>
  <si>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</si>
  <si>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</si>
  <si>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</si>
  <si>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</si>
  <si>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</si>
  <si>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</si>
  <si>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</si>
  <si>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</si>
  <si>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</si>
  <si>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</si>
  <si>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</si>
  <si>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</si>
  <si>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</si>
  <si>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</si>
  <si>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</si>
  <si>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</si>
  <si>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</si>
  <si>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</si>
  <si>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</si>
  <si>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</si>
  <si>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</si>
  <si>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</si>
  <si>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</si>
  <si>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</si>
  <si>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</si>
  <si>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</si>
  <si>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</si>
  <si>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</si>
  <si>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</si>
  <si>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</si>
  <si>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</si>
  <si>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</si>
  <si>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</si>
  <si>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</si>
  <si>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</si>
  <si>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</si>
  <si>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</si>
  <si>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</si>
  <si>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</si>
  <si>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</si>
  <si>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</si>
  <si>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</si>
  <si>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</si>
  <si>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</si>
  <si>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</si>
  <si>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</si>
  <si>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</si>
  <si>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</si>
  <si>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</si>
  <si>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</si>
  <si>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</si>
  <si>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</si>
  <si>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</si>
  <si>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</si>
  <si>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</si>
  <si>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</si>
  <si>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</si>
  <si>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</si>
  <si>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</si>
  <si>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</si>
  <si>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</si>
  <si>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</si>
  <si>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</si>
  <si>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</si>
  <si>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</si>
  <si>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</si>
  <si>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</si>
  <si>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</si>
  <si>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</si>
  <si>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</si>
  <si>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</si>
  <si>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</si>
  <si>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</si>
  <si>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</si>
  <si>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</si>
  <si>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</si>
  <si>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</si>
  <si>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</si>
  <si>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</si>
  <si>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</si>
  <si>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</si>
  <si>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</si>
  <si>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</si>
  <si>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</si>
  <si>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</si>
  <si>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</si>
  <si>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</si>
  <si>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</si>
  <si>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</si>
  <si>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</si>
  <si>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</si>
  <si>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</si>
  <si>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</si>
  <si>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</si>
  <si>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</si>
  <si>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</si>
  <si>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</si>
  <si>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</si>
  <si>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</si>
  <si>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</si>
  <si>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</si>
  <si>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</si>
  <si>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</si>
  <si>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</si>
  <si>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</si>
  <si>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</si>
  <si>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</si>
  <si>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</si>
  <si>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</si>
  <si>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</si>
  <si>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</si>
  <si>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</si>
  <si>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</si>
  <si>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</si>
  <si>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</si>
  <si>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</si>
  <si>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</si>
  <si>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</si>
  <si>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</si>
  <si>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</si>
  <si>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</si>
  <si>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</si>
  <si>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</si>
  <si>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</si>
  <si>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</si>
  <si>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</si>
  <si>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</si>
  <si>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</si>
  <si>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</si>
  <si>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</si>
  <si>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</si>
  <si>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</si>
  <si>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</si>
  <si>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</si>
  <si>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</si>
  <si>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</si>
  <si>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</si>
  <si>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</si>
  <si>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</si>
  <si>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</si>
  <si>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</si>
  <si>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</si>
  <si>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</si>
  <si>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</si>
  <si>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</si>
  <si>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</si>
  <si>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</si>
  <si>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</si>
  <si>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</si>
  <si>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</si>
  <si>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</si>
  <si>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</si>
  <si>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</si>
  <si>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</si>
  <si>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</si>
  <si>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</si>
  <si>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</si>
  <si>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</si>
  <si>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</si>
  <si>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</si>
  <si>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</si>
  <si>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</si>
  <si>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</si>
  <si>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</si>
  <si>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</si>
  <si>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</si>
  <si>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</si>
  <si>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</si>
  <si>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</si>
  <si>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</si>
  <si>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</si>
  <si>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</si>
  <si>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</si>
  <si>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</si>
  <si>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</si>
  <si>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</si>
  <si>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</si>
  <si>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</si>
  <si>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</si>
  <si>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</si>
  <si>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</si>
  <si>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</si>
  <si>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</si>
  <si>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</si>
  <si>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</si>
  <si>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</si>
  <si>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</si>
  <si>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</si>
  <si>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</si>
  <si>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</si>
  <si>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</si>
  <si>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</si>
  <si>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</si>
  <si>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</si>
  <si>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</si>
  <si>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</si>
  <si>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</si>
  <si>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</si>
  <si>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</si>
  <si>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</si>
  <si>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</si>
  <si>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</si>
  <si>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</si>
  <si>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</si>
  <si>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</si>
  <si>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</si>
  <si>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</si>
  <si>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</si>
  <si>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</si>
  <si>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</si>
  <si>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</si>
  <si>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</si>
  <si>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</si>
  <si>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</si>
  <si>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</si>
  <si>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</si>
  <si>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</si>
  <si>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</si>
  <si>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</si>
  <si>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</si>
  <si>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</si>
  <si>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</si>
  <si>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</si>
  <si>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</si>
  <si>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</si>
  <si>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</si>
  <si>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</si>
  <si>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</si>
  <si>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</si>
  <si>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</si>
  <si>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</si>
  <si>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</si>
  <si>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</si>
  <si>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</si>
  <si>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</si>
  <si>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</si>
  <si>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</si>
  <si>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</si>
  <si>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</si>
  <si>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</si>
  <si>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</si>
  <si>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</si>
  <si>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</si>
  <si>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</si>
  <si>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</si>
  <si>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</si>
  <si>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</si>
  <si>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</si>
  <si>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</si>
  <si>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</si>
  <si>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</si>
  <si>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</si>
  <si>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</si>
  <si>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</si>
  <si>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</si>
  <si>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</si>
  <si>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</si>
  <si>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</si>
  <si>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</si>
  <si>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</si>
  <si>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</si>
  <si>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</si>
  <si>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</si>
  <si>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</si>
  <si>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</si>
  <si>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</si>
  <si>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</si>
  <si>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</si>
  <si>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</si>
  <si>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</si>
  <si>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</si>
  <si>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</si>
  <si>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</si>
  <si>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</si>
  <si>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</si>
  <si>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</si>
  <si>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</si>
  <si>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</si>
  <si>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</si>
  <si>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</si>
  <si>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</si>
  <si>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</si>
  <si>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</si>
  <si>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</si>
  <si>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</si>
  <si>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</si>
  <si>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</si>
  <si>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</si>
  <si>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</si>
  <si>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</si>
  <si>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</si>
  <si>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</si>
  <si>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</si>
  <si>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</si>
  <si>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</si>
  <si>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</si>
  <si>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</si>
  <si>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</si>
  <si>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</si>
  <si>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</si>
  <si>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</si>
  <si>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</si>
  <si>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</si>
  <si>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</si>
  <si>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</si>
  <si>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</si>
  <si>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</si>
  <si>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</si>
  <si>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</si>
  <si>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</si>
  <si>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</si>
  <si>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</si>
  <si>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</si>
  <si>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</si>
  <si>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</si>
  <si>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</si>
  <si>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</si>
  <si>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</si>
  <si>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</si>
  <si>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</si>
  <si>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</si>
  <si>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</si>
  <si>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</si>
  <si>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</si>
  <si>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</si>
  <si>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</si>
  <si>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</si>
  <si>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</si>
  <si>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</si>
  <si>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</si>
  <si>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</si>
  <si>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</si>
  <si>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</si>
  <si>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</si>
  <si>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</si>
  <si>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</si>
  <si>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</si>
  <si>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</si>
  <si>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</si>
  <si>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</si>
  <si>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</si>
  <si>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</si>
  <si>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</si>
  <si>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</si>
  <si>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</si>
  <si>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</si>
  <si>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</si>
  <si>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</si>
  <si>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</si>
  <si>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</si>
  <si>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</si>
  <si>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</si>
  <si>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</si>
  <si>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</si>
  <si>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</si>
  <si>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</si>
  <si>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</si>
  <si>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</si>
  <si>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</si>
  <si>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</si>
  <si>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</si>
  <si>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</si>
  <si>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</si>
  <si>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</si>
  <si>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</si>
  <si>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</si>
  <si>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</si>
  <si>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</si>
  <si>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</si>
  <si>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</si>
  <si>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</si>
  <si>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</si>
  <si>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</si>
  <si>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</si>
  <si>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</si>
  <si>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</si>
  <si>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</si>
  <si>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</si>
  <si>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</si>
  <si>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</si>
  <si>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</si>
  <si>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</si>
  <si>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</si>
  <si>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</si>
  <si>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</si>
  <si>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</si>
  <si>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</si>
  <si>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</si>
  <si>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</si>
  <si>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</si>
  <si>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</si>
  <si>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</si>
  <si>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</si>
  <si>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</si>
  <si>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</si>
  <si>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</si>
  <si>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</si>
  <si>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</si>
  <si>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</si>
  <si>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</si>
  <si>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</si>
  <si>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</si>
  <si>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</si>
  <si>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</si>
  <si>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</si>
  <si>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</si>
  <si>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</si>
  <si>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</si>
  <si>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</si>
  <si>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</si>
  <si>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</si>
  <si>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</si>
  <si>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</si>
  <si>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</si>
  <si>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</si>
  <si>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</si>
  <si>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</si>
  <si>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</si>
  <si>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</si>
  <si>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</si>
  <si>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</si>
  <si>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</si>
  <si>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</si>
  <si>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</si>
  <si>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</si>
  <si>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</si>
  <si>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</si>
  <si>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</si>
  <si>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</si>
  <si>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</si>
  <si>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</si>
  <si>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</si>
  <si>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</si>
  <si>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</si>
  <si>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</si>
  <si>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</si>
  <si>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</si>
  <si>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</si>
  <si>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</si>
  <si>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</si>
  <si>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</si>
  <si>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</si>
  <si>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</si>
  <si>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</si>
  <si>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</si>
  <si>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</si>
  <si>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</si>
  <si>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</si>
  <si>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</si>
  <si>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</si>
  <si>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</si>
  <si>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</si>
  <si>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</si>
  <si>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</si>
  <si>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</si>
  <si>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</si>
  <si>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</si>
  <si>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</si>
  <si>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</si>
  <si>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</si>
  <si>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</si>
  <si>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</si>
  <si>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</si>
  <si>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</si>
  <si>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</si>
  <si>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</si>
  <si>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</si>
  <si>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</si>
  <si>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</si>
  <si>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</si>
  <si>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</si>
  <si>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</si>
  <si>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</si>
  <si>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</si>
  <si>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</si>
  <si>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</si>
  <si>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</si>
  <si>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</si>
  <si>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</si>
  <si>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</si>
  <si>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</si>
  <si>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</si>
  <si>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</si>
  <si>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</si>
  <si>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</si>
  <si>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</si>
  <si>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</si>
  <si>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</si>
  <si>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</si>
  <si>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</si>
  <si>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</si>
  <si>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</si>
  <si>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</si>
  <si>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</si>
  <si>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</si>
  <si>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</si>
  <si>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</si>
  <si>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</si>
  <si>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</si>
  <si>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</si>
  <si>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</si>
  <si>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</si>
  <si>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</si>
  <si>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</si>
  <si>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</si>
  <si>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</si>
  <si>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</si>
  <si>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</si>
  <si>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</si>
  <si>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</si>
  <si>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</si>
  <si>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</si>
  <si>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</si>
  <si>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</si>
  <si>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</si>
  <si>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</si>
  <si>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</si>
  <si>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</si>
  <si>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</si>
  <si>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</si>
  <si>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</si>
  <si>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</si>
  <si>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</si>
  <si>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</si>
  <si>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</si>
  <si>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</si>
  <si>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</si>
  <si>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</si>
  <si>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</si>
  <si>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</si>
  <si>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</si>
  <si>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</si>
  <si>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</si>
  <si>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</si>
  <si>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</si>
  <si>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</si>
  <si>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</si>
  <si>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</si>
  <si>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</si>
  <si>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</si>
  <si>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</si>
  <si>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</si>
  <si>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</si>
  <si>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</si>
  <si>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</si>
  <si>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</si>
  <si>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</si>
  <si>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</si>
  <si>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</si>
  <si>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</si>
  <si>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</si>
  <si>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</si>
  <si>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</si>
  <si>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</si>
  <si>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</si>
  <si>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</si>
  <si>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</si>
  <si>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</si>
  <si>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</si>
  <si>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</si>
  <si>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</si>
  <si>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</si>
  <si>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</si>
  <si>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</si>
  <si>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</si>
  <si>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</si>
  <si>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</si>
  <si>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</si>
  <si>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</si>
  <si>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</si>
  <si>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</si>
  <si>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</si>
  <si>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</si>
  <si>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</si>
  <si>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</si>
  <si>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</si>
  <si>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</si>
  <si>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</si>
  <si>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</si>
  <si>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</si>
  <si>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</si>
  <si>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</si>
  <si>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</si>
  <si>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</si>
  <si>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</si>
  <si>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</si>
  <si>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</si>
  <si>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</si>
  <si>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</si>
  <si>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</si>
  <si>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</si>
  <si>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</si>
  <si>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</si>
  <si>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</si>
  <si>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</si>
  <si>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</si>
  <si>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</si>
  <si>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</si>
  <si>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</si>
  <si>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</si>
  <si>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</si>
  <si>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</si>
  <si>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</si>
  <si>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</si>
  <si>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</si>
  <si>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</si>
  <si>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</si>
  <si>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</si>
  <si>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</si>
  <si>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</si>
  <si>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</si>
  <si>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</si>
  <si>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</si>
  <si>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</si>
  <si>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</si>
  <si>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</si>
  <si>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</si>
  <si>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</si>
  <si>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</si>
  <si>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</si>
  <si>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</si>
  <si>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</si>
  <si>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</si>
  <si>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</si>
  <si>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</si>
  <si>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</si>
  <si>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</si>
  <si>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</si>
  <si>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</si>
  <si>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</si>
  <si>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</si>
  <si>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</si>
  <si>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</si>
  <si>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</si>
  <si>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</si>
  <si>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</si>
  <si>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</si>
  <si>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</si>
  <si>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</si>
  <si>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</si>
  <si>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</si>
  <si>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</si>
  <si>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</si>
  <si>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</si>
  <si>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</si>
  <si>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</si>
  <si>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</si>
  <si>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</si>
  <si>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</si>
  <si>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</si>
  <si>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</si>
  <si>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</si>
  <si>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</si>
  <si>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</si>
  <si>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</si>
  <si>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</si>
  <si>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</si>
  <si>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</si>
  <si>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</si>
  <si>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</si>
  <si>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</si>
  <si>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</si>
  <si>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</si>
  <si>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</si>
  <si>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</si>
  <si>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</si>
  <si>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</si>
  <si>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</si>
  <si>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</si>
  <si>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</si>
  <si>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</si>
  <si>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</si>
  <si>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</si>
  <si>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</si>
  <si>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</si>
  <si>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</si>
  <si>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</si>
  <si>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</si>
  <si>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</si>
  <si>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</si>
  <si>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</si>
  <si>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</si>
  <si>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</si>
  <si>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</si>
  <si>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</si>
  <si>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</si>
  <si>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</si>
  <si>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</si>
  <si>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</si>
  <si>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</si>
  <si>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</si>
  <si>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</si>
  <si>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</si>
  <si>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</si>
  <si>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</si>
  <si>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</si>
  <si>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</si>
  <si>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</si>
  <si>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</si>
  <si>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</si>
  <si>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</si>
  <si>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</si>
  <si>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</si>
  <si>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</si>
  <si>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</si>
  <si>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</si>
  <si>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</si>
  <si>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</si>
  <si>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</si>
  <si>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</si>
  <si>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</si>
  <si>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</si>
  <si>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</si>
  <si>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</si>
  <si>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</si>
  <si>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</si>
  <si>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</si>
  <si>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</si>
  <si>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</si>
  <si>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</si>
  <si>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</si>
  <si>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</si>
  <si>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</si>
  <si>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</si>
  <si>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</si>
  <si>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</si>
  <si>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</si>
  <si>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</si>
  <si>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</si>
  <si>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</si>
  <si>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</si>
  <si>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</si>
  <si>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</si>
  <si>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</si>
  <si>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</si>
  <si>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</si>
  <si>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</si>
  <si>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</si>
  <si>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</si>
  <si>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</si>
  <si>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</si>
  <si>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</si>
  <si>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</si>
  <si>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</si>
  <si>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</si>
  <si>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</si>
  <si>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</si>
  <si>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</si>
  <si>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</si>
  <si>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</si>
  <si>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</si>
  <si>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</si>
  <si>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</si>
  <si>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</si>
  <si>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</si>
  <si>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</si>
  <si>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</si>
  <si>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</si>
  <si>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</si>
  <si>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</si>
  <si>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</si>
  <si>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</si>
  <si>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</si>
  <si>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</si>
  <si>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</si>
  <si>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</si>
  <si>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</si>
  <si>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</si>
  <si>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</si>
  <si>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</si>
  <si>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</si>
  <si>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</si>
  <si>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</si>
  <si>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</si>
  <si>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</si>
  <si>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</si>
  <si>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</si>
  <si>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</si>
  <si>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</si>
  <si>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</si>
  <si>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</si>
  <si>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</si>
  <si>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</si>
  <si>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</si>
  <si>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</si>
  <si>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</si>
  <si>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</si>
  <si>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</si>
  <si>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</si>
  <si>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</si>
  <si>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</si>
  <si>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</si>
  <si>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</si>
  <si>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</si>
  <si>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</si>
  <si>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</si>
  <si>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</si>
  <si>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</si>
  <si>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</si>
  <si>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</si>
  <si>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</si>
  <si>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</si>
  <si>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</si>
  <si>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</si>
  <si>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</si>
  <si>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</si>
  <si>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</si>
  <si>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</si>
  <si>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</si>
  <si>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</si>
  <si>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</si>
  <si>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</si>
  <si>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</si>
  <si>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</si>
  <si>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</si>
  <si>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</si>
  <si>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</si>
  <si>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</si>
  <si>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</si>
  <si>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</si>
  <si>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</si>
  <si>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</si>
  <si>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</si>
  <si>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</si>
  <si>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</si>
  <si>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</si>
  <si>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</si>
  <si>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</si>
  <si>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</si>
  <si>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</si>
  <si>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</si>
  <si>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</si>
  <si>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</si>
  <si>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</si>
  <si>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</si>
  <si>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</si>
  <si>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</si>
  <si>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</si>
  <si>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</si>
  <si>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</si>
  <si>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</si>
  <si>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</si>
  <si>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</si>
  <si>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</si>
  <si>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</si>
  <si>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</si>
  <si>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</si>
  <si>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</si>
  <si>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</si>
  <si>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</si>
  <si>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</si>
  <si>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</si>
  <si>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</si>
  <si>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</si>
  <si>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</si>
  <si>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</si>
  <si>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</si>
  <si>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</si>
  <si>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</si>
  <si>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</si>
  <si>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</si>
  <si>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</si>
  <si>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</si>
  <si>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</si>
  <si>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</si>
  <si>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</si>
  <si>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</si>
  <si>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</si>
  <si>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</si>
  <si>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</si>
  <si>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</si>
  <si>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</si>
  <si>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</si>
  <si>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</si>
  <si>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</si>
  <si>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</si>
  <si>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</si>
  <si>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</si>
  <si>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</si>
  <si>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</si>
  <si>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</si>
  <si>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</si>
  <si>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</si>
  <si>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</si>
  <si>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</si>
  <si>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</si>
  <si>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</si>
  <si>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</si>
  <si>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</si>
  <si>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</si>
  <si>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</si>
  <si>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</si>
  <si>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</si>
  <si>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</si>
  <si>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</si>
  <si>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</si>
  <si>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</si>
  <si>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</si>
  <si>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</si>
  <si>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</si>
  <si>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</si>
  <si>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</si>
  <si>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</si>
  <si>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</si>
  <si>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</si>
  <si>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</si>
  <si>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</si>
  <si>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</si>
  <si>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</si>
  <si>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</si>
  <si>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</si>
  <si>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</si>
  <si>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</si>
  <si>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</si>
  <si>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</si>
  <si>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</si>
  <si>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</si>
  <si>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</si>
  <si>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</si>
  <si>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</si>
  <si>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</si>
  <si>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</si>
  <si>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</si>
  <si>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</si>
  <si>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</si>
  <si>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</si>
  <si>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</si>
  <si>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</si>
  <si>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</si>
  <si>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</si>
  <si>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</si>
  <si>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</si>
  <si>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</si>
  <si>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</si>
  <si>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</si>
  <si>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</si>
  <si>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</si>
  <si>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</si>
  <si>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</si>
  <si>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</si>
  <si>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</si>
  <si>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</si>
  <si>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</si>
  <si>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</si>
  <si>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</si>
  <si>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</si>
  <si>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</si>
  <si>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</si>
  <si>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</si>
  <si>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</si>
  <si>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</si>
  <si>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</si>
  <si>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</si>
  <si>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</si>
  <si>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</si>
  <si>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</si>
  <si>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</si>
  <si>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</si>
  <si>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</si>
  <si>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</si>
  <si>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</si>
  <si>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</si>
  <si>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</si>
  <si>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</si>
  <si>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</si>
  <si>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</si>
  <si>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</si>
  <si>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</si>
  <si>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</si>
  <si>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</si>
  <si>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</si>
  <si>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</si>
  <si>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</si>
  <si>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</si>
  <si>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</si>
  <si>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</si>
  <si>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</si>
  <si>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</si>
  <si>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</si>
  <si>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</si>
  <si>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</si>
  <si>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</si>
  <si>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</si>
  <si>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</si>
  <si>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</si>
  <si>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</si>
  <si>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</si>
  <si>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</si>
  <si>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</si>
  <si>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</si>
  <si>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</si>
  <si>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</si>
  <si>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</si>
  <si>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</si>
  <si>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</si>
  <si>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</si>
  <si>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</si>
  <si>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</si>
  <si>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</si>
  <si>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</si>
  <si>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</si>
  <si>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</si>
  <si>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</si>
  <si>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</si>
  <si>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</si>
  <si>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</si>
  <si>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</si>
  <si>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</si>
  <si>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</si>
  <si>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</si>
  <si>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</si>
  <si>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</si>
  <si>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</si>
  <si>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</si>
  <si>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</si>
  <si>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</si>
  <si>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</si>
  <si>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</si>
  <si>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</si>
  <si>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</si>
  <si>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</si>
  <si>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</si>
  <si>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</si>
  <si>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</si>
  <si>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</si>
  <si>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</si>
  <si>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</si>
  <si>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</si>
  <si>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</si>
  <si>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</si>
  <si>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</si>
  <si>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</si>
  <si>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</si>
  <si>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</si>
  <si>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</si>
  <si>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</si>
  <si>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</si>
  <si>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</si>
  <si>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</si>
  <si>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</si>
  <si>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</si>
  <si>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</si>
  <si>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</si>
  <si>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</si>
  <si>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</si>
  <si>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</si>
  <si>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</si>
  <si>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</si>
  <si>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</si>
  <si>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</si>
  <si>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</si>
  <si>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</si>
  <si>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</si>
  <si>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</si>
  <si>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</si>
  <si>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</si>
  <si>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</si>
  <si>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</si>
  <si>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</si>
  <si>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</si>
  <si>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</si>
  <si>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</si>
  <si>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</si>
  <si>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</si>
  <si>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万元</t>
  </si>
  <si>
    <t>总价</t>
  </si>
  <si>
    <t>商业</t>
  </si>
  <si>
    <t>利息：取LPR加浮动点数</t>
  </si>
  <si>
    <t>钢混</t>
  </si>
  <si>
    <t>非生产用房</t>
  </si>
  <si>
    <t>否</t>
  </si>
  <si>
    <t>商业</t>
    <phoneticPr fontId="25" type="noConversion"/>
  </si>
  <si>
    <t>1--2</t>
  </si>
  <si>
    <t>1--2</t>
    <phoneticPr fontId="25" type="noConversion"/>
  </si>
  <si>
    <t>钢混</t>
    <phoneticPr fontId="25" type="noConversion"/>
  </si>
  <si>
    <t>比较法-商业</t>
  </si>
  <si>
    <t>收益法</t>
  </si>
  <si>
    <t>超高</t>
  </si>
  <si>
    <t>超高</t>
    <phoneticPr fontId="25" type="noConversion"/>
  </si>
  <si>
    <t>标准</t>
  </si>
  <si>
    <t>标准</t>
    <phoneticPr fontId="25" type="noConversion"/>
  </si>
  <si>
    <t>可餐饮</t>
  </si>
  <si>
    <t>可餐饮</t>
    <phoneticPr fontId="25" type="noConversion"/>
  </si>
  <si>
    <t>不可餐饮</t>
  </si>
  <si>
    <t>不可餐饮</t>
    <phoneticPr fontId="25" type="noConversion"/>
  </si>
  <si>
    <t>市调案例，面积110平纯一层</t>
    <phoneticPr fontId="25" type="noConversion"/>
  </si>
  <si>
    <t>1层内街都退租了</t>
    <phoneticPr fontId="146" type="noConversion"/>
  </si>
  <si>
    <t>3万左右</t>
    <phoneticPr fontId="146" type="noConversion"/>
  </si>
  <si>
    <r>
      <t>内外差1</t>
    </r>
    <r>
      <rPr>
        <sz val="11"/>
        <color theme="1"/>
        <rFont val="宋体"/>
        <family val="3"/>
        <charset val="134"/>
        <scheme val="minor"/>
      </rPr>
      <t>-2块</t>
    </r>
    <phoneticPr fontId="146" type="noConversion"/>
  </si>
  <si>
    <t>4块多不到5块</t>
    <phoneticPr fontId="146" type="noConversion"/>
  </si>
  <si>
    <t>租外街</t>
    <phoneticPr fontId="146" type="noConversion"/>
  </si>
  <si>
    <t>空置高</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</si>
</sst>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1</xdr:row>
      <xdr:rowOff>19050</xdr:rowOff>
    </xdr:from>
    <xdr:to>
      <xdr:col>16</xdr:col>
      <xdr:colOff>370097</xdr:colOff>
      <xdr:row>30</xdr:row>
      <xdr:rowOff>94619</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190500"/>
          <a:ext cx="11028572" cy="5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估价对象为北京市房地产，为XX所有。根据《》[]，估价对象建筑面积为661.27平方米。根据《》[]，估价对象（分摊）出让国有建设用地使用权面积为平方米。估价对象用途为。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2022年6月16日</v>
      </c>
    </row>
    <row r="10" spans="1:2">
      <c r="A10" s="1139" t="s">
        <v>865</v>
      </c>
      <c r="B10" s="1126" t="str">
        <f>'预评函-1'!A13</f>
        <v>本次估价的“房地产价值”是指在正常市场情况下，在价值时点2022年6月16日，估价对象规划用途为，假定未设立法定优先受偿款下的房地产市场价值。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661.27</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44728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661.27</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21" activePane="bottomRight" state="frozen"/>
      <selection activeCell="A11" sqref="A11:D11"/>
      <selection pane="topRight" activeCell="A11" sqref="A11:D11"/>
      <selection pane="bottomLeft" activeCell="A11" sqref="A11:D11"/>
      <selection pane="bottomRight" activeCell="D57" sqref="D5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44728</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661.27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56139</v>
      </c>
      <c r="C12" s="1613"/>
      <c r="D12" s="2848" t="s">
        <v>1395</v>
      </c>
      <c r="E12" s="2570">
        <v>190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31.26</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0.91200000000000003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2314445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2015</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c r="D29" s="2853" t="s">
        <v>1423</v>
      </c>
      <c r="E29" s="2872">
        <f>E30+E31</f>
        <v>5.5000000000000007E-2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31.26</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B56" s="2593">
        <v>1</v>
      </c>
      <c r="C56" s="2593">
        <v>4.5</v>
      </c>
      <c r="D56" s="2887"/>
      <c r="E56" s="2887"/>
      <c r="F56" s="2887"/>
      <c r="G56" s="2887"/>
      <c r="H56" s="2887"/>
      <c r="I56" s="1613"/>
      <c r="J56" s="1613"/>
      <c r="K56" s="1613"/>
      <c r="L56" s="1613"/>
      <c r="M56" s="1613"/>
      <c r="N56" s="1613"/>
    </row>
    <row r="57" spans="1:41" s="2593" customFormat="1" ht="14.25">
      <c r="B57" s="2593">
        <v>0.7</v>
      </c>
      <c r="C57" s="2593">
        <f>C56*B57</f>
        <v>3.15</v>
      </c>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C59" s="2593">
        <f>(C56+C57)/2</f>
        <v>3.8250000000000002</v>
      </c>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661.27</v>
      </c>
      <c r="C1" s="1562"/>
      <c r="D1" s="1562"/>
      <c r="E1" s="1562"/>
      <c r="F1" s="1562"/>
      <c r="G1" s="2500"/>
    </row>
    <row r="2" spans="1:9">
      <c r="A2" s="2499" t="s">
        <v>974</v>
      </c>
      <c r="B2" s="2499">
        <f>SUM(C14:C23)</f>
        <v>0</v>
      </c>
      <c r="C2" s="1562"/>
      <c r="D2" s="1562"/>
      <c r="E2" s="1562"/>
      <c r="F2" s="1562"/>
      <c r="G2" s="2500"/>
    </row>
    <row r="3" spans="1:9">
      <c r="A3" s="2499" t="s">
        <v>975</v>
      </c>
      <c r="B3" s="2502">
        <f>项目基本情况!D2</f>
        <v>44728</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1773</v>
      </c>
      <c r="C5" s="2499">
        <f ca="1">ROUND(B5*10000/$B$1,0)</f>
        <v>26812</v>
      </c>
      <c r="D5" s="2499" t="e">
        <f ca="1">ROUND(B5*10000/$B$2,0)</f>
        <v>#DIV/0!</v>
      </c>
      <c r="E5" s="1562"/>
      <c r="F5" s="2500"/>
      <c r="G5" s="2500"/>
    </row>
    <row r="6" spans="1:9">
      <c r="A6" s="2499" t="s">
        <v>981</v>
      </c>
      <c r="B6" s="2499">
        <f ca="1">SUM(G14:G23)</f>
        <v>1773</v>
      </c>
      <c r="C6" s="2499">
        <f t="shared" ref="C6:C8" ca="1" si="0">ROUND(B6*10000/$B$1,0)</f>
        <v>26812</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661.27</v>
      </c>
      <c r="C14" s="2835">
        <f>项目基本情况!C13</f>
        <v>0</v>
      </c>
      <c r="D14" s="2835">
        <f ca="1">IF('数据-取费表'!B3="万元",IF(A14="估价对象1（结果表）",结果表!H121,'结果表 (1修多)'!H125),IF(A14="估价对象1（结果表）",结果表!H121,'结果表 (1修多)'!H125)/10000)</f>
        <v>1773</v>
      </c>
      <c r="E14" s="2835">
        <f ca="1">ROUND(D14*10000/B14,0)</f>
        <v>26812</v>
      </c>
      <c r="F14" s="2835" t="e">
        <f ca="1">ROUND(D14*10000/C14,0)</f>
        <v>#DIV/0!</v>
      </c>
      <c r="G14" s="2835">
        <f ca="1">IF('数据-取费表'!B3="万元",IF(A14="估价对象1（结果表）",结果表!D125,'结果表 (1修多)'!D129),IF(A14="估价对象1（结果表）",结果表!D125,'结果表 (1修多)'!D129)/10000)</f>
        <v>1773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M17" sqref="M1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3046</v>
      </c>
      <c r="D4" s="2632" t="s">
        <v>3047</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6</v>
      </c>
      <c r="D14" s="3490">
        <v>4</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07" t="s">
        <v>2576</v>
      </c>
      <c r="F18" s="3508"/>
      <c r="G18" s="3508"/>
      <c r="H18" s="3508"/>
      <c r="I18" s="3508"/>
      <c r="J18" s="2765"/>
    </row>
    <row r="19" spans="1:36" ht="15">
      <c r="A19" s="2638" t="s">
        <v>1494</v>
      </c>
      <c r="B19" s="2639" t="s">
        <v>1495</v>
      </c>
      <c r="C19" s="2640">
        <f ca="1">SUMIF(INDIRECT("'"&amp;C4&amp;"'"&amp;"!A:A"),结果表!B19,INDIRECT("'"&amp;C4&amp;"'"&amp;"!B:B"))</f>
        <v>2059</v>
      </c>
      <c r="D19" s="2641">
        <f ca="1">SUMIF(INDIRECT("'"&amp;D4&amp;"'"&amp;"!A:A"),结果表!B19,INDIRECT("'"&amp;D4&amp;"'"&amp;"!B:B"))</f>
        <v>1345</v>
      </c>
      <c r="E19" s="2638" t="s">
        <v>1496</v>
      </c>
      <c r="F19" s="2639" t="s">
        <v>1495</v>
      </c>
      <c r="G19" s="2642">
        <f ca="1">ROUND(C19*$C$18+D19*$D$18,0)</f>
        <v>1773</v>
      </c>
      <c r="H19" s="2643" t="str">
        <f>'数据-取费表'!B3</f>
        <v>万元</v>
      </c>
      <c r="I19" s="2691"/>
      <c r="J19" s="2766"/>
    </row>
    <row r="20" spans="1:36" ht="15">
      <c r="A20" s="2644"/>
      <c r="B20" s="1622" t="s">
        <v>1497</v>
      </c>
      <c r="C20" s="1847">
        <f ca="1">SUMIF(INDIRECT("'"&amp;C4&amp;"'"&amp;"!A:A"),结果表!B20,INDIRECT("'"&amp;C4&amp;"'"&amp;"!B:B"))</f>
        <v>31140</v>
      </c>
      <c r="D20" s="1850">
        <f ca="1">SUMIF(INDIRECT("'"&amp;D4&amp;"'"&amp;"!A:A"),结果表!B20,INDIRECT("'"&amp;D4&amp;"'"&amp;"!B:B"))</f>
        <v>20332</v>
      </c>
      <c r="E20" s="2644"/>
      <c r="F20" s="1622" t="s">
        <v>1497</v>
      </c>
      <c r="G20" s="2021">
        <f ca="1">ROUND(C20*$C$18+D20*$D$18,0)</f>
        <v>26817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0.53085501858736062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1773</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1363</v>
      </c>
      <c r="D34" s="2668">
        <f ca="1">IF(D33="自定义",ROUND(C34/C32,3),1-D35)</f>
        <v>0.76900000000000002</v>
      </c>
      <c r="E34" s="1363" t="s">
        <v>1510</v>
      </c>
      <c r="F34" s="2669">
        <v>2000</v>
      </c>
      <c r="G34" s="905"/>
      <c r="H34" s="905"/>
      <c r="I34" s="905"/>
      <c r="J34" s="2765"/>
    </row>
    <row r="35" spans="1:17" ht="15.75" thickBot="1">
      <c r="A35" s="1395"/>
      <c r="B35" s="2670" t="s">
        <v>1511</v>
      </c>
      <c r="C35" s="2671">
        <f ca="1">IF(D33="自定义",F35,ROUND(C32*D35,0))</f>
        <v>410</v>
      </c>
      <c r="D35" s="2672">
        <f ca="1">IF(D33="自定义",ROUND(C35/C32,3),IF(D33="成本法成本比率",成本法!C56,IF(D33="收益法收益比率",收益法!J38,收益法!J41)))</f>
        <v>0.23100000000000001</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1773</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44728</v>
      </c>
      <c r="O47" s="3430"/>
      <c r="P47" s="3430"/>
      <c r="Q47" s="1236"/>
    </row>
    <row r="48" spans="1:17" ht="25.5">
      <c r="A48" s="3503" t="s">
        <v>1536</v>
      </c>
      <c r="B48" s="3437"/>
      <c r="C48" s="3437"/>
      <c r="D48" s="12">
        <f ca="1">IF(H48="情况1",0,IF(H48="情况2",D52,IF(H48="情况3",D53,IF(H48="情况4",D54))))</f>
        <v>93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1773</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93</v>
      </c>
      <c r="E52" s="2020" t="s">
        <v>1553</v>
      </c>
      <c r="F52" s="2493">
        <f>'数据-取费表'!E29</f>
        <v>5.5000000000000007E-2</v>
      </c>
      <c r="G52" s="2494"/>
      <c r="H52" s="905"/>
      <c r="I52" s="2898"/>
      <c r="J52" s="2773"/>
      <c r="K52" s="2454">
        <v>1</v>
      </c>
      <c r="L52" s="3417" t="s">
        <v>2515</v>
      </c>
      <c r="M52" s="3417"/>
      <c r="N52" s="2456">
        <f ca="1">D48</f>
        <v>93</v>
      </c>
      <c r="O52" s="2454" t="str">
        <f>E48</f>
        <v>销售额×税（费）率</v>
      </c>
      <c r="P52" s="2457">
        <f>F48</f>
        <v>5.5000000000000007E-2</v>
      </c>
      <c r="Q52" s="1236"/>
    </row>
    <row r="53" spans="1:17" ht="12" customHeight="1">
      <c r="A53" s="2010" t="s">
        <v>1555</v>
      </c>
      <c r="B53" s="3488" t="s">
        <v>2593</v>
      </c>
      <c r="C53" s="3477"/>
      <c r="D53" s="1028">
        <f ca="1">ROUND(D45*'数据-取费表'!E29/(1+'数据-取费表'!F30),0)</f>
        <v>93</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93</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93</v>
      </c>
      <c r="P57" s="2465"/>
      <c r="Q57" s="1234" t="e">
        <f ca="1">O57/N49</f>
        <v>#VALUE!</v>
      </c>
    </row>
    <row r="58" spans="1:17" ht="24.75">
      <c r="A58" s="2010" t="s">
        <v>1551</v>
      </c>
      <c r="B58" s="3488" t="s">
        <v>1569</v>
      </c>
      <c r="C58" s="3476"/>
      <c r="D58" s="12">
        <f ca="1">IF(H58="转让取得",C81,C97)</f>
        <v>1006</v>
      </c>
      <c r="E58" s="2020" t="s">
        <v>1564</v>
      </c>
      <c r="F58" s="235" t="s">
        <v>48</v>
      </c>
      <c r="G58" s="2494"/>
      <c r="H58" s="2496" t="s">
        <v>1570</v>
      </c>
      <c r="I58" s="2900"/>
      <c r="J58" s="2773"/>
      <c r="K58" s="3417"/>
      <c r="L58" s="3417"/>
      <c r="M58" s="2462" t="s">
        <v>2520</v>
      </c>
      <c r="N58" s="2466"/>
      <c r="O58" s="2467" t="str">
        <f ca="1">IF(H19="元",NUMBERSTRING(INT(O57),2)&amp;"元整",NUMBERSTRING(INT(O57*10000),2)&amp;"元整")</f>
        <v>玖拾叁万元整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1689</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1773</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1689</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93</v>
      </c>
      <c r="D68" s="2170">
        <f>'数据-取费表'!E29</f>
        <v>5.5000000000000007E-2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1689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8</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8</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1681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210.125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1006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1689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8</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8</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1681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210.125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1006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比较法-商业</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2059</v>
      </c>
      <c r="D101" s="2727">
        <f ca="1">D19</f>
        <v>1345</v>
      </c>
      <c r="E101" s="1389"/>
      <c r="F101" s="3461" t="str">
        <f>项目基本情况!I1</f>
        <v>北京市房地产</v>
      </c>
      <c r="G101" s="3463"/>
      <c r="H101" s="3465">
        <f>项目基本情况!C12</f>
        <v>661.27</v>
      </c>
      <c r="I101" s="3462"/>
      <c r="J101" s="2780"/>
    </row>
    <row r="102" spans="1:36" ht="12.75">
      <c r="A102" s="3478"/>
      <c r="B102" s="2235" t="s">
        <v>2571</v>
      </c>
      <c r="C102" s="2728">
        <f ca="1">C20</f>
        <v>31140</v>
      </c>
      <c r="D102" s="2729">
        <f ca="1">D20</f>
        <v>20332</v>
      </c>
      <c r="E102" s="1389"/>
      <c r="F102" s="3448" t="s">
        <v>2567</v>
      </c>
      <c r="G102" s="3449"/>
      <c r="H102" s="2737" t="str">
        <f>C106</f>
        <v>总价（万元）</v>
      </c>
      <c r="I102" s="2738">
        <f ca="1">H121</f>
        <v>1773</v>
      </c>
      <c r="J102" s="2780"/>
    </row>
    <row r="103" spans="1:36" ht="12.75">
      <c r="A103" s="3478" t="s">
        <v>2572</v>
      </c>
      <c r="B103" s="2173" t="str">
        <f>B101</f>
        <v>总价（万元）</v>
      </c>
      <c r="C103" s="2732">
        <f ca="1">H121</f>
        <v>1773</v>
      </c>
      <c r="D103" s="2730"/>
      <c r="E103" s="1389"/>
      <c r="F103" s="3448"/>
      <c r="G103" s="3449"/>
      <c r="H103" s="2737" t="s">
        <v>2540</v>
      </c>
      <c r="I103" s="52">
        <f ca="1">I121</f>
        <v>26812</v>
      </c>
      <c r="J103" s="2764"/>
    </row>
    <row r="104" spans="1:36" ht="13.5" thickBot="1">
      <c r="A104" s="3479"/>
      <c r="B104" s="2734" t="s">
        <v>2571</v>
      </c>
      <c r="C104" s="2735">
        <f ca="1">I121</f>
        <v>26812</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1773</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26812</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1773</v>
      </c>
      <c r="J110" s="2780"/>
    </row>
    <row r="111" spans="1:36" ht="12.75">
      <c r="A111" s="3450" t="s">
        <v>2545</v>
      </c>
      <c r="B111" s="3451"/>
      <c r="C111" s="2739" t="str">
        <f>C108</f>
        <v>总额（万元）</v>
      </c>
      <c r="D111" s="52">
        <f>C38</f>
        <v>0</v>
      </c>
      <c r="E111" s="1389"/>
      <c r="F111" s="3433"/>
      <c r="G111" s="3434"/>
      <c r="H111" s="2737" t="s">
        <v>2540</v>
      </c>
      <c r="I111" s="2741">
        <f ca="1">D113</f>
        <v>26812</v>
      </c>
      <c r="J111" s="2783"/>
    </row>
    <row r="112" spans="1:36" ht="26.25" customHeight="1">
      <c r="A112" s="3448" t="str">
        <f>IF(项目基本情况!F5="已注销","——","3.房地产抵押价值")</f>
        <v>3.房地产抵押价值</v>
      </c>
      <c r="B112" s="3449"/>
      <c r="C112" s="2737" t="str">
        <f>B101</f>
        <v>总价（万元）</v>
      </c>
      <c r="D112" s="2738">
        <f ca="1">IF(A112="——","——",D106-D108)</f>
        <v>1773</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26812</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661.27</v>
      </c>
      <c r="C121" s="2020">
        <f>项目基本情况!C13</f>
        <v>0</v>
      </c>
      <c r="D121" s="2020">
        <f ca="1">ROUND(IF(B32="总价",C34,IF('数据-取费表'!B3="万元",E121*B121/10000,E121*B121)),0)</f>
        <v>1363</v>
      </c>
      <c r="E121" s="2020">
        <f ca="1">ROUND(IF(B32="楼面单价",C34,IF(H19="元",D121/B121,D121*10000/B121)),0)</f>
        <v>20612</v>
      </c>
      <c r="F121" s="2020">
        <f ca="1">ROUND(IF(B32="总价",C35,IF('数据-取费表'!B3="万元",G121*B121/10000,G121*B121)),0)</f>
        <v>410</v>
      </c>
      <c r="G121" s="2020">
        <f ca="1">ROUND(IF(B32="楼面单价",C35,IF(H19="元",F121/B121,F121*10000/B121)),0)</f>
        <v>6200</v>
      </c>
      <c r="H121" s="2020">
        <f ca="1">ROUND(IF(B32="总价",C32,IF('数据-取费表'!B3="万元",I121*B121/10000,I121*B121)),0)</f>
        <v>1773</v>
      </c>
      <c r="I121" s="52">
        <f ca="1">ROUND(IF(B32="楼面单价",C32,IF(H19="元",H121/B121,H121*10000/B121)),0)</f>
        <v>26812</v>
      </c>
      <c r="J121" s="2764"/>
    </row>
    <row r="122" spans="1:16" ht="12.75">
      <c r="A122" s="3441" t="s">
        <v>2557</v>
      </c>
      <c r="B122" s="3437"/>
      <c r="C122" s="3437"/>
      <c r="D122" s="3472" t="str">
        <f ca="1">IF(H19="元",NUMBERSTRING(INT(D121),2)&amp;"元整",NUMBERSTRING(INT(D121*10000),2)&amp;"元整")</f>
        <v>壹仟叁佰陆拾叁万元整</v>
      </c>
      <c r="E122" s="3473"/>
      <c r="F122" s="3472" t="str">
        <f ca="1">IF(H19="元",NUMBERSTRING(INT(F121),2)&amp;"元整",NUMBERSTRING(INT(F121*10000),2)&amp;"元整")</f>
        <v>肆佰壹拾万元整</v>
      </c>
      <c r="G122" s="3473"/>
      <c r="H122" s="3472" t="str">
        <f ca="1">IF(H19="元",NUMBERSTRING(INT(H121),2)&amp;"元整",NUMBERSTRING(INT(H121*10000),2)&amp;"元整")</f>
        <v>壹仟柒佰柒拾叁万元整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1773</v>
      </c>
      <c r="E125" s="3474"/>
      <c r="F125" s="3474"/>
      <c r="G125" s="3474"/>
      <c r="H125" s="3474"/>
      <c r="I125" s="3462"/>
      <c r="J125" s="2780"/>
    </row>
    <row r="126" spans="1:16" ht="12.75">
      <c r="A126" s="3441" t="s">
        <v>2557</v>
      </c>
      <c r="B126" s="3437"/>
      <c r="C126" s="3437"/>
      <c r="D126" s="3513">
        <f ca="1">I111</f>
        <v>26812</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44728</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80" zoomScaleNormal="70" zoomScaleSheetLayoutView="80" workbookViewId="0">
      <selection activeCell="N42" sqref="N4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2059</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31140</v>
      </c>
      <c r="C3" s="1588" t="s">
        <v>2005</v>
      </c>
      <c r="D3" s="1588">
        <f>IF(C1="仅计算典型户型",'数据-取费表'!E5,'数据-取费表'!B5)</f>
        <v>661.27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44728</v>
      </c>
      <c r="D7" s="1604">
        <v>100</v>
      </c>
      <c r="E7" s="1605">
        <f>C7</f>
        <v>44728</v>
      </c>
      <c r="F7" s="1606">
        <f>SUMIF(58:58,YEAR(E7)&amp;"-"&amp;MONTH(E7),59:59)</f>
        <v>100</v>
      </c>
      <c r="G7" s="1605">
        <f>E7</f>
        <v>44728</v>
      </c>
      <c r="H7" s="1604">
        <f>SUMIF(58:58,YEAR(G7)&amp;"-"&amp;MONTH(G7),59:59)</f>
        <v>100</v>
      </c>
      <c r="I7" s="1605">
        <f>E7</f>
        <v>44728</v>
      </c>
      <c r="J7" s="1604">
        <f>SUMIF(58:58,YEAR(I7)&amp;"-"&amp;MONTH(I7),59:59)</f>
        <v>100</v>
      </c>
      <c r="K7" s="1896"/>
      <c r="L7" s="2915"/>
      <c r="M7" s="2888"/>
      <c r="N7" s="2888"/>
      <c r="O7" s="2888"/>
      <c r="P7" s="3619" t="s">
        <v>2020</v>
      </c>
      <c r="Q7" s="3621"/>
      <c r="R7" s="1609" t="s">
        <v>25</v>
      </c>
      <c r="S7" s="1610">
        <f t="shared" ref="S7:S15" si="0">F7</f>
        <v>100</v>
      </c>
      <c r="T7" s="1609" t="s">
        <v>25</v>
      </c>
      <c r="U7" s="1610">
        <f t="shared" ref="U7:U15" si="1">H7</f>
        <v>100</v>
      </c>
      <c r="V7" s="1609" t="s">
        <v>25</v>
      </c>
      <c r="W7" s="1610">
        <f t="shared" ref="W7:W15" si="2">J7</f>
        <v>100</v>
      </c>
      <c r="X7" s="1611"/>
      <c r="Y7" s="3619" t="s">
        <v>2020</v>
      </c>
      <c r="Z7" s="3620"/>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19" t="s">
        <v>2023</v>
      </c>
      <c r="Q8" s="3620"/>
      <c r="R8" s="1609" t="s">
        <v>25</v>
      </c>
      <c r="S8" s="1610">
        <f t="shared" si="0"/>
        <v>100</v>
      </c>
      <c r="T8" s="1609" t="s">
        <v>25</v>
      </c>
      <c r="U8" s="1610">
        <f t="shared" si="1"/>
        <v>100</v>
      </c>
      <c r="V8" s="1609" t="s">
        <v>25</v>
      </c>
      <c r="W8" s="1610">
        <f t="shared" si="2"/>
        <v>100</v>
      </c>
      <c r="X8" s="1611"/>
      <c r="Y8" s="3619" t="s">
        <v>2023</v>
      </c>
      <c r="Z8" s="3620"/>
      <c r="AA8" s="1612">
        <f t="shared" ref="AA8:AA46" si="3">D8/F8</f>
        <v>1</v>
      </c>
      <c r="AB8" s="1612">
        <f t="shared" ref="AB8:AB46" si="4">D8/H8</f>
        <v>1</v>
      </c>
      <c r="AC8" s="1612">
        <f t="shared" ref="AC8:AC46" si="5">D8/J8</f>
        <v>1</v>
      </c>
    </row>
    <row r="9" spans="1:29" s="1613" customFormat="1" ht="15">
      <c r="A9" s="1995" t="s">
        <v>2024</v>
      </c>
      <c r="B9" s="1616" t="s">
        <v>2025</v>
      </c>
      <c r="C9" s="3731" t="s">
        <v>3042</v>
      </c>
      <c r="D9" s="1618">
        <v>100</v>
      </c>
      <c r="E9" s="1619" t="s">
        <v>3037</v>
      </c>
      <c r="F9" s="1620">
        <f>SUMIF(63:63,E9,64:64)-SUMIF(63:63,C9,64:64)+100</f>
        <v>100</v>
      </c>
      <c r="G9" s="1619" t="s">
        <v>3037</v>
      </c>
      <c r="H9" s="1618">
        <f>SUMIF(63:63,G9,64:64)-SUMIF(63:63,C9,64:64)+100</f>
        <v>100</v>
      </c>
      <c r="I9" s="1619" t="s">
        <v>3037</v>
      </c>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22"/>
      <c r="Q11" s="1994"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t="s">
        <v>3043</v>
      </c>
      <c r="D28" s="1640">
        <v>100</v>
      </c>
      <c r="E28" s="1920">
        <v>1</v>
      </c>
      <c r="F28" s="1683">
        <f>SUMIF(92:92,E28,93:93)-SUMIF(92:92,C28,93:93)+100</f>
        <v>120</v>
      </c>
      <c r="G28" s="1920">
        <v>1</v>
      </c>
      <c r="H28" s="1640">
        <f>SUMIF(92:92,G28,93:93)-SUMIF(92:92,C28,93:93)+100</f>
        <v>120</v>
      </c>
      <c r="I28" s="1920">
        <v>1</v>
      </c>
      <c r="J28" s="1640">
        <f>SUMIF(92:92,I28,93:93)-SUMIF(92:92,C28,93:93)+100</f>
        <v>120</v>
      </c>
      <c r="K28" s="1918"/>
      <c r="L28" s="2920"/>
      <c r="M28" s="2916"/>
      <c r="N28" s="2916"/>
      <c r="O28" s="2916"/>
      <c r="P28" s="3626"/>
      <c r="Q28" s="2000" t="str">
        <f t="shared" si="11"/>
        <v>楼层</v>
      </c>
      <c r="R28" s="1654" t="s">
        <v>25</v>
      </c>
      <c r="S28" s="1655">
        <f t="shared" ref="S28:S46" si="12">F28</f>
        <v>120</v>
      </c>
      <c r="T28" s="1654" t="s">
        <v>25</v>
      </c>
      <c r="U28" s="1655">
        <f t="shared" ref="U28:U46" si="13">H28</f>
        <v>120</v>
      </c>
      <c r="V28" s="1654" t="s">
        <v>25</v>
      </c>
      <c r="W28" s="1655">
        <f t="shared" ref="W28:W46" si="14">J28</f>
        <v>120</v>
      </c>
      <c r="X28" s="2003"/>
      <c r="Y28" s="3613"/>
      <c r="Z28" s="2007" t="str">
        <f t="shared" ref="Z28:Z46" si="15">Q28</f>
        <v>楼层</v>
      </c>
      <c r="AA28" s="1998">
        <f t="shared" si="3"/>
        <v>0.83333333333333337</v>
      </c>
      <c r="AB28" s="1998">
        <f t="shared" si="4"/>
        <v>0.83333333333333337</v>
      </c>
      <c r="AC28" s="1998">
        <f t="shared" si="5"/>
        <v>0.83333333333333337</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f>项目基本情况!C12</f>
        <v>661.27</v>
      </c>
      <c r="D33" s="1626">
        <v>100</v>
      </c>
      <c r="E33" s="1633">
        <v>152.30000000000001</v>
      </c>
      <c r="F33" s="1628">
        <f>LOOKUP(E33,103:103,104:104)-LOOKUP(C33,103:103,104:104)+100</f>
        <v>102</v>
      </c>
      <c r="G33" s="1632">
        <v>45</v>
      </c>
      <c r="H33" s="1626">
        <f>LOOKUP(G33,103:103,104:104)-LOOKUP(C33,103:103,104:104)+100</f>
        <v>104</v>
      </c>
      <c r="I33" s="1632">
        <v>110</v>
      </c>
      <c r="J33" s="1626">
        <f>LOOKUP(I33,103:103,104:104)-LOOKUP(C33,103:103,104:104)+100</f>
        <v>102</v>
      </c>
      <c r="K33" s="1918"/>
      <c r="L33" s="2919"/>
      <c r="M33" s="1988"/>
      <c r="N33" s="1988"/>
      <c r="O33" s="1988"/>
      <c r="P33" s="3615"/>
      <c r="Q33" s="1695" t="str">
        <f t="shared" si="11"/>
        <v>项目建筑规模</v>
      </c>
      <c r="R33" s="1696" t="s">
        <v>25</v>
      </c>
      <c r="S33" s="1697">
        <f t="shared" si="12"/>
        <v>102</v>
      </c>
      <c r="T33" s="1696" t="s">
        <v>25</v>
      </c>
      <c r="U33" s="1697">
        <f t="shared" si="13"/>
        <v>104</v>
      </c>
      <c r="V33" s="1696" t="s">
        <v>25</v>
      </c>
      <c r="W33" s="1697">
        <f t="shared" si="14"/>
        <v>102</v>
      </c>
      <c r="X33" s="1698"/>
      <c r="Y33" s="3617"/>
      <c r="Z33" s="1699" t="str">
        <f t="shared" si="15"/>
        <v>项目建筑规模</v>
      </c>
      <c r="AA33" s="1998">
        <f t="shared" si="3"/>
        <v>0.98039215686274506</v>
      </c>
      <c r="AB33" s="1998">
        <f t="shared" si="4"/>
        <v>0.96153846153846156</v>
      </c>
      <c r="AC33" s="1998">
        <f t="shared" si="5"/>
        <v>0.98039215686274506</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f>'数据-取费表'!E20</f>
        <v>0.88</v>
      </c>
      <c r="D36" s="1640">
        <v>100</v>
      </c>
      <c r="E36" s="1705">
        <v>0.8</v>
      </c>
      <c r="F36" s="1683">
        <f>LOOKUP(E36,110:110,111:111)-LOOKUP(C36,110:110,111:111)+100</f>
        <v>100</v>
      </c>
      <c r="G36" s="1705">
        <v>0.8</v>
      </c>
      <c r="H36" s="1683">
        <f>LOOKUP(G36,110:110,111:111)-LOOKUP(C36,110:110,111:111)+100</f>
        <v>100</v>
      </c>
      <c r="I36" s="1705">
        <v>0.8</v>
      </c>
      <c r="J36" s="1640">
        <f>LOOKUP(I36,110:110,111:111)-LOOKUP(C36,110:110,111:111)+100</f>
        <v>100</v>
      </c>
      <c r="K36" s="1921">
        <v>2</v>
      </c>
      <c r="L36" s="2920"/>
      <c r="M36" s="2916"/>
      <c r="N36" s="2916"/>
      <c r="O36" s="2916"/>
      <c r="P36" s="3615"/>
      <c r="Q36" s="2000" t="str">
        <f t="shared" si="11"/>
        <v>成新度</v>
      </c>
      <c r="R36" s="1654" t="s">
        <v>25</v>
      </c>
      <c r="S36" s="1655">
        <f t="shared" si="12"/>
        <v>100</v>
      </c>
      <c r="T36" s="1654" t="s">
        <v>25</v>
      </c>
      <c r="U36" s="1655">
        <f t="shared" si="13"/>
        <v>100</v>
      </c>
      <c r="V36" s="1654" t="s">
        <v>25</v>
      </c>
      <c r="W36" s="1655">
        <f t="shared" si="14"/>
        <v>100</v>
      </c>
      <c r="X36" s="2003"/>
      <c r="Y36" s="3617"/>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t="s">
        <v>3052</v>
      </c>
      <c r="D38" s="1640">
        <v>100</v>
      </c>
      <c r="E38" s="1684" t="s">
        <v>3054</v>
      </c>
      <c r="F38" s="1683">
        <f>SUMIF(114:114,E38,115:115)-SUMIF(114:114,C38,115:115)+100</f>
        <v>90</v>
      </c>
      <c r="G38" s="1684" t="s">
        <v>3052</v>
      </c>
      <c r="H38" s="1640">
        <f>SUMIF(114:114,G38,115:115)-SUMIF(114:114,C38,115:115)+100</f>
        <v>100</v>
      </c>
      <c r="I38" s="1684" t="s">
        <v>3052</v>
      </c>
      <c r="J38" s="1640">
        <f>SUMIF(114:114,I38,115:115)-SUMIF(114:114,C38,115:115)+100</f>
        <v>100</v>
      </c>
      <c r="K38" s="1921">
        <v>10</v>
      </c>
      <c r="L38" s="2920"/>
      <c r="M38" s="2916"/>
      <c r="N38" s="2916"/>
      <c r="O38" s="2916"/>
      <c r="P38" s="3615" t="s">
        <v>2037</v>
      </c>
      <c r="Q38" s="2000" t="str">
        <f t="shared" si="11"/>
        <v>业态</v>
      </c>
      <c r="R38" s="1654" t="s">
        <v>25</v>
      </c>
      <c r="S38" s="1655">
        <f t="shared" si="12"/>
        <v>90</v>
      </c>
      <c r="T38" s="1654" t="s">
        <v>25</v>
      </c>
      <c r="U38" s="1655">
        <f t="shared" si="13"/>
        <v>100</v>
      </c>
      <c r="V38" s="1654" t="s">
        <v>25</v>
      </c>
      <c r="W38" s="1655">
        <f t="shared" si="14"/>
        <v>100</v>
      </c>
      <c r="X38" s="2003"/>
      <c r="Y38" s="3617" t="s">
        <v>2037</v>
      </c>
      <c r="Z38" s="2007" t="str">
        <f t="shared" si="15"/>
        <v>业态</v>
      </c>
      <c r="AA38" s="1998">
        <f t="shared" si="3"/>
        <v>1.1111111111111112</v>
      </c>
      <c r="AB38" s="1998">
        <f t="shared" si="4"/>
        <v>1</v>
      </c>
      <c r="AC38" s="1998">
        <f t="shared" si="5"/>
        <v>1</v>
      </c>
    </row>
    <row r="39" spans="1:29" ht="15">
      <c r="A39" s="1701"/>
      <c r="B39" s="1624" t="s">
        <v>2128</v>
      </c>
      <c r="C39" s="1684" t="s">
        <v>3050</v>
      </c>
      <c r="D39" s="1640">
        <v>100</v>
      </c>
      <c r="E39" s="1684" t="s">
        <v>3050</v>
      </c>
      <c r="F39" s="1683">
        <f>SUMIF(116:116,E39,117:117)-SUMIF(116:116,C39,117:117)+100</f>
        <v>100</v>
      </c>
      <c r="G39" s="1684" t="s">
        <v>3048</v>
      </c>
      <c r="H39" s="1640">
        <f>SUMIF(116:116,G39,117:117)-SUMIF(116:116,C39,117:117)+100</f>
        <v>110</v>
      </c>
      <c r="I39" s="1684" t="s">
        <v>3050</v>
      </c>
      <c r="J39" s="1640">
        <f>SUMIF(116:116,I39,117:117)-SUMIF(116:116,C39,117:117)+100</f>
        <v>100</v>
      </c>
      <c r="K39" s="1921">
        <v>10</v>
      </c>
      <c r="L39" s="2920"/>
      <c r="M39" s="2916"/>
      <c r="N39" s="2916"/>
      <c r="O39" s="2916"/>
      <c r="P39" s="3615"/>
      <c r="Q39" s="2000" t="str">
        <f t="shared" si="11"/>
        <v>层高</v>
      </c>
      <c r="R39" s="1654" t="s">
        <v>25</v>
      </c>
      <c r="S39" s="1655">
        <f t="shared" si="12"/>
        <v>100</v>
      </c>
      <c r="T39" s="1654" t="s">
        <v>25</v>
      </c>
      <c r="U39" s="1655">
        <f t="shared" si="13"/>
        <v>110</v>
      </c>
      <c r="V39" s="1654" t="s">
        <v>25</v>
      </c>
      <c r="W39" s="1655">
        <f t="shared" si="14"/>
        <v>100</v>
      </c>
      <c r="X39" s="2003"/>
      <c r="Y39" s="3617"/>
      <c r="Z39" s="2007" t="str">
        <f t="shared" si="15"/>
        <v>层高</v>
      </c>
      <c r="AA39" s="1998">
        <f t="shared" si="3"/>
        <v>1</v>
      </c>
      <c r="AB39" s="1998">
        <f t="shared" si="4"/>
        <v>0.90909090909090906</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v>30000</v>
      </c>
      <c r="F47" s="1715"/>
      <c r="G47" s="1716">
        <v>46000</v>
      </c>
      <c r="H47" s="1717"/>
      <c r="I47" s="1714">
        <v>40000</v>
      </c>
      <c r="J47" s="1717"/>
      <c r="K47" s="1942"/>
      <c r="L47" s="2921"/>
      <c r="N47" s="2916"/>
      <c r="P47" s="3623" t="str">
        <f>A47</f>
        <v>成交单价（元/平方米）</v>
      </c>
      <c r="Q47" s="3623"/>
      <c r="R47" s="3624">
        <f>E47</f>
        <v>30000</v>
      </c>
      <c r="S47" s="3624"/>
      <c r="T47" s="3624">
        <f>G47</f>
        <v>46000</v>
      </c>
      <c r="U47" s="3624"/>
      <c r="V47" s="3624">
        <f>I47</f>
        <v>40000</v>
      </c>
      <c r="W47" s="3624"/>
      <c r="X47" s="1720"/>
      <c r="Y47" s="2002"/>
      <c r="Z47" s="1720"/>
      <c r="AA47" s="1720"/>
      <c r="AB47" s="1720"/>
      <c r="AC47" s="1720"/>
    </row>
    <row r="48" spans="1:29" ht="15.75" thickBot="1">
      <c r="A48" s="1722" t="s">
        <v>2132</v>
      </c>
      <c r="B48" s="1723"/>
      <c r="C48" s="1724">
        <f>R49</f>
        <v>31140</v>
      </c>
      <c r="D48" s="1725" t="s">
        <v>2503</v>
      </c>
      <c r="E48" s="1726">
        <f>R48</f>
        <v>27233</v>
      </c>
      <c r="F48" s="1727"/>
      <c r="G48" s="1724">
        <f>T48</f>
        <v>33508</v>
      </c>
      <c r="H48" s="1727"/>
      <c r="I48" s="1726">
        <f>V48</f>
        <v>32680</v>
      </c>
      <c r="J48" s="1727"/>
      <c r="K48" s="2429">
        <f>F48+H48+J48</f>
        <v>0</v>
      </c>
      <c r="L48" s="2921"/>
      <c r="N48" s="2916"/>
      <c r="P48" s="3623" t="str">
        <f>A48</f>
        <v>比较价值（元/平方米）</v>
      </c>
      <c r="Q48" s="3623"/>
      <c r="R48" s="3624">
        <f>IF(E1="售价",ROUND(PRODUCT(R47,AA7:AA46),0),ROUND(PRODUCT(R47,AA7:AA46),1))</f>
        <v>27233</v>
      </c>
      <c r="S48" s="3624"/>
      <c r="T48" s="3624">
        <f>IF(E1="售价",ROUND(PRODUCT(T47,AB7:AB46),0),ROUND(PRODUCT(T47,AB7:AB46),1))</f>
        <v>33508</v>
      </c>
      <c r="U48" s="3624"/>
      <c r="V48" s="3624">
        <f>IF(E1="售价",ROUND(PRODUCT(V47,AC7:AC46),0),ROUND(PRODUCT(V47,AC7:AC46),1))</f>
        <v>32680</v>
      </c>
      <c r="W48" s="3624"/>
      <c r="X48" s="1720"/>
      <c r="Y48" s="1720"/>
      <c r="Z48" s="1720"/>
      <c r="AA48" s="1720"/>
      <c r="AB48" s="1720"/>
      <c r="AC48" s="1720"/>
    </row>
    <row r="49" spans="1:29" ht="15.75" thickBot="1">
      <c r="A49" s="1728" t="s">
        <v>2133</v>
      </c>
      <c r="B49" s="1729"/>
      <c r="C49" s="1731">
        <f>R49</f>
        <v>31140</v>
      </c>
      <c r="D49" s="1731"/>
      <c r="E49" s="1731"/>
      <c r="F49" s="1731"/>
      <c r="G49" s="1731"/>
      <c r="H49" s="1731"/>
      <c r="I49" s="1731"/>
      <c r="J49" s="1731"/>
      <c r="K49" s="1947"/>
      <c r="L49" s="2921"/>
      <c r="N49" s="2916"/>
      <c r="P49" s="3629" t="str">
        <f>A49</f>
        <v>估价对象XX用房的比较价值（楼面单价，元/平方米）</v>
      </c>
      <c r="Q49" s="3630"/>
      <c r="R49" s="3631">
        <f>IF(E1="售价",ROUND(IF(D48="简单平均",AVERAGE(R48:V48),R48*F48+T48*H48+V48*J48),0),ROUND(IF(D48="简单平均",AVERAGE(R48:V48),R48*F48+T48*H48+V48*J48),1))</f>
        <v>31140</v>
      </c>
      <c r="S49" s="3631"/>
      <c r="T49" s="3631"/>
      <c r="U49" s="3631"/>
      <c r="V49" s="3631"/>
      <c r="W49" s="3631"/>
      <c r="X49" s="1720"/>
      <c r="Y49" s="1720"/>
      <c r="Z49" s="1720"/>
      <c r="AA49" s="1720"/>
      <c r="AB49" s="1720"/>
      <c r="AC49" s="1720"/>
    </row>
    <row r="50" spans="1:29">
      <c r="G50" s="2925"/>
      <c r="I50" s="3734" t="s">
        <v>3056</v>
      </c>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0.10160467080380431</v>
      </c>
      <c r="F52" s="1738" t="str">
        <f>IF(OR(E52&gt;=0.3,E52&lt;=-0.3),"超过30%","")</f>
        <v/>
      </c>
      <c r="G52" s="1737">
        <f>IF(G47&lt;G48,G48/G47-1,G47/G48-1)</f>
        <v>0.37280649397158894</v>
      </c>
      <c r="H52" s="1738" t="str">
        <f>IF(OR(G52&gt;=0.3,G52&lt;=-0.3),"超过30%","")</f>
        <v>超过30%</v>
      </c>
      <c r="I52" s="1737">
        <f>IF(I47&lt;I48,I48/I47-1,I47/I48-1)</f>
        <v>0.22399020807833536</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0.23041897697646241</v>
      </c>
      <c r="F53" s="1738" t="str">
        <f>IF(OR(E53&gt;=0.2,E53&lt;=-0.2),"超过20%","")</f>
        <v>超过20%</v>
      </c>
      <c r="G53" s="1737">
        <f>IF(G48&lt;I48,I48/G48-1,G48/I48-1)</f>
        <v>2.5336597307221487E-2</v>
      </c>
      <c r="H53" s="1738" t="str">
        <f>IF(OR(G53&gt;=0.2,G53&lt;=-0.2),"超过20%","")</f>
        <v/>
      </c>
      <c r="I53" s="1737">
        <f>IF(I48&lt;E48,E48/I48-1,I48/E48-1)</f>
        <v>0.20001468806227729</v>
      </c>
      <c r="J53" s="1738" t="str">
        <f>IF(OR(I53&gt;=0.2,I53&lt;=-0.2),"超过20%","")</f>
        <v>超过20%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0.53333333333333344</v>
      </c>
      <c r="F54" s="1738" t="str">
        <f>IF(OR(E54&gt;=0.3,E54&lt;=-0.3),"超过30%","")</f>
        <v>超过30%</v>
      </c>
      <c r="G54" s="1737">
        <f>IF(G47&lt;I47,I47/G47-1,G47/I47-1)</f>
        <v>0.14999999999999991</v>
      </c>
      <c r="H54" s="1738" t="str">
        <f>IF(OR(G54&gt;=0.3,G54&lt;=-0.3),"超过30%","")</f>
        <v/>
      </c>
      <c r="I54" s="1737">
        <f>IF(I47&lt;E47,E47/I47-1,I47/E47-1)</f>
        <v>0.33333333333333326</v>
      </c>
      <c r="J54" s="1738" t="str">
        <f>IF(OR(I54&gt;=0.3,I54&lt;=-0.3),"超过30%","")</f>
        <v>超过30%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3732" t="s">
        <v>3044</v>
      </c>
      <c r="D92" s="468">
        <v>1</v>
      </c>
      <c r="E92" s="468">
        <v>2</v>
      </c>
      <c r="F92" s="468"/>
      <c r="G92" s="468"/>
      <c r="H92" s="468"/>
      <c r="I92" s="468"/>
      <c r="J92" s="468"/>
      <c r="K92" s="468"/>
      <c r="L92" s="468"/>
      <c r="M92" s="1819"/>
      <c r="N92" s="2934"/>
      <c r="O92" s="2934"/>
      <c r="P92" s="1781"/>
      <c r="Q92" s="1750"/>
    </row>
    <row r="93" spans="1:17" ht="15.75" thickBot="1">
      <c r="A93" s="1782"/>
      <c r="B93" s="1790"/>
      <c r="C93" s="1784">
        <v>80</v>
      </c>
      <c r="D93" s="1784">
        <v>100</v>
      </c>
      <c r="E93" s="1784">
        <v>60</v>
      </c>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0(含)-50</v>
      </c>
      <c r="D102" s="579" t="str">
        <f t="shared" ref="D102:L102" si="22">D103&amp;"(含)"&amp;"-"&amp;E103</f>
        <v>50(含)-100</v>
      </c>
      <c r="E102" s="579" t="str">
        <f t="shared" si="22"/>
        <v>100(含)-300</v>
      </c>
      <c r="F102" s="579" t="str">
        <f t="shared" si="22"/>
        <v>300(含)-500</v>
      </c>
      <c r="G102" s="579" t="str">
        <f t="shared" si="22"/>
        <v>500(含)-1000</v>
      </c>
      <c r="H102" s="579" t="str">
        <f t="shared" si="22"/>
        <v>1000(含)-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50</v>
      </c>
      <c r="E103" s="1830">
        <v>100</v>
      </c>
      <c r="F103" s="1830">
        <v>300</v>
      </c>
      <c r="G103" s="1830">
        <v>500</v>
      </c>
      <c r="H103" s="1830">
        <v>1000</v>
      </c>
      <c r="I103" s="1830"/>
      <c r="J103" s="485"/>
      <c r="K103" s="485"/>
      <c r="L103" s="485"/>
      <c r="M103" s="1831"/>
      <c r="N103" s="2936"/>
      <c r="O103" s="2936"/>
      <c r="P103" s="1801"/>
      <c r="Q103" s="1802"/>
    </row>
    <row r="104" spans="1:17" s="1700" customFormat="1" ht="15.75" thickBot="1">
      <c r="A104" s="1798"/>
      <c r="B104" s="1790"/>
      <c r="C104" s="1803">
        <v>100</v>
      </c>
      <c r="D104" s="1784">
        <v>99</v>
      </c>
      <c r="E104" s="1784">
        <v>98</v>
      </c>
      <c r="F104" s="1784">
        <v>97</v>
      </c>
      <c r="G104" s="1784">
        <v>96</v>
      </c>
      <c r="H104" s="1784">
        <v>95</v>
      </c>
      <c r="I104" s="1784"/>
      <c r="J104" s="1784"/>
      <c r="K104" s="1784"/>
      <c r="L104" s="1784"/>
      <c r="M104" s="1785"/>
      <c r="N104" s="2935"/>
      <c r="O104" s="2935"/>
      <c r="P104" s="1801"/>
      <c r="Q104" s="1802"/>
    </row>
    <row r="105" spans="1:17" ht="15" thickTop="1">
      <c r="A105" s="1832"/>
      <c r="B105" s="1787" t="s">
        <v>2086</v>
      </c>
      <c r="C105" s="3733" t="s">
        <v>3045</v>
      </c>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733" t="s">
        <v>3053</v>
      </c>
      <c r="D114" s="3733" t="s">
        <v>3055</v>
      </c>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90</v>
      </c>
      <c r="E115" s="1791">
        <f t="shared" si="27"/>
        <v>80</v>
      </c>
      <c r="F115" s="1791">
        <f t="shared" si="27"/>
        <v>70</v>
      </c>
      <c r="G115" s="1791">
        <f t="shared" si="27"/>
        <v>60</v>
      </c>
      <c r="H115" s="1791">
        <f t="shared" si="27"/>
        <v>50</v>
      </c>
      <c r="I115" s="1791">
        <f t="shared" si="27"/>
        <v>40</v>
      </c>
      <c r="J115" s="1791">
        <f t="shared" si="27"/>
        <v>30</v>
      </c>
      <c r="K115" s="1791">
        <f t="shared" si="27"/>
        <v>20</v>
      </c>
      <c r="L115" s="1791">
        <f t="shared" si="27"/>
        <v>10</v>
      </c>
      <c r="M115" s="1792">
        <f t="shared" si="27"/>
        <v>0</v>
      </c>
      <c r="N115" s="2935"/>
      <c r="O115" s="2935"/>
      <c r="P115" s="1781"/>
      <c r="Q115" s="1750"/>
    </row>
    <row r="116" spans="1:17" ht="15" thickTop="1">
      <c r="A116" s="1832"/>
      <c r="B116" s="1787" t="s">
        <v>2141</v>
      </c>
      <c r="C116" s="3733" t="s">
        <v>3049</v>
      </c>
      <c r="D116" s="3733" t="s">
        <v>3051</v>
      </c>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90</v>
      </c>
      <c r="E117" s="1791">
        <f>D117-$K39</f>
        <v>80</v>
      </c>
      <c r="F117" s="1791">
        <f>E117-$K39</f>
        <v>70</v>
      </c>
      <c r="G117" s="1791">
        <f>F117-$K39</f>
        <v>60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44" sqref="J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1345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20332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869995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868909</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661.27</v>
      </c>
      <c r="G7" s="909"/>
      <c r="H7" s="237"/>
      <c r="I7" s="238"/>
      <c r="J7" s="239"/>
      <c r="K7" s="240"/>
      <c r="L7" s="235" t="s">
        <v>1777</v>
      </c>
      <c r="M7" s="236">
        <f>IF('数据-取费表'!B42="",IF(D1="仅计算典型户型",'数据-取费表'!E5,'数据-取费表'!B5),'数据-取费表'!B42)</f>
        <v>661.27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1086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3081639</v>
      </c>
      <c r="D13" s="1023" t="s">
        <v>1791</v>
      </c>
      <c r="E13" s="1023" t="s">
        <v>1792</v>
      </c>
      <c r="F13" s="1024">
        <f>'数据-取费表'!E20</f>
        <v>0.88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2314445</v>
      </c>
      <c r="D14" s="1256" t="s">
        <v>1795</v>
      </c>
      <c r="E14" s="1257"/>
      <c r="F14" s="757"/>
      <c r="G14" s="910"/>
      <c r="H14" s="253" t="s">
        <v>1774</v>
      </c>
      <c r="I14" s="235" t="s">
        <v>1796</v>
      </c>
      <c r="J14" s="13">
        <f ca="1">C29</f>
        <v>3501862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69433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64435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132254</v>
      </c>
      <c r="D17" s="235" t="s">
        <v>1809</v>
      </c>
      <c r="E17" s="235" t="s">
        <v>1810</v>
      </c>
      <c r="F17" s="15">
        <f>'数据-取费表'!E23</f>
        <v>200</v>
      </c>
      <c r="G17" s="910"/>
      <c r="H17" s="253" t="s">
        <v>1811</v>
      </c>
      <c r="I17" s="235" t="s">
        <v>1812</v>
      </c>
      <c r="J17" s="2745">
        <f ca="1">ROUND(IF(AND(项目基本情况!B7="自然人",项目基本情况!B6="北京市"),J6*M17/(1+'数据-取费表'!F30),J18+J19+J20),0)</f>
        <v>29416</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34717</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2550849</v>
      </c>
      <c r="D19" s="33" t="s">
        <v>1820</v>
      </c>
      <c r="E19" s="1261"/>
      <c r="F19" s="15"/>
      <c r="G19" s="910"/>
      <c r="H19" s="253" t="s">
        <v>1797</v>
      </c>
      <c r="I19" s="235" t="s">
        <v>1821</v>
      </c>
      <c r="J19" s="13">
        <f ca="1">IF(项目基本情况!B7="自然人","——",IF(K19="按租金收入计税",ROUND(J6*M19/(1+'数据-取费表'!F30),0),ROUND(C29*M19*0.7,0)))</f>
        <v>29416</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51017</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35019</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109279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-64435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520373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3501862</v>
      </c>
      <c r="D29" s="1034"/>
      <c r="E29" s="1032"/>
      <c r="F29" s="1035"/>
      <c r="G29" s="652"/>
      <c r="H29" s="271" t="s">
        <v>24</v>
      </c>
      <c r="I29" s="272" t="s">
        <v>1869</v>
      </c>
      <c r="J29" s="273">
        <f ca="1">ROUND(J26/(1+F40)^F41,0)</f>
        <v>0</v>
      </c>
      <c r="K29" s="274" t="s">
        <v>1870</v>
      </c>
      <c r="L29" s="275"/>
      <c r="M29" s="276">
        <f>IF(D1="仅计算典型户型",'数据-取费表'!E5,'数据-取费表'!B5)</f>
        <v>661.27</v>
      </c>
    </row>
    <row r="30" spans="1:37" ht="18" customHeight="1" thickTop="1">
      <c r="A30" s="1021" t="s">
        <v>14</v>
      </c>
      <c r="B30" s="1022" t="s">
        <v>1871</v>
      </c>
      <c r="C30" s="243">
        <f ca="1">ROUND(C31+C36+C37+C38,0)</f>
        <v>197509</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144818</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45514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99304</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215715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35019</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4622</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13050</v>
      </c>
      <c r="D38" s="1034" t="s">
        <v>1846</v>
      </c>
      <c r="E38" s="1032" t="s">
        <v>1842</v>
      </c>
      <c r="F38" s="1027">
        <f>'数据-取费表'!B47</f>
        <v>1.4999999999999999E-2</v>
      </c>
      <c r="G38" s="652"/>
      <c r="H38" s="901"/>
      <c r="I38" s="280" t="s">
        <v>1884</v>
      </c>
      <c r="J38" s="136">
        <f ca="1">ROUND(J34/C39,3)</f>
        <v>0.32100000000000001</v>
      </c>
      <c r="K38" s="906"/>
      <c r="L38" s="901"/>
      <c r="M38" s="901"/>
    </row>
    <row r="39" spans="1:18" ht="18" customHeight="1" thickTop="1">
      <c r="A39" s="1021" t="s">
        <v>22</v>
      </c>
      <c r="B39" s="1036" t="s">
        <v>1885</v>
      </c>
      <c r="C39" s="243">
        <f ca="1">C5-C30</f>
        <v>672486</v>
      </c>
      <c r="D39" s="1037" t="s">
        <v>1886</v>
      </c>
      <c r="E39" s="1038"/>
      <c r="F39" s="1039"/>
      <c r="G39" s="652"/>
      <c r="H39" s="901"/>
      <c r="I39" s="280" t="s">
        <v>1887</v>
      </c>
      <c r="J39" s="136">
        <f ca="1">1-J38</f>
        <v>0.67900000000000005</v>
      </c>
      <c r="K39" s="906"/>
      <c r="L39" s="901"/>
      <c r="M39" s="901"/>
    </row>
    <row r="40" spans="1:18" s="652" customFormat="1" ht="18" customHeight="1">
      <c r="A40" s="232" t="s">
        <v>23</v>
      </c>
      <c r="B40" s="233" t="s">
        <v>1888</v>
      </c>
      <c r="C40" s="234">
        <f ca="1">ROUND(C39*(1-((1+F42)/(1+F40))^F41)/(F40-F42),0)</f>
        <v>13318782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31.26</v>
      </c>
      <c r="H41" s="908"/>
      <c r="I41" s="135" t="s">
        <v>1762</v>
      </c>
      <c r="J41" s="136">
        <f ca="1">ROUND(C13/C40,3)</f>
        <v>0.23100000000000001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0.76900000000000002</v>
      </c>
      <c r="K42" s="905"/>
      <c r="L42" s="908"/>
      <c r="M42" s="908"/>
      <c r="Q42" s="656"/>
    </row>
    <row r="43" spans="1:18" s="652" customFormat="1" ht="18" customHeight="1" thickBot="1">
      <c r="A43" s="271" t="s">
        <v>24</v>
      </c>
      <c r="B43" s="272" t="s">
        <v>1891</v>
      </c>
      <c r="C43" s="273">
        <f ca="1">ROUND(C40/F43,0)</f>
        <v>20141</v>
      </c>
      <c r="D43" s="274" t="s">
        <v>1892</v>
      </c>
      <c r="E43" s="275" t="s">
        <v>1893</v>
      </c>
      <c r="F43" s="276">
        <f>IF(D1="仅计算典型户型",'数据-取费表'!E5,'数据-取费表'!B5)</f>
        <v>661.27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13318782</v>
      </c>
      <c r="R45" s="1008" t="s">
        <v>1900</v>
      </c>
    </row>
    <row r="46" spans="1:18" s="652" customFormat="1" ht="18" customHeight="1" thickBot="1">
      <c r="A46" s="649"/>
      <c r="D46" s="649"/>
      <c r="E46" s="649"/>
      <c r="F46" s="649"/>
      <c r="K46" s="653"/>
      <c r="O46" s="1005" t="s">
        <v>768</v>
      </c>
      <c r="P46" s="1006" t="s">
        <v>1901</v>
      </c>
      <c r="Q46" s="1007">
        <f ca="1">J61</f>
        <v>126338</v>
      </c>
      <c r="R46" s="1008" t="s">
        <v>1902</v>
      </c>
    </row>
    <row r="47" spans="1:18" s="652" customFormat="1" ht="21.75" thickBot="1">
      <c r="A47" s="1455" t="s">
        <v>1903</v>
      </c>
      <c r="C47" s="950">
        <f ca="1">IF(C2="元",C69-C40,ROUND((C69-C40)/10000,0))</f>
        <v>-1825</v>
      </c>
      <c r="D47" s="1456" t="str">
        <f>C2</f>
        <v>万元</v>
      </c>
      <c r="E47" s="649"/>
      <c r="F47" s="649"/>
      <c r="I47" s="1457" t="s">
        <v>1904</v>
      </c>
      <c r="J47" s="981"/>
      <c r="K47" s="982"/>
      <c r="L47" s="995">
        <f ca="1">IF(M48="住宅",0,IF(L49&gt;J52,L61,J61))</f>
        <v>126338</v>
      </c>
      <c r="O47" s="1009" t="s">
        <v>769</v>
      </c>
      <c r="P47" s="1006" t="s">
        <v>1905</v>
      </c>
      <c r="Q47" s="1007">
        <f ca="1">C29</f>
        <v>3501862</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31.26</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2015</v>
      </c>
      <c r="K50" s="1465" t="s">
        <v>1921</v>
      </c>
      <c r="L50" s="984"/>
      <c r="O50" s="1009" t="s">
        <v>772</v>
      </c>
      <c r="P50" s="1006" t="s">
        <v>1922</v>
      </c>
      <c r="Q50" s="1007">
        <f>J54</f>
        <v>31.26</v>
      </c>
      <c r="R50" s="1008" t="s">
        <v>1923</v>
      </c>
    </row>
    <row r="51" spans="1:18" s="652" customFormat="1" ht="15.75" thickBot="1">
      <c r="A51" s="237"/>
      <c r="B51" s="238"/>
      <c r="C51" s="239"/>
      <c r="D51" s="240"/>
      <c r="E51" s="255" t="s">
        <v>1777</v>
      </c>
      <c r="F51" s="943">
        <f>F7</f>
        <v>661.27</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1345</v>
      </c>
      <c r="R51" s="1008" t="s">
        <v>774</v>
      </c>
    </row>
    <row r="52" spans="1:18" s="652" customFormat="1" ht="16.5" thickBot="1">
      <c r="A52" s="237"/>
      <c r="B52" s="238"/>
      <c r="C52" s="239"/>
      <c r="D52" s="240"/>
      <c r="E52" s="235" t="s">
        <v>1779</v>
      </c>
      <c r="F52" s="236">
        <f>F8</f>
        <v>365</v>
      </c>
      <c r="I52" s="1466" t="s">
        <v>1926</v>
      </c>
      <c r="J52" s="986">
        <f>IF(J50="",J51,J50+J51-YEAR('数据-取费表'!B2))</f>
        <v>53</v>
      </c>
      <c r="K52" s="1467" t="s">
        <v>1927</v>
      </c>
      <c r="L52" s="987">
        <f ca="1">ROUND(-PV('数据-取费表'!B15,J52,(C40-C13*J35)),0)</f>
        <v>242320301</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31.26</v>
      </c>
      <c r="K54" s="3557" t="s">
        <v>2460</v>
      </c>
      <c r="L54" s="3558"/>
      <c r="O54" s="1005" t="s">
        <v>767</v>
      </c>
      <c r="P54" s="1006" t="s">
        <v>1899</v>
      </c>
      <c r="Q54" s="1007">
        <f ca="1">C40+J29</f>
        <v>13318782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0.36199999999999999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3081639</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3501862</v>
      </c>
      <c r="D58" s="941"/>
      <c r="E58" s="942"/>
      <c r="F58" s="949"/>
      <c r="I58" s="1476" t="s">
        <v>1939</v>
      </c>
      <c r="J58" s="992">
        <f>IF(OR(M48="住宅",J52&lt;L49,J57="是"),"——",J52-L49)</f>
        <v>21.74</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333797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294156</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1400745</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1332</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126338</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294156</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13318782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35019</v>
      </c>
      <c r="D65" s="1259" t="s">
        <v>1881</v>
      </c>
      <c r="E65" s="235" t="s">
        <v>1825</v>
      </c>
      <c r="F65" s="265">
        <f t="shared" si="0"/>
        <v>0.01</v>
      </c>
      <c r="I65" s="1479" t="s">
        <v>1961</v>
      </c>
      <c r="J65" s="1251">
        <v>50</v>
      </c>
      <c r="K65" s="1251">
        <v>35</v>
      </c>
      <c r="L65" s="1251">
        <v>60</v>
      </c>
      <c r="M65" s="1250">
        <v>0</v>
      </c>
      <c r="O65" s="1009" t="s">
        <v>769</v>
      </c>
      <c r="P65" s="1006" t="s">
        <v>1935</v>
      </c>
      <c r="Q65" s="1011">
        <f ca="1">L52</f>
        <v>242320301</v>
      </c>
      <c r="R65" s="1012" t="s">
        <v>1962</v>
      </c>
    </row>
    <row r="66" spans="1:18" s="652" customFormat="1" ht="20.25" thickBot="1">
      <c r="A66" s="253" t="s">
        <v>20</v>
      </c>
      <c r="B66" s="235" t="s">
        <v>1840</v>
      </c>
      <c r="C66" s="13">
        <f ca="1">ROUND(C57*F66,0)</f>
        <v>4622</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456771</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672486</v>
      </c>
      <c r="R67" s="1008" t="s">
        <v>1900</v>
      </c>
    </row>
    <row r="68" spans="1:18" ht="15.75" thickBot="1">
      <c r="A68" s="248" t="s">
        <v>22</v>
      </c>
      <c r="B68" s="41" t="s">
        <v>1850</v>
      </c>
      <c r="C68" s="250">
        <f ca="1">C49-C59</f>
        <v>-333797</v>
      </c>
      <c r="D68" s="1256" t="s">
        <v>1851</v>
      </c>
      <c r="E68" s="1258"/>
      <c r="F68" s="268"/>
      <c r="H68" s="652"/>
      <c r="I68" s="652"/>
      <c r="J68" s="652"/>
      <c r="K68" s="652"/>
      <c r="L68" s="652"/>
      <c r="M68" s="652"/>
      <c r="O68" s="1009" t="s">
        <v>776</v>
      </c>
      <c r="P68" s="1013" t="s">
        <v>1966</v>
      </c>
      <c r="Q68" s="1007">
        <f ca="1">C13</f>
        <v>3081639</v>
      </c>
      <c r="R68" s="1008" t="s">
        <v>1900</v>
      </c>
    </row>
    <row r="69" spans="1:18" ht="15.75" thickBot="1">
      <c r="A69" s="232" t="s">
        <v>23</v>
      </c>
      <c r="B69" s="233" t="s">
        <v>1888</v>
      </c>
      <c r="C69" s="234">
        <f ca="1">ROUND(C68*(1-((1+F71)/(1+F69))^F70)/(F69-F71),0)</f>
        <v>-4930760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31.26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-7457</v>
      </c>
      <c r="D72" s="274" t="s">
        <v>1892</v>
      </c>
      <c r="E72" s="275" t="s">
        <v>1893</v>
      </c>
      <c r="F72" s="276">
        <f>F43</f>
        <v>661.27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1332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473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7157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125641</v>
      </c>
      <c r="D10" s="1101">
        <f>IF('数据-取费表'!B10&lt;&gt;"住宅",IF(B1="仅计算典型户型",'数据-取费表'!E5,'数据-取费表'!B5),0)</f>
        <v>661.27</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132254</v>
      </c>
      <c r="D19" s="1104">
        <f>IF(B1="仅计算典型户型",'数据-取费表'!E5,'数据-取费表'!B5)</f>
        <v>661.27</v>
      </c>
      <c r="E19" s="111">
        <f>'数据-取费表'!E15</f>
        <v>200</v>
      </c>
      <c r="F19" s="112"/>
      <c r="G19" s="1446"/>
    </row>
    <row r="20" spans="1:123" s="91" customFormat="1" ht="13.5" customHeight="1">
      <c r="A20" s="120" t="s">
        <v>1702</v>
      </c>
      <c r="B20" s="89" t="s">
        <v>1703</v>
      </c>
      <c r="C20" s="99">
        <f>ROUND((C5+C19)*F20,0)</f>
        <v>23255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100700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11343</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977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237202</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237202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1651399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2550849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2314445</v>
      </c>
      <c r="D34" s="1096"/>
      <c r="E34" s="115"/>
      <c r="F34" s="1107" t="str">
        <f>IF('数据-取费表'!B26=0,"",'数据-取费表'!E20)</f>
        <v/>
      </c>
      <c r="G34" s="95"/>
    </row>
    <row r="35" spans="1:123" ht="13.5" customHeight="1">
      <c r="A35" s="92" t="s">
        <v>1685</v>
      </c>
      <c r="B35" s="93" t="s">
        <v>1734</v>
      </c>
      <c r="C35" s="115">
        <f>ROUND(C34*F35,0)</f>
        <v>69433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132254</v>
      </c>
      <c r="D37" s="1096">
        <f>IF(B1="仅计算典型户型",'数据-取费表'!E5,'数据-取费表'!B5)</f>
        <v>661.27</v>
      </c>
      <c r="E37" s="115">
        <f>'数据-取费表'!E23</f>
        <v>200</v>
      </c>
      <c r="F37" s="1108"/>
      <c r="G37" s="124" t="s">
        <v>1739</v>
      </c>
    </row>
    <row r="38" spans="1:123" ht="13.5" customHeight="1">
      <c r="A38" s="92" t="s">
        <v>1740</v>
      </c>
      <c r="B38" s="93" t="s">
        <v>1741</v>
      </c>
      <c r="C38" s="115">
        <f>ROUND(C34*F38,0)</f>
        <v>34717</v>
      </c>
      <c r="D38" s="115"/>
      <c r="E38" s="115"/>
      <c r="F38" s="1108">
        <f>'数据-取费表'!E24</f>
        <v>1.4999999999999999E-2</v>
      </c>
      <c r="G38" s="95" t="s">
        <v>1735</v>
      </c>
    </row>
    <row r="39" spans="1:123" s="91" customFormat="1" ht="13.5" customHeight="1">
      <c r="A39" s="120" t="s">
        <v>1700</v>
      </c>
      <c r="B39" s="89" t="s">
        <v>1703</v>
      </c>
      <c r="C39" s="99">
        <f>ROUND(C33*F20,0)</f>
        <v>51017</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109279</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107136</v>
      </c>
      <c r="D42" s="104"/>
      <c r="E42" s="104"/>
      <c r="F42" s="105"/>
      <c r="G42" s="3554" t="s">
        <v>1745</v>
      </c>
    </row>
    <row r="43" spans="1:123" ht="13.5" customHeight="1">
      <c r="A43" s="92" t="s">
        <v>1685</v>
      </c>
      <c r="B43" s="93" t="s">
        <v>1714</v>
      </c>
      <c r="C43" s="104">
        <f ca="1">ROUND(IF('数据-取费表'!B24&lt;=1,C39*F22*'数据-取费表'!B23/2,C39*(POWER((1+F22),'数据-取费表'!B23/2)-1)),0)</f>
        <v>2143</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520373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520373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3501862</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3081639</v>
      </c>
      <c r="D51" s="99"/>
      <c r="E51" s="99"/>
      <c r="F51" s="126"/>
      <c r="G51" s="100" t="s">
        <v>1759</v>
      </c>
    </row>
    <row r="52" spans="1:123" s="88" customFormat="1" ht="16.5" thickBot="1">
      <c r="A52" s="127" t="s">
        <v>1760</v>
      </c>
      <c r="B52" s="128"/>
      <c r="C52" s="129">
        <f ca="1">C31+C51</f>
        <v>4733038</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0.65100000000000002</v>
      </c>
    </row>
    <row r="57" spans="1:123">
      <c r="B57" s="135" t="s">
        <v>1763</v>
      </c>
      <c r="C57" s="137">
        <f ca="1">1-C56</f>
        <v>0.34899999999999998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661.27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44728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661.27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44728</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661.27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661.27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661.27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44728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623"/>
      <c r="Q10" s="1563" t="str">
        <f t="shared" si="6"/>
        <v>土地使用年限（年）</v>
      </c>
      <c r="R10" s="1609" t="s">
        <v>25</v>
      </c>
      <c r="S10" s="1610">
        <f t="shared" si="0"/>
        <v>110</v>
      </c>
      <c r="T10" s="1609" t="s">
        <v>25</v>
      </c>
      <c r="U10" s="1610">
        <f t="shared" si="1"/>
        <v>110</v>
      </c>
      <c r="V10" s="1609" t="s">
        <v>25</v>
      </c>
      <c r="W10" s="1610">
        <f t="shared" si="2"/>
        <v>110</v>
      </c>
      <c r="X10" s="1611"/>
      <c r="Y10" s="3487"/>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37"/>
      <c r="Q10" s="1255" t="str">
        <f t="shared" si="6"/>
        <v>土地使用年限（年）</v>
      </c>
      <c r="R10" s="627" t="s">
        <v>25</v>
      </c>
      <c r="S10" s="628">
        <f t="shared" si="0"/>
        <v>110</v>
      </c>
      <c r="T10" s="627" t="s">
        <v>25</v>
      </c>
      <c r="U10" s="628">
        <f t="shared" si="1"/>
        <v>110</v>
      </c>
      <c r="V10" s="627" t="s">
        <v>25</v>
      </c>
      <c r="W10" s="628">
        <f t="shared" si="2"/>
        <v>110</v>
      </c>
      <c r="X10" s="629"/>
      <c r="Y10" s="3667"/>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估价对象为北京市房地产，为XX所有。根据《》[]，估价对象建筑面积为661.27平方米。根据《》[]，估价对象（分摊）出让国有建设用地使用权面积为平方米。估价对象用途为。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661.27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44728</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0.80900000000000005</v>
      </c>
      <c r="D20" s="2130" t="s">
        <v>2354</v>
      </c>
      <c r="E20" s="3072">
        <f>存贷款利率!E21/100</f>
        <v>4.3499999999999997E-2</v>
      </c>
      <c r="F20" s="2130" t="s">
        <v>2343</v>
      </c>
      <c r="G20" s="3073">
        <f>SUMIF(M26:P26,E2,M28:P28)</f>
        <v>0.05</v>
      </c>
      <c r="H20" s="2130" t="s">
        <v>2355</v>
      </c>
      <c r="I20" s="2131">
        <f>'数据-取费表'!B13</f>
        <v>31.26</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661.27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44728</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E12"/>
  <sheetViews>
    <sheetView workbookViewId="0">
      <selection activeCell="H15" sqref="H15"/>
    </sheetView>
  </sheetViews>
  <sheetFormatPr defaultRowHeight="13.5"/>
  <sheetData>
    <row r="8" spans="4:5">
      <c r="E8" s="1269" t="s">
        <v>3062</v>
      </c>
    </row>
    <row r="9" spans="4:5">
      <c r="E9" s="1269" t="s">
        <v>3057</v>
      </c>
    </row>
    <row r="10" spans="4:5">
      <c r="E10" s="1269" t="s">
        <v>3058</v>
      </c>
    </row>
    <row r="11" spans="4:5">
      <c r="E11" s="1269" t="s">
        <v>3059</v>
      </c>
    </row>
    <row r="12" spans="4:5">
      <c r="D12" s="1269" t="s">
        <v>3061</v>
      </c>
      <c r="E12" s="1269" t="s">
        <v>3060</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661.27</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661.27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44728</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本次估价的“房地产价值”是指在正常市场情况下，在价值时点2022年6月16日，估价对象规划用途为，假定未设立法定优先受偿款下的房地产市场价值。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2022-06-16T07:44:12Z</dcterms:modified>
</cp:coreProperties>
</file>